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D:\2024\2024-1-0268北京市昌平区顺沙路58号院1号-1至2层101等18幢办公、车库、库房及设备用房房地产抵押价值评估\P04\最终\"/>
    </mc:Choice>
  </mc:AlternateContent>
  <xr:revisionPtr revIDLastSave="0" documentId="13_ncr:1_{ADFE61AC-23EF-470A-87C3-478322CA4640}" xr6:coauthVersionLast="47" xr6:coauthVersionMax="47" xr10:uidLastSave="{00000000-0000-0000-0000-000000000000}"/>
  <bookViews>
    <workbookView xWindow="-120" yWindow="-120" windowWidth="21840" windowHeight="13140" tabRatio="899" firstSheet="9"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Sheet1" sheetId="80" r:id="rId10"/>
    <sheet name="Sheet3" sheetId="83" r:id="rId11"/>
    <sheet name="定义" sheetId="10" r:id="rId12"/>
    <sheet name="常用公式" sheetId="78" r:id="rId13"/>
    <sheet name="项目基本情况" sheetId="4" r:id="rId14"/>
    <sheet name="数据-基础表" sheetId="3" r:id="rId15"/>
    <sheet name="数据-汇总表" sheetId="6" r:id="rId16"/>
    <sheet name="数据-取费表" sheetId="1" r:id="rId17"/>
    <sheet name="估价对象房地状况" sheetId="20" state="hidden" r:id="rId18"/>
    <sheet name="系统读取表" sheetId="74" r:id="rId19"/>
    <sheet name="结果表" sheetId="9" r:id="rId20"/>
    <sheet name="土地案例" sheetId="81"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典型户型修正" sheetId="31" state="hidden" r:id="rId36"/>
    <sheet name="基准地价（汇总）" sheetId="76" state="hidden" r:id="rId37"/>
    <sheet name="比较法-住宅" sheetId="21" r:id="rId38"/>
    <sheet name="基准地价修正" sheetId="43" r:id="rId39"/>
    <sheet name="Sheet2" sheetId="82"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37" hidden="1">'比较法-住宅'!$A$1:$L$49</definedName>
    <definedName name="_xlnm._FilterDatabase" localSheetId="14" hidden="1">'数据-基础表'!$A$12:$AT$587</definedName>
    <definedName name="_xlnm._FilterDatabase" localSheetId="20" hidden="1">土地案例!$A$1:$AI$40</definedName>
    <definedName name="_xlnm._FilterDatabase" localSheetId="34" hidden="1">'土地比较法-工业'!$A$1:$L$43</definedName>
    <definedName name="_xlnm._FilterDatabase" localSheetId="33" hidden="1">'土地比较法-住宅、综合'!$A$1:$L$48</definedName>
    <definedName name="_xlnm._FilterDatabase" localSheetId="13"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37">'比较法-住宅'!$A$1:$K$54,'比较法-住宅'!$A$57:$M$131</definedName>
    <definedName name="_xlnm.Print_Area" localSheetId="21">成本法!$A$1:$G$57</definedName>
    <definedName name="_xlnm.Print_Area" localSheetId="22">'成本法 (元)'!$A$1:$G$57</definedName>
    <definedName name="_xlnm.Print_Area" localSheetId="17">估价对象房地状况!$A$1:$G$24</definedName>
    <definedName name="_xlnm.Print_Area" localSheetId="8">估价师及机构信息!$A$1:$G$22</definedName>
    <definedName name="_xlnm.Print_Area" localSheetId="36">'基准地价（汇总）'!$A$1:$E$13</definedName>
    <definedName name="_xlnm.Print_Area" localSheetId="38">基准地价修正!$A$1:$J$44,基准地价修正!$A$47:$H$101,基准地价修正!$R$1:$V$16</definedName>
    <definedName name="_xlnm.Print_Area" localSheetId="23">假设开发法!$A$1:$K$32</definedName>
    <definedName name="_xlnm.Print_Area" localSheetId="19">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5">'数据-汇总表'!$A$1:$P$32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8">系统读取表!$A$1:$I$26</definedName>
    <definedName name="_xlnm.Print_Area" localSheetId="13">项目基本情况!$A$1:$I$38</definedName>
    <definedName name="八级">区片价!$P$1:$P$44</definedName>
    <definedName name="办公层高" localSheetId="9">#REF!</definedName>
    <definedName name="办公层高" localSheetId="39">#REF!</definedName>
    <definedName name="办公层高" localSheetId="20">#REF!</definedName>
    <definedName name="办公层高">'比较法-办公'!$B$119:$M$119</definedName>
    <definedName name="办公朝向" localSheetId="9">#REF!</definedName>
    <definedName name="办公朝向" localSheetId="39">#REF!</definedName>
    <definedName name="办公朝向" localSheetId="20">#REF!</definedName>
    <definedName name="办公朝向">'比较法-办公'!$B$91:$M$91</definedName>
    <definedName name="办公道路级别" localSheetId="9">#REF!</definedName>
    <definedName name="办公道路级别" localSheetId="39">#REF!</definedName>
    <definedName name="办公道路级别" localSheetId="20">#REF!</definedName>
    <definedName name="办公道路级别">'比较法-办公'!$B$87:$M$87</definedName>
    <definedName name="办公公共部分装修" localSheetId="9">#REF!</definedName>
    <definedName name="办公公共部分装修" localSheetId="39">#REF!</definedName>
    <definedName name="办公公共部分装修" localSheetId="20">#REF!</definedName>
    <definedName name="办公公共部分装修">'比较法-办公'!$B$108:$M$108</definedName>
    <definedName name="办公基础设施水平" localSheetId="9">#REF!</definedName>
    <definedName name="办公基础设施水平" localSheetId="39">#REF!</definedName>
    <definedName name="办公基础设施水平" localSheetId="20">#REF!</definedName>
    <definedName name="办公基础设施水平">'比较法-办公'!$B$117:$M$117</definedName>
    <definedName name="办公集聚程度" localSheetId="9">#REF!</definedName>
    <definedName name="办公集聚程度" localSheetId="39">#REF!</definedName>
    <definedName name="办公集聚程度" localSheetId="20">#REF!</definedName>
    <definedName name="办公集聚程度">定义!$M$1:$M$6</definedName>
    <definedName name="办公建筑结构" localSheetId="9">#REF!</definedName>
    <definedName name="办公建筑结构" localSheetId="39">#REF!</definedName>
    <definedName name="办公建筑结构" localSheetId="20">#REF!</definedName>
    <definedName name="办公建筑结构">'比较法-办公'!$B$106:$M$106</definedName>
    <definedName name="办公建筑类型" localSheetId="9">#REF!</definedName>
    <definedName name="办公建筑类型" localSheetId="39">#REF!</definedName>
    <definedName name="办公建筑类型" localSheetId="20">#REF!</definedName>
    <definedName name="办公建筑类型">'比较法-办公'!$B$101:$M$101</definedName>
    <definedName name="办公交易情况" localSheetId="9">#REF!</definedName>
    <definedName name="办公交易情况" localSheetId="39">#REF!</definedName>
    <definedName name="办公交易情况" localSheetId="20">#REF!</definedName>
    <definedName name="办公交易情况">'比较法-办公'!$A$62:$M$62</definedName>
    <definedName name="办公楼层" localSheetId="9">#REF!</definedName>
    <definedName name="办公楼层" localSheetId="39">#REF!</definedName>
    <definedName name="办公楼层" localSheetId="20">#REF!</definedName>
    <definedName name="办公楼层">'比较法-办公'!$B$89:$M$89</definedName>
    <definedName name="办公内部装修" localSheetId="9">#REF!</definedName>
    <definedName name="办公内部装修" localSheetId="39">#REF!</definedName>
    <definedName name="办公内部装修" localSheetId="20">#REF!</definedName>
    <definedName name="办公内部装修">'比较法-办公'!$B$123:$M$123</definedName>
    <definedName name="办公物业管理" localSheetId="9">#REF!</definedName>
    <definedName name="办公物业管理" localSheetId="39">#REF!</definedName>
    <definedName name="办公物业管理" localSheetId="20">#REF!</definedName>
    <definedName name="办公物业管理">'比较法-办公'!$B$115:$M$115</definedName>
    <definedName name="办公用途" localSheetId="9">#REF!</definedName>
    <definedName name="办公用途" localSheetId="39">#REF!</definedName>
    <definedName name="办公用途" localSheetId="20">#REF!</definedName>
    <definedName name="办公用途">'比较法-办公'!$B$64:$M$64</definedName>
    <definedName name="仓储公共部分装修" localSheetId="9">#REF!</definedName>
    <definedName name="仓储公共部分装修" localSheetId="39">#REF!</definedName>
    <definedName name="仓储公共部分装修" localSheetId="20">#REF!</definedName>
    <definedName name="仓储公共部分装修">'比较法-仓储'!$B$77:$M$77</definedName>
    <definedName name="仓储交易情况" localSheetId="9">#REF!</definedName>
    <definedName name="仓储交易情况" localSheetId="39">#REF!</definedName>
    <definedName name="仓储交易情况" localSheetId="20">#REF!</definedName>
    <definedName name="仓储交易情况">'比较法-仓储'!$A$49:$M$49</definedName>
    <definedName name="仓储楼层" localSheetId="9">#REF!</definedName>
    <definedName name="仓储楼层" localSheetId="39">#REF!</definedName>
    <definedName name="仓储楼层" localSheetId="20">#REF!</definedName>
    <definedName name="仓储楼层">'比较法-仓储'!$B$69:$M$69</definedName>
    <definedName name="仓储物业等级" localSheetId="9">#REF!</definedName>
    <definedName name="仓储物业等级" localSheetId="39">#REF!</definedName>
    <definedName name="仓储物业等级" localSheetId="20">#REF!</definedName>
    <definedName name="仓储物业等级">'比较法-仓储'!$B$82:$M$82</definedName>
    <definedName name="仓储用途" localSheetId="9">#REF!</definedName>
    <definedName name="仓储用途" localSheetId="39">#REF!</definedName>
    <definedName name="仓储用途" localSheetId="20">#REF!</definedName>
    <definedName name="仓储用途">'比较法-仓储'!$B$51:$M$51</definedName>
    <definedName name="产业集聚程度" localSheetId="9">#REF!</definedName>
    <definedName name="产业集聚程度" localSheetId="39">#REF!</definedName>
    <definedName name="产业集聚程度" localSheetId="20">#REF!</definedName>
    <definedName name="产业集聚程度">定义!$N$1:$N$6</definedName>
    <definedName name="车位公共部分装修" localSheetId="9">#REF!</definedName>
    <definedName name="车位公共部分装修" localSheetId="39">#REF!</definedName>
    <definedName name="车位公共部分装修" localSheetId="20">#REF!</definedName>
    <definedName name="车位公共部分装修">'比较法-车位'!$B$83:$M$83</definedName>
    <definedName name="车位交易情况" localSheetId="9">#REF!</definedName>
    <definedName name="车位交易情况" localSheetId="39">#REF!</definedName>
    <definedName name="车位交易情况" localSheetId="20">#REF!</definedName>
    <definedName name="车位交易情况">'比较法-车位'!$A$51:$M$51</definedName>
    <definedName name="车位类型" localSheetId="9">#REF!</definedName>
    <definedName name="车位类型" localSheetId="39">#REF!</definedName>
    <definedName name="车位类型" localSheetId="20">#REF!</definedName>
    <definedName name="车位类型">'比较法-车位'!$B$93:$M$93</definedName>
    <definedName name="车位楼层" localSheetId="9">#REF!</definedName>
    <definedName name="车位楼层" localSheetId="39">#REF!</definedName>
    <definedName name="车位楼层" localSheetId="20">#REF!</definedName>
    <definedName name="车位楼层">'比较法-车位'!$B$71:$M$71</definedName>
    <definedName name="车位配套类型" localSheetId="9">#REF!</definedName>
    <definedName name="车位配套类型" localSheetId="39">#REF!</definedName>
    <definedName name="车位配套类型" localSheetId="20">#REF!</definedName>
    <definedName name="车位配套类型">'比较法-车位'!$B$79:$M$79</definedName>
    <definedName name="车位物业等级" localSheetId="9">#REF!</definedName>
    <definedName name="车位物业等级" localSheetId="39">#REF!</definedName>
    <definedName name="车位物业等级" localSheetId="20">#REF!</definedName>
    <definedName name="车位物业等级">'比较法-车位'!$B$88:$M$88</definedName>
    <definedName name="车位用途" localSheetId="9">#REF!</definedName>
    <definedName name="车位用途" localSheetId="39">#REF!</definedName>
    <definedName name="车位用途" localSheetId="20">#REF!</definedName>
    <definedName name="车位用途">'比较法-车位'!$B$53:$M$53</definedName>
    <definedName name="城镇土地纳税等级分级范围" localSheetId="9">#REF!</definedName>
    <definedName name="城镇土地纳税等级分级范围" localSheetId="39">#REF!</definedName>
    <definedName name="城镇土地纳税等级分级范围" localSheetId="20">#REF!</definedName>
    <definedName name="城镇土地纳税等级分级范围">'数据-取费表'!$A$53:$A$63</definedName>
    <definedName name="单价内涵" localSheetId="9">#REF!</definedName>
    <definedName name="单价内涵" localSheetId="39">#REF!</definedName>
    <definedName name="单价内涵" localSheetId="20">#REF!</definedName>
    <definedName name="单价内涵">定义!$V$1:$V$3</definedName>
    <definedName name="地类判定" localSheetId="9">#REF!</definedName>
    <definedName name="地类判定" localSheetId="39">#REF!</definedName>
    <definedName name="地类判定" localSheetId="20">#REF!</definedName>
    <definedName name="地类判定">定义!$H$1:$H$9</definedName>
    <definedName name="二级">区片价!$J$1:$J$21</definedName>
    <definedName name="二级分类" localSheetId="9">#REF!</definedName>
    <definedName name="二级分类" localSheetId="39">#REF!</definedName>
    <definedName name="二级分类" localSheetId="20">#REF!</definedName>
    <definedName name="二级分类">修正!$C$19:$C$51</definedName>
    <definedName name="法定最高年限" localSheetId="9">#REF!</definedName>
    <definedName name="法定最高年限" localSheetId="39">#REF!</definedName>
    <definedName name="法定最高年限" localSheetId="20">#REF!</definedName>
    <definedName name="法定最高年限">定义!$G$1:$G$6</definedName>
    <definedName name="工业公共部分装修" localSheetId="9">#REF!</definedName>
    <definedName name="工业公共部分装修" localSheetId="39">#REF!</definedName>
    <definedName name="工业公共部分装修" localSheetId="20">#REF!</definedName>
    <definedName name="工业公共部分装修">'比较法-工业'!$B$95:$M$95</definedName>
    <definedName name="工业基础设施水平" localSheetId="9">#REF!</definedName>
    <definedName name="工业基础设施水平" localSheetId="39">#REF!</definedName>
    <definedName name="工业基础设施水平" localSheetId="20">#REF!</definedName>
    <definedName name="工业基础设施水平">'比较法-工业'!$B$102:$M$102</definedName>
    <definedName name="工业建筑结构" localSheetId="9">#REF!</definedName>
    <definedName name="工业建筑结构" localSheetId="39">#REF!</definedName>
    <definedName name="工业建筑结构" localSheetId="20">#REF!</definedName>
    <definedName name="工业建筑结构">'比较法-工业'!$B$93:$M$93</definedName>
    <definedName name="工业建筑类型" localSheetId="9">#REF!</definedName>
    <definedName name="工业建筑类型" localSheetId="39">#REF!</definedName>
    <definedName name="工业建筑类型" localSheetId="20">#REF!</definedName>
    <definedName name="工业建筑类型">'比较法-工业'!$B$88:$M$88</definedName>
    <definedName name="工业交易情况" localSheetId="9">#REF!</definedName>
    <definedName name="工业交易情况" localSheetId="39">#REF!</definedName>
    <definedName name="工业交易情况" localSheetId="20">#REF!</definedName>
    <definedName name="工业交易情况">'比较法-工业'!$A$55:$M$55</definedName>
    <definedName name="工业内部装修" localSheetId="9">#REF!</definedName>
    <definedName name="工业内部装修" localSheetId="39">#REF!</definedName>
    <definedName name="工业内部装修" localSheetId="20">#REF!</definedName>
    <definedName name="工业内部装修">'比较法-工业'!$B$104:$M$104</definedName>
    <definedName name="工业物业管理" localSheetId="9">#REF!</definedName>
    <definedName name="工业物业管理" localSheetId="39">#REF!</definedName>
    <definedName name="工业物业管理" localSheetId="20">#REF!</definedName>
    <definedName name="工业物业管理">'比较法-工业'!$B$100:$M$100</definedName>
    <definedName name="工业用途" localSheetId="9">#REF!</definedName>
    <definedName name="工业用途" localSheetId="39">#REF!</definedName>
    <definedName name="工业用途" localSheetId="20">#REF!</definedName>
    <definedName name="工业用途">'比较法-工业'!$B$57:$M$57</definedName>
    <definedName name="公共配套设施" localSheetId="9">#REF!</definedName>
    <definedName name="公共配套设施" localSheetId="39">#REF!</definedName>
    <definedName name="公共配套设施" localSheetId="20">#REF!</definedName>
    <definedName name="公共配套设施">定义!$Q$1:$Q$6</definedName>
    <definedName name="估价范围判定" localSheetId="9">#REF!</definedName>
    <definedName name="估价范围判定" localSheetId="39">#REF!</definedName>
    <definedName name="估价范围判定" localSheetId="20">#REF!</definedName>
    <definedName name="估价范围判定">定义!$D$1:$D$4</definedName>
    <definedName name="估价方法" localSheetId="9">#REF!</definedName>
    <definedName name="估价方法" localSheetId="39">#REF!</definedName>
    <definedName name="估价方法" localSheetId="20">#REF!</definedName>
    <definedName name="估价方法">定义!$B$1:$B$50</definedName>
    <definedName name="环境" localSheetId="9">#REF!</definedName>
    <definedName name="环境" localSheetId="39">#REF!</definedName>
    <definedName name="环境" localSheetId="20">#REF!</definedName>
    <definedName name="环境">定义!$S$1:$S$6</definedName>
    <definedName name="基础设施水平" localSheetId="9">#REF!</definedName>
    <definedName name="基础设施水平" localSheetId="39">#REF!</definedName>
    <definedName name="基础设施水平" localSheetId="20">#REF!</definedName>
    <definedName name="基础设施水平">定义!$R$1:$R$6</definedName>
    <definedName name="季度">基准地价修正!$Q$19:$AD$19</definedName>
    <definedName name="价值类型2" localSheetId="9">#REF!</definedName>
    <definedName name="价值类型2" localSheetId="39">#REF!</definedName>
    <definedName name="价值类型2" localSheetId="20">#REF!</definedName>
    <definedName name="价值类型2">定义!$B$54:$B$56</definedName>
    <definedName name="交通便捷度" localSheetId="9">#REF!</definedName>
    <definedName name="交通便捷度" localSheetId="39">#REF!</definedName>
    <definedName name="交通便捷度" localSheetId="20">#REF!</definedName>
    <definedName name="交通便捷度">定义!$O$1:$O$6</definedName>
    <definedName name="九级">区片价!$Q$1:$Q$51</definedName>
    <definedName name="居住社区成熟度" localSheetId="9">#REF!</definedName>
    <definedName name="居住社区成熟度" localSheetId="39">#REF!</definedName>
    <definedName name="居住社区成熟度" localSheetId="20">#REF!</definedName>
    <definedName name="居住社区成熟度">定义!$K$1:$K$6</definedName>
    <definedName name="类别" localSheetId="9">#REF!</definedName>
    <definedName name="类别" localSheetId="39">#REF!</definedName>
    <definedName name="类别" localSheetId="20">#REF!</definedName>
    <definedName name="类别">定义!$J$1:$J$3</definedName>
    <definedName name="临街状况" localSheetId="9">#REF!</definedName>
    <definedName name="临街状况" localSheetId="39">#REF!</definedName>
    <definedName name="临街状况" localSheetId="20">#REF!</definedName>
    <definedName name="临街状况">定义!$T$1:$T$5</definedName>
    <definedName name="六级">区片价!$N$1:$N$64</definedName>
    <definedName name="内部装修维护情况" localSheetId="9">#REF!</definedName>
    <definedName name="内部装修维护情况" localSheetId="39">#REF!</definedName>
    <definedName name="内部装修维护情况" localSheetId="20">#REF!</definedName>
    <definedName name="内部装修维护情况">定义!$U$1:$U$6</definedName>
    <definedName name="七级">区片价!$O$1:$O$45</definedName>
    <definedName name="七通一平" localSheetId="9">#REF!</definedName>
    <definedName name="七通一平" localSheetId="39">#REF!</definedName>
    <definedName name="七通一平" localSheetId="20">#REF!</definedName>
    <definedName name="七通一平">修正!$A$8:$A$16</definedName>
    <definedName name="区域土地利用方向" localSheetId="9">#REF!</definedName>
    <definedName name="区域土地利用方向" localSheetId="39">#REF!</definedName>
    <definedName name="区域土地利用方向" localSheetId="20">#REF!</definedName>
    <definedName name="区域土地利用方向">定义!$P$1:$P$6</definedName>
    <definedName name="三级">区片价!$K$1:$K$26</definedName>
    <definedName name="商业层高" localSheetId="9">#REF!</definedName>
    <definedName name="商业层高" localSheetId="39">#REF!</definedName>
    <definedName name="商业层高" localSheetId="20">#REF!</definedName>
    <definedName name="商业层高">'比较法-商业'!$B$116:$M$116</definedName>
    <definedName name="商业成新度">'比较法-商业'!$B$109:$M$109</definedName>
    <definedName name="商业繁华度" localSheetId="9">#REF!</definedName>
    <definedName name="商业繁华度" localSheetId="39">#REF!</definedName>
    <definedName name="商业繁华度" localSheetId="20">#REF!</definedName>
    <definedName name="商业繁华度">定义!$L$1:$L$6</definedName>
    <definedName name="商业公共部分装修" localSheetId="9">#REF!</definedName>
    <definedName name="商业公共部分装修" localSheetId="39">#REF!</definedName>
    <definedName name="商业公共部分装修" localSheetId="20">#REF!</definedName>
    <definedName name="商业公共部分装修">'比较法-商业'!$B$107:$M$107</definedName>
    <definedName name="商业基础设施水平" localSheetId="9">#REF!</definedName>
    <definedName name="商业基础设施水平" localSheetId="39">#REF!</definedName>
    <definedName name="商业基础设施水平" localSheetId="20">#REF!</definedName>
    <definedName name="商业基础设施水平">'比较法-商业'!$B$112:$M$112</definedName>
    <definedName name="商业建筑结构" localSheetId="9">#REF!</definedName>
    <definedName name="商业建筑结构" localSheetId="39">#REF!</definedName>
    <definedName name="商业建筑结构" localSheetId="20">#REF!</definedName>
    <definedName name="商业建筑结构">'比较法-商业'!$B$105:$M$105</definedName>
    <definedName name="商业交易情况" localSheetId="9">#REF!</definedName>
    <definedName name="商业交易情况" localSheetId="39">#REF!</definedName>
    <definedName name="商业交易情况" localSheetId="20">#REF!</definedName>
    <definedName name="商业交易情况">'比较法-商业'!$A$61:$M$61</definedName>
    <definedName name="商业街名称" localSheetId="9">#REF!</definedName>
    <definedName name="商业街名称" localSheetId="39">#REF!</definedName>
    <definedName name="商业街名称" localSheetId="20">#REF!</definedName>
    <definedName name="商业街名称">修正!$C$71:$C$138</definedName>
    <definedName name="商业进深比" localSheetId="9">#REF!</definedName>
    <definedName name="商业进深比" localSheetId="39">#REF!</definedName>
    <definedName name="商业进深比" localSheetId="20">#REF!</definedName>
    <definedName name="商业进深比">'比较法-商业'!$B$120:$M$120</definedName>
    <definedName name="商业类型" localSheetId="9">#REF!</definedName>
    <definedName name="商业类型" localSheetId="39">#REF!</definedName>
    <definedName name="商业类型" localSheetId="20">#REF!</definedName>
    <definedName name="商业类型">'比较法-商业'!$B$100:$M$100</definedName>
    <definedName name="商业临街状况" localSheetId="9">#REF!</definedName>
    <definedName name="商业临街状况" localSheetId="39">#REF!</definedName>
    <definedName name="商业临街状况" localSheetId="20">#REF!</definedName>
    <definedName name="商业临街状况">'比较法-商业'!$B$86:$M$86</definedName>
    <definedName name="商业楼层" localSheetId="9">#REF!</definedName>
    <definedName name="商业楼层" localSheetId="39">#REF!</definedName>
    <definedName name="商业楼层" localSheetId="20">#REF!</definedName>
    <definedName name="商业楼层">'比较法-商业'!$B$92:$M$92</definedName>
    <definedName name="商业内部装修" localSheetId="9">#REF!</definedName>
    <definedName name="商业内部装修" localSheetId="39">#REF!</definedName>
    <definedName name="商业内部装修" localSheetId="20">#REF!</definedName>
    <definedName name="商业内部装修">'比较法-商业'!$B$122:$M$122</definedName>
    <definedName name="商业人流量" localSheetId="9">#REF!</definedName>
    <definedName name="商业人流量" localSheetId="39">#REF!</definedName>
    <definedName name="商业人流量" localSheetId="20">#REF!</definedName>
    <definedName name="商业人流量">'比较法-商业'!$B$90:$M$90</definedName>
    <definedName name="商业业态" localSheetId="9">#REF!</definedName>
    <definedName name="商业业态" localSheetId="39">#REF!</definedName>
    <definedName name="商业业态" localSheetId="20">#REF!</definedName>
    <definedName name="商业业态">'比较法-商业'!$B$114:$M$114</definedName>
    <definedName name="商业用途" localSheetId="9">#REF!</definedName>
    <definedName name="商业用途" localSheetId="39">#REF!</definedName>
    <definedName name="商业用途" localSheetId="20">#REF!</definedName>
    <definedName name="商业用途">'比较法-商业'!$B$63:$M$63</definedName>
    <definedName name="十二级">区片价!$T$1:$T$8</definedName>
    <definedName name="十级">区片价!$R$1:$R$32</definedName>
    <definedName name="十一级">区片价!$S$1:$S$21</definedName>
    <definedName name="是否封闭" localSheetId="9">#REF!</definedName>
    <definedName name="是否封闭" localSheetId="39">#REF!</definedName>
    <definedName name="是否封闭" localSheetId="20">#REF!</definedName>
    <definedName name="是否封闭">'比较法-仓储'!$B$89:$M$89</definedName>
    <definedName name="是否直接入户" localSheetId="9">#REF!</definedName>
    <definedName name="是否直接入户" localSheetId="39">#REF!</definedName>
    <definedName name="是否直接入户" localSheetId="20">#REF!</definedName>
    <definedName name="是否直接入户">'比较法-车位'!$B$95:$M$95</definedName>
    <definedName name="四级">区片价!$L$1:$L$33</definedName>
    <definedName name="套工道路等级" localSheetId="9">#REF!</definedName>
    <definedName name="套工道路等级" localSheetId="39">#REF!</definedName>
    <definedName name="套工道路等级" localSheetId="20">#REF!</definedName>
    <definedName name="套工道路等级">'土地比较法-工业'!$B$97:$M$97</definedName>
    <definedName name="套工地质条件" localSheetId="9">#REF!</definedName>
    <definedName name="套工地质条件" localSheetId="39">#REF!</definedName>
    <definedName name="套工地质条件" localSheetId="20">#REF!</definedName>
    <definedName name="套工地质条件">'土地比较法-工业'!$B$114:$M$114</definedName>
    <definedName name="套工交易情况" localSheetId="9">#REF!</definedName>
    <definedName name="套工交易情况" localSheetId="39">#REF!</definedName>
    <definedName name="套工交易情况" localSheetId="20">#REF!</definedName>
    <definedName name="套工交易情况">'土地比较法-住宅、综合'!$A$72:$M$72</definedName>
    <definedName name="套工土地级别" localSheetId="9">#REF!</definedName>
    <definedName name="套工土地级别" localSheetId="39">#REF!</definedName>
    <definedName name="套工土地级别" localSheetId="20">#REF!</definedName>
    <definedName name="套工土地级别">'土地比较法-工业'!$B$99:$M$99</definedName>
    <definedName name="套工用途" localSheetId="9">#REF!</definedName>
    <definedName name="套工用途" localSheetId="39">#REF!</definedName>
    <definedName name="套工用途" localSheetId="20">#REF!</definedName>
    <definedName name="套工用途">'土地比较法-工业'!$B$70:$M$70</definedName>
    <definedName name="套工宗地开发程度" localSheetId="9">#REF!</definedName>
    <definedName name="套工宗地开发程度" localSheetId="39">#REF!</definedName>
    <definedName name="套工宗地开发程度" localSheetId="20">#REF!</definedName>
    <definedName name="套工宗地开发程度">'土地比较法-工业'!$B$112:$M$112</definedName>
    <definedName name="套工宗地形状" localSheetId="9">#REF!</definedName>
    <definedName name="套工宗地形状" localSheetId="39">#REF!</definedName>
    <definedName name="套工宗地形状" localSheetId="20">#REF!</definedName>
    <definedName name="套工宗地形状">'土地比较法-工业'!$B$110:$M$110</definedName>
    <definedName name="套综道路等级" localSheetId="9">#REF!</definedName>
    <definedName name="套综道路等级" localSheetId="39">#REF!</definedName>
    <definedName name="套综道路等级" localSheetId="20">#REF!</definedName>
    <definedName name="套综道路等级">'土地比较法-住宅、综合'!$B$105:$M$105</definedName>
    <definedName name="套综工程地质条件" localSheetId="9">#REF!</definedName>
    <definedName name="套综工程地质条件" localSheetId="39">#REF!</definedName>
    <definedName name="套综工程地质条件" localSheetId="20">#REF!</definedName>
    <definedName name="套综工程地质条件">'土地比较法-住宅、综合'!$B$124:$M$124</definedName>
    <definedName name="套综交易情况" localSheetId="9">#REF!</definedName>
    <definedName name="套综交易情况" localSheetId="39">#REF!</definedName>
    <definedName name="套综交易情况" localSheetId="20">#REF!</definedName>
    <definedName name="套综交易情况">'土地比较法-住宅、综合'!$A$72:$M$72</definedName>
    <definedName name="套综临街宽度及深度" localSheetId="9">#REF!</definedName>
    <definedName name="套综临街宽度及深度" localSheetId="39">#REF!</definedName>
    <definedName name="套综临街宽度及深度" localSheetId="20">#REF!</definedName>
    <definedName name="套综临街宽度及深度">'土地比较法-住宅、综合'!$B$120:$M$120</definedName>
    <definedName name="套综土地级别" localSheetId="9">#REF!</definedName>
    <definedName name="套综土地级别" localSheetId="39">#REF!</definedName>
    <definedName name="套综土地级别" localSheetId="20">#REF!</definedName>
    <definedName name="套综土地级别">'土地比较法-住宅、综合'!$B$107:$M$107</definedName>
    <definedName name="套综用途" localSheetId="9">#REF!</definedName>
    <definedName name="套综用途" localSheetId="39">#REF!</definedName>
    <definedName name="套综用途" localSheetId="20">#REF!</definedName>
    <definedName name="套综用途">'土地比较法-住宅、综合'!$B$74:$M$74</definedName>
    <definedName name="套综宗地内开发程度" localSheetId="9">#REF!</definedName>
    <definedName name="套综宗地内开发程度" localSheetId="39">#REF!</definedName>
    <definedName name="套综宗地内开发程度" localSheetId="20">#REF!</definedName>
    <definedName name="套综宗地内开发程度">'土地比较法-住宅、综合'!$B$122:$M$122</definedName>
    <definedName name="套综宗地形状" localSheetId="9">#REF!</definedName>
    <definedName name="套综宗地形状" localSheetId="39">#REF!</definedName>
    <definedName name="套综宗地形状" localSheetId="20">#REF!</definedName>
    <definedName name="套综宗地形状">'土地比较法-住宅、综合'!$B$118:$M$118</definedName>
    <definedName name="土地估价师">估价师及机构信息!$D$3:$D$24</definedName>
    <definedName name="土地级别" localSheetId="9">#REF!</definedName>
    <definedName name="土地级别" localSheetId="39">#REF!</definedName>
    <definedName name="土地级别" localSheetId="20">#REF!</definedName>
    <definedName name="土地级别">定义!$C$1:$C$14</definedName>
    <definedName name="土地利用方向">定义!$P$1:$P$6</definedName>
    <definedName name="土地年限区间">定义!$I$1:$I$16</definedName>
    <definedName name="位置" localSheetId="9">#REF!</definedName>
    <definedName name="位置" localSheetId="39">#REF!</definedName>
    <definedName name="位置" localSheetId="20">#REF!</definedName>
    <definedName name="位置">定义!$E$2:$E$4</definedName>
    <definedName name="五等判定" localSheetId="9">#REF!</definedName>
    <definedName name="五等判定" localSheetId="39">#REF!</definedName>
    <definedName name="五等判定" localSheetId="20">#REF!</definedName>
    <definedName name="五等判定">定义!$W$1:$W$6</definedName>
    <definedName name="五级">区片价!$M$1:$M$41</definedName>
    <definedName name="项目类型" localSheetId="9">#REF!</definedName>
    <definedName name="项目类型" localSheetId="39">#REF!</definedName>
    <definedName name="项目类型" localSheetId="26">#REF!</definedName>
    <definedName name="项目类型" localSheetId="20">#REF!</definedName>
    <definedName name="项目类型">'数据-汇总表'!$C$17:$C$26</definedName>
    <definedName name="写字楼等级" localSheetId="9">#REF!</definedName>
    <definedName name="写字楼等级" localSheetId="39">#REF!</definedName>
    <definedName name="写字楼等级" localSheetId="20">#REF!</definedName>
    <definedName name="写字楼等级">'比较法-办公'!$B$113:$M$113</definedName>
    <definedName name="一级">区片价!$I$1:$I$6</definedName>
    <definedName name="一修多修正项2" localSheetId="9">#REF!</definedName>
    <definedName name="一修多修正项2" localSheetId="39">#REF!</definedName>
    <definedName name="一修多修正项2" localSheetId="20">#REF!</definedName>
    <definedName name="一修多修正项2">典型户型修正!$5:$5</definedName>
    <definedName name="一修多修正项3" localSheetId="9">#REF!</definedName>
    <definedName name="一修多修正项3" localSheetId="39">#REF!</definedName>
    <definedName name="一修多修正项3" localSheetId="20">#REF!</definedName>
    <definedName name="一修多修正项3">典型户型修正!$7:$7</definedName>
    <definedName name="一修多修正项4" localSheetId="9">#REF!</definedName>
    <definedName name="一修多修正项4" localSheetId="39">#REF!</definedName>
    <definedName name="一修多修正项4" localSheetId="20">#REF!</definedName>
    <definedName name="一修多修正项4">典型户型修正!$9:$9</definedName>
    <definedName name="一修多修正项5" localSheetId="9">#REF!</definedName>
    <definedName name="一修多修正项5" localSheetId="39">#REF!</definedName>
    <definedName name="一修多修正项5" localSheetId="20">#REF!</definedName>
    <definedName name="一修多修正项5">典型户型修正!$11:$11</definedName>
    <definedName name="一修多修正项6" localSheetId="9">#REF!</definedName>
    <definedName name="一修多修正项6" localSheetId="39">#REF!</definedName>
    <definedName name="一修多修正项6" localSheetId="20">#REF!</definedName>
    <definedName name="一修多修正项6">典型户型修正!$13:$13</definedName>
    <definedName name="一修多修正项7" localSheetId="9">#REF!</definedName>
    <definedName name="一修多修正项7" localSheetId="39">#REF!</definedName>
    <definedName name="一修多修正项7" localSheetId="20">#REF!</definedName>
    <definedName name="一修多修正项7">典型户型修正!$15:$15</definedName>
    <definedName name="一修多修正项8" localSheetId="9">#REF!</definedName>
    <definedName name="一修多修正项8" localSheetId="39">#REF!</definedName>
    <definedName name="一修多修正项8" localSheetId="20">#REF!</definedName>
    <definedName name="一修多修正项8">典型户型修正!$17:$17</definedName>
    <definedName name="用途明细" localSheetId="9">#REF!</definedName>
    <definedName name="用途明细" localSheetId="39">#REF!</definedName>
    <definedName name="用途明细" localSheetId="20">#REF!</definedName>
    <definedName name="用途明细">定义!$A$1:$A$50</definedName>
    <definedName name="有无电梯" localSheetId="9">#REF!</definedName>
    <definedName name="有无电梯" localSheetId="39">#REF!</definedName>
    <definedName name="有无电梯" localSheetId="20">#REF!</definedName>
    <definedName name="有无电梯">'比较法-仓储'!$B$84:$M$84</definedName>
    <definedName name="主用途" localSheetId="9">#REF!</definedName>
    <definedName name="主用途" localSheetId="39">#REF!</definedName>
    <definedName name="主用途" localSheetId="20">#REF!</definedName>
    <definedName name="主用途">定义!$F$1:$F$12</definedName>
    <definedName name="住宅朝向" localSheetId="9">#REF!</definedName>
    <definedName name="住宅朝向" localSheetId="39">#REF!</definedName>
    <definedName name="住宅朝向" localSheetId="20">#REF!</definedName>
    <definedName name="住宅朝向">'比较法-住宅'!$B$88:$M$88</definedName>
    <definedName name="住宅房型" localSheetId="9">#REF!</definedName>
    <definedName name="住宅房型" localSheetId="39">#REF!</definedName>
    <definedName name="住宅房型" localSheetId="20">#REF!</definedName>
    <definedName name="住宅房型">'比较法-住宅'!$B$118:$M$118</definedName>
    <definedName name="住宅公共部分装修" localSheetId="9">#REF!</definedName>
    <definedName name="住宅公共部分装修" localSheetId="39">#REF!</definedName>
    <definedName name="住宅公共部分装修" localSheetId="20">#REF!</definedName>
    <definedName name="住宅公共部分装修">'比较法-住宅'!$B$109:$M$109</definedName>
    <definedName name="住宅基础设施水平" localSheetId="9">#REF!</definedName>
    <definedName name="住宅基础设施水平" localSheetId="39">#REF!</definedName>
    <definedName name="住宅基础设施水平" localSheetId="20">#REF!</definedName>
    <definedName name="住宅基础设施水平">'比较法-住宅'!$B$116:$M$116</definedName>
    <definedName name="住宅建筑结构" localSheetId="9">#REF!</definedName>
    <definedName name="住宅建筑结构" localSheetId="39">#REF!</definedName>
    <definedName name="住宅建筑结构" localSheetId="20">#REF!</definedName>
    <definedName name="住宅建筑结构">'比较法-住宅'!$B$105:$M$105</definedName>
    <definedName name="住宅建筑类型" localSheetId="9">#REF!</definedName>
    <definedName name="住宅建筑类型" localSheetId="39">#REF!</definedName>
    <definedName name="住宅建筑类型" localSheetId="20">#REF!</definedName>
    <definedName name="住宅建筑类型">'比较法-住宅'!$B$100:$M$100</definedName>
    <definedName name="住宅建筑品质" localSheetId="9">#REF!</definedName>
    <definedName name="住宅建筑品质" localSheetId="39">#REF!</definedName>
    <definedName name="住宅建筑品质" localSheetId="20">#REF!</definedName>
    <definedName name="住宅建筑品质">'比较法-住宅'!$B$107:$M$107</definedName>
    <definedName name="住宅交易情况" localSheetId="9">#REF!</definedName>
    <definedName name="住宅交易情况" localSheetId="39">#REF!</definedName>
    <definedName name="住宅交易情况" localSheetId="20">#REF!</definedName>
    <definedName name="住宅交易情况">'比较法-住宅'!$A$61:$M$61</definedName>
    <definedName name="住宅楼层" localSheetId="9">#REF!</definedName>
    <definedName name="住宅楼层" localSheetId="39">#REF!</definedName>
    <definedName name="住宅楼层" localSheetId="20">#REF!</definedName>
    <definedName name="住宅楼层">'比较法-住宅'!$B$86:$M$86</definedName>
    <definedName name="住宅内部装修" localSheetId="9">#REF!</definedName>
    <definedName name="住宅内部装修" localSheetId="39">#REF!</definedName>
    <definedName name="住宅内部装修" localSheetId="20">#REF!</definedName>
    <definedName name="住宅内部装修">'比较法-住宅'!$B$122:$M$122</definedName>
    <definedName name="住宅物业管理" localSheetId="9">#REF!</definedName>
    <definedName name="住宅物业管理" localSheetId="39">#REF!</definedName>
    <definedName name="住宅物业管理" localSheetId="20">#REF!</definedName>
    <definedName name="住宅物业管理">'比较法-住宅'!$B$114:$M$114</definedName>
    <definedName name="住宅用途" localSheetId="9">#REF!</definedName>
    <definedName name="住宅用途" localSheetId="39">#REF!</definedName>
    <definedName name="住宅用途" localSheetId="20">#REF!</definedName>
    <definedName name="住宅用途">'比较法-住宅'!$B$63:$M$63</definedName>
    <definedName name="住宅主力户型面积">'比较法-住宅'!$B$120:$M$120</definedName>
    <definedName name="注册房地产估价师" localSheetId="9">#REF!</definedName>
    <definedName name="注册房地产估价师" localSheetId="39">#REF!</definedName>
    <definedName name="注册房地产估价师" localSheetId="20">#REF!</definedName>
    <definedName name="注册房地产估价师">估价师及机构信息!$A$3:$A$16</definedName>
  </definedNames>
  <calcPr calcId="181029"/>
</workbook>
</file>

<file path=xl/calcChain.xml><?xml version="1.0" encoding="utf-8"?>
<calcChain xmlns="http://schemas.openxmlformats.org/spreadsheetml/2006/main">
  <c r="D15" i="74" l="1"/>
  <c r="G15" i="74" s="1"/>
  <c r="C15" i="74" l="1"/>
  <c r="C14" i="74"/>
  <c r="B15" i="74"/>
  <c r="B14" i="74"/>
  <c r="G19" i="6"/>
  <c r="F19" i="6"/>
  <c r="D33" i="43" l="1"/>
  <c r="E47" i="21"/>
  <c r="L74" i="82"/>
  <c r="L66" i="82"/>
  <c r="L59" i="82"/>
  <c r="L50" i="82"/>
  <c r="L41" i="82"/>
  <c r="L35" i="82"/>
  <c r="L27" i="82"/>
  <c r="I47" i="21" s="1"/>
  <c r="L18" i="82"/>
  <c r="G47" i="21" s="1"/>
  <c r="L10" i="82"/>
  <c r="L2" i="82"/>
  <c r="I37" i="21"/>
  <c r="G37" i="21"/>
  <c r="E37" i="21"/>
  <c r="C37" i="21"/>
  <c r="C38" i="39" l="1"/>
  <c r="I38" i="39"/>
  <c r="G38" i="39"/>
  <c r="E38" i="39"/>
  <c r="E70" i="39"/>
  <c r="F70" i="39" s="1"/>
  <c r="G70" i="39" s="1"/>
  <c r="H70" i="39" s="1"/>
  <c r="I70" i="39" s="1"/>
  <c r="J70" i="39" s="1"/>
  <c r="K70" i="39" s="1"/>
  <c r="L70" i="39" s="1"/>
  <c r="M70" i="39" s="1"/>
  <c r="N70" i="39" s="1"/>
  <c r="O70" i="39" s="1"/>
  <c r="D70" i="39"/>
  <c r="I7" i="39"/>
  <c r="G7" i="39"/>
  <c r="E7" i="39"/>
  <c r="I5" i="39"/>
  <c r="G5" i="39"/>
  <c r="E5" i="39"/>
  <c r="X40" i="81"/>
  <c r="Y40" i="81" s="1"/>
  <c r="X39" i="81"/>
  <c r="Y39" i="81" s="1"/>
  <c r="U38" i="81"/>
  <c r="X38" i="81" s="1"/>
  <c r="Y38" i="81" s="1"/>
  <c r="X37" i="81"/>
  <c r="Y37" i="81" s="1"/>
  <c r="X36" i="81"/>
  <c r="Y36" i="81" s="1"/>
  <c r="I46" i="39" s="1"/>
  <c r="X35" i="81"/>
  <c r="Y35" i="81" s="1"/>
  <c r="X34" i="81"/>
  <c r="Y34" i="81" s="1"/>
  <c r="Y33" i="81"/>
  <c r="X33" i="81"/>
  <c r="X32" i="81"/>
  <c r="Y32" i="81" s="1"/>
  <c r="U31" i="81"/>
  <c r="X31" i="81" s="1"/>
  <c r="Y31" i="81" s="1"/>
  <c r="X30" i="81"/>
  <c r="Y30" i="81" s="1"/>
  <c r="X29" i="81"/>
  <c r="Y29" i="81" s="1"/>
  <c r="X28" i="81"/>
  <c r="Y28" i="81" s="1"/>
  <c r="X27" i="81"/>
  <c r="Y27" i="81" s="1"/>
  <c r="X26" i="81"/>
  <c r="Y26" i="81" s="1"/>
  <c r="X25" i="81"/>
  <c r="Y25" i="81" s="1"/>
  <c r="X24" i="81"/>
  <c r="Y24" i="81" s="1"/>
  <c r="G46" i="39" s="1"/>
  <c r="X23" i="81"/>
  <c r="Y23" i="81" s="1"/>
  <c r="E46" i="39" s="1"/>
  <c r="X22" i="81"/>
  <c r="Y22" i="81" s="1"/>
  <c r="U22" i="81"/>
  <c r="X21" i="81"/>
  <c r="Y21" i="81" s="1"/>
  <c r="Y20" i="81"/>
  <c r="X20" i="81"/>
  <c r="X19" i="81"/>
  <c r="Y19" i="81" s="1"/>
  <c r="X18" i="81"/>
  <c r="Y18" i="81" s="1"/>
  <c r="X17" i="81"/>
  <c r="Y17" i="81" s="1"/>
  <c r="U16" i="81"/>
  <c r="X16" i="81" s="1"/>
  <c r="Y16" i="81" s="1"/>
  <c r="X15" i="81"/>
  <c r="Y15" i="81" s="1"/>
  <c r="X14" i="81"/>
  <c r="Y14" i="81" s="1"/>
  <c r="X13" i="81"/>
  <c r="Y13" i="81" s="1"/>
  <c r="X12" i="81"/>
  <c r="Y12" i="81" s="1"/>
  <c r="X11" i="81"/>
  <c r="Y11" i="81" s="1"/>
  <c r="U10" i="81"/>
  <c r="X10" i="81" s="1"/>
  <c r="Y10" i="81" s="1"/>
  <c r="X9" i="81"/>
  <c r="Y9" i="81" s="1"/>
  <c r="U8" i="81"/>
  <c r="X8" i="81" s="1"/>
  <c r="Y8" i="81" s="1"/>
  <c r="X7" i="81"/>
  <c r="Y7" i="81" s="1"/>
  <c r="X6" i="81"/>
  <c r="Y6" i="81" s="1"/>
  <c r="X5" i="81"/>
  <c r="Y5" i="81" s="1"/>
  <c r="U4" i="81"/>
  <c r="X4" i="81" s="1"/>
  <c r="Y4" i="81" s="1"/>
  <c r="U3" i="81"/>
  <c r="X3" i="81" s="1"/>
  <c r="Y3" i="81" s="1"/>
  <c r="X2" i="81"/>
  <c r="Y2" i="81" s="1"/>
  <c r="N6" i="1"/>
  <c r="Y6" i="1" s="1"/>
  <c r="K14" i="3"/>
  <c r="K15" i="3"/>
  <c r="K16" i="3"/>
  <c r="K17" i="3"/>
  <c r="K18" i="3"/>
  <c r="K19" i="3"/>
  <c r="K20" i="3"/>
  <c r="K21" i="3"/>
  <c r="K22" i="3"/>
  <c r="K23" i="3"/>
  <c r="K24" i="3"/>
  <c r="K25" i="3"/>
  <c r="K26" i="3"/>
  <c r="K27" i="3"/>
  <c r="K28" i="3"/>
  <c r="K29" i="3"/>
  <c r="K30" i="3"/>
  <c r="K31" i="3"/>
  <c r="K32" i="3"/>
  <c r="K13" i="3"/>
  <c r="I14" i="3"/>
  <c r="I15" i="3"/>
  <c r="I16" i="3"/>
  <c r="I17" i="3"/>
  <c r="I18" i="3"/>
  <c r="I19" i="3"/>
  <c r="I20" i="3"/>
  <c r="I21" i="3"/>
  <c r="I22" i="3"/>
  <c r="I23" i="3"/>
  <c r="I24" i="3"/>
  <c r="I25" i="3"/>
  <c r="I26" i="3"/>
  <c r="I27" i="3"/>
  <c r="I28" i="3"/>
  <c r="I29" i="3"/>
  <c r="I30" i="3"/>
  <c r="I31" i="3"/>
  <c r="I32" i="3"/>
  <c r="I13" i="3"/>
  <c r="C14" i="3"/>
  <c r="C15" i="3"/>
  <c r="C16" i="3"/>
  <c r="C17" i="3"/>
  <c r="C18" i="3"/>
  <c r="C19" i="3"/>
  <c r="C20" i="3"/>
  <c r="C21" i="3"/>
  <c r="C22" i="3"/>
  <c r="C23" i="3"/>
  <c r="C24" i="3"/>
  <c r="C25" i="3"/>
  <c r="C26" i="3"/>
  <c r="C27" i="3"/>
  <c r="C28" i="3"/>
  <c r="C29" i="3"/>
  <c r="C30" i="3"/>
  <c r="C31" i="3"/>
  <c r="C13" i="3"/>
  <c r="E40" i="80"/>
  <c r="E39" i="80" s="1"/>
  <c r="C28" i="80"/>
  <c r="C27" i="80" s="1"/>
  <c r="E24" i="80"/>
  <c r="E38" i="80" s="1"/>
  <c r="D24" i="80"/>
  <c r="E37" i="80" s="1"/>
  <c r="L23" i="80"/>
  <c r="C23" i="80"/>
  <c r="I22" i="80"/>
  <c r="G22" i="80"/>
  <c r="C22" i="80"/>
  <c r="C21" i="80"/>
  <c r="C31" i="80" s="1"/>
  <c r="C20" i="80"/>
  <c r="C19" i="80"/>
  <c r="C18" i="80"/>
  <c r="C17" i="80"/>
  <c r="C16" i="80"/>
  <c r="C15" i="80"/>
  <c r="C14" i="80"/>
  <c r="C13" i="80"/>
  <c r="C12" i="80"/>
  <c r="C11" i="80"/>
  <c r="C10" i="80"/>
  <c r="C9" i="80"/>
  <c r="C8" i="80"/>
  <c r="C7" i="80"/>
  <c r="H7" i="80" s="1"/>
  <c r="C6" i="80"/>
  <c r="C5" i="80"/>
  <c r="C4" i="80"/>
  <c r="D3" i="4"/>
  <c r="G14" i="73"/>
  <c r="F14" i="73"/>
  <c r="E14" i="73"/>
  <c r="H22" i="80" l="1"/>
  <c r="M23" i="80"/>
  <c r="H21" i="80"/>
  <c r="C24" i="80"/>
  <c r="F29" i="80" s="1"/>
  <c r="E36" i="80"/>
  <c r="E51" i="80"/>
  <c r="E50" i="80"/>
  <c r="E48" i="80"/>
  <c r="E49" i="80"/>
  <c r="G4" i="80"/>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5" i="80" l="1"/>
  <c r="G23" i="80"/>
  <c r="H23" i="80" s="1"/>
  <c r="I23" i="80" s="1"/>
  <c r="H4" i="80"/>
  <c r="G8" i="80"/>
  <c r="G15" i="73"/>
  <c r="F15" i="73"/>
  <c r="E15" i="73"/>
  <c r="G16" i="73"/>
  <c r="F16" i="73"/>
  <c r="E16" i="73"/>
  <c r="H8" i="80" l="1"/>
  <c r="G9" i="80"/>
  <c r="G6" i="80"/>
  <c r="H5" i="80"/>
  <c r="AB32" i="79"/>
  <c r="AA32" i="79"/>
  <c r="Z32" i="79"/>
  <c r="N32" i="79"/>
  <c r="M32" i="79"/>
  <c r="P32" i="79" s="1"/>
  <c r="L32" i="79"/>
  <c r="I32" i="79"/>
  <c r="AC7" i="79"/>
  <c r="AB7" i="79"/>
  <c r="AA7" i="79"/>
  <c r="AD7" i="79" s="1"/>
  <c r="Z7" i="79"/>
  <c r="Y7" i="79"/>
  <c r="O7" i="79"/>
  <c r="N7" i="79"/>
  <c r="M7" i="79"/>
  <c r="P7" i="79" s="1"/>
  <c r="L7" i="79"/>
  <c r="K7" i="79"/>
  <c r="I7" i="79"/>
  <c r="G10" i="80" l="1"/>
  <c r="H9" i="80"/>
  <c r="I7" i="80"/>
  <c r="H6" i="80"/>
  <c r="I10" i="79"/>
  <c r="H10" i="80" l="1"/>
  <c r="G11" i="80"/>
  <c r="I35" i="79"/>
  <c r="I34" i="79"/>
  <c r="N34" i="79"/>
  <c r="M34" i="79"/>
  <c r="P34" i="79" s="1"/>
  <c r="L34" i="79"/>
  <c r="N35" i="79"/>
  <c r="M35" i="79"/>
  <c r="L35" i="79"/>
  <c r="O9" i="79"/>
  <c r="N9" i="79"/>
  <c r="M9" i="79"/>
  <c r="P9" i="79" s="1"/>
  <c r="L9" i="79"/>
  <c r="K9" i="79"/>
  <c r="O10" i="79"/>
  <c r="N10" i="79"/>
  <c r="M10" i="79"/>
  <c r="P10" i="79" s="1"/>
  <c r="L10" i="79"/>
  <c r="K10" i="79"/>
  <c r="H11" i="80" l="1"/>
  <c r="G12" i="80"/>
  <c r="P35" i="79"/>
  <c r="G13" i="80" l="1"/>
  <c r="H12" i="80"/>
  <c r="G17" i="73"/>
  <c r="F17" i="73"/>
  <c r="E17" i="73"/>
  <c r="G14" i="80" l="1"/>
  <c r="H13" i="80"/>
  <c r="L36" i="79"/>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H14" i="80" l="1"/>
  <c r="G15" i="80"/>
  <c r="P38" i="79"/>
  <c r="B10" i="74"/>
  <c r="H15" i="80" l="1"/>
  <c r="G16" i="80"/>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H16" i="80" l="1"/>
  <c r="G17" i="80"/>
  <c r="C7" i="78"/>
  <c r="C6" i="78"/>
  <c r="C5" i="78"/>
  <c r="F13" i="1"/>
  <c r="D13" i="1"/>
  <c r="D12" i="1"/>
  <c r="D11" i="1"/>
  <c r="D10" i="1"/>
  <c r="D9" i="1"/>
  <c r="D8" i="1"/>
  <c r="D7" i="1"/>
  <c r="D6" i="1"/>
  <c r="G18" i="80" l="1"/>
  <c r="H17" i="80"/>
  <c r="I2" i="43"/>
  <c r="M1" i="43" s="1"/>
  <c r="G19" i="80" l="1"/>
  <c r="H18" i="80"/>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AD32" i="79"/>
  <c r="H19" i="80"/>
  <c r="G20" i="80"/>
  <c r="H20" i="80" s="1"/>
  <c r="H24" i="80" s="1"/>
  <c r="G24" i="80" s="1"/>
  <c r="Z3" i="79"/>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F67" i="71" s="1"/>
  <c r="E68" i="71"/>
  <c r="P68" i="71" s="1"/>
  <c r="C68" i="71"/>
  <c r="C67" i="71" s="1"/>
  <c r="B68" i="71"/>
  <c r="S68" i="71" s="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O38" i="71"/>
  <c r="N38" i="71"/>
  <c r="Q37" i="71"/>
  <c r="AB37" i="71" s="1"/>
  <c r="P37" i="71"/>
  <c r="O37" i="71"/>
  <c r="Y37" i="71" s="1"/>
  <c r="Z37" i="71" s="1"/>
  <c r="N37" i="71"/>
  <c r="B38" i="71" s="1"/>
  <c r="D37" i="71"/>
  <c r="Q36" i="71"/>
  <c r="P36" i="71"/>
  <c r="O36" i="71"/>
  <c r="N36" i="71"/>
  <c r="Q35" i="71"/>
  <c r="P35" i="71"/>
  <c r="AA35" i="71" s="1"/>
  <c r="O35" i="71"/>
  <c r="N35" i="71"/>
  <c r="Q34" i="71"/>
  <c r="P34" i="71"/>
  <c r="O34" i="71"/>
  <c r="N34" i="71"/>
  <c r="Q33" i="71"/>
  <c r="F34" i="71" s="1"/>
  <c r="P33" i="71"/>
  <c r="AA28" i="71" s="1"/>
  <c r="O33" i="71"/>
  <c r="C34" i="71" s="1"/>
  <c r="N33" i="71"/>
  <c r="D33" i="71"/>
  <c r="Q32" i="71"/>
  <c r="AB32" i="71" s="1"/>
  <c r="P32" i="71"/>
  <c r="O32" i="71"/>
  <c r="N32" i="71"/>
  <c r="Q31" i="71"/>
  <c r="P31" i="71"/>
  <c r="O31" i="71"/>
  <c r="N31" i="71"/>
  <c r="Q30" i="71"/>
  <c r="P30" i="71"/>
  <c r="O30" i="71"/>
  <c r="N30" i="71"/>
  <c r="Q29" i="71"/>
  <c r="F30" i="71" s="1"/>
  <c r="P29" i="71"/>
  <c r="E30" i="71" s="1"/>
  <c r="E31" i="71" s="1"/>
  <c r="E32" i="71" s="1"/>
  <c r="U32" i="71" s="1"/>
  <c r="O29" i="71"/>
  <c r="N29" i="71"/>
  <c r="X26" i="71" s="1"/>
  <c r="D29" i="71"/>
  <c r="O28" i="71"/>
  <c r="C28" i="71" s="1"/>
  <c r="N28" i="71"/>
  <c r="B30" i="71"/>
  <c r="B31" i="71" s="1"/>
  <c r="B32" i="71" s="1"/>
  <c r="S32" i="71" s="1"/>
  <c r="B34" i="71"/>
  <c r="B35" i="71" s="1"/>
  <c r="B36" i="71" s="1"/>
  <c r="S36" i="71" s="1"/>
  <c r="B39" i="71"/>
  <c r="E38" i="71"/>
  <c r="E39" i="71" s="1"/>
  <c r="E40" i="71" s="1"/>
  <c r="U40" i="71" s="1"/>
  <c r="N68" i="71"/>
  <c r="C30" i="71"/>
  <c r="Y29" i="71"/>
  <c r="Z29" i="71" s="1"/>
  <c r="Y25" i="71"/>
  <c r="Z25" i="71" s="1"/>
  <c r="B28" i="71"/>
  <c r="B27" i="71" s="1"/>
  <c r="B26" i="71"/>
  <c r="D30" i="71"/>
  <c r="P28" i="71"/>
  <c r="E28" i="71" s="1"/>
  <c r="E67" i="71"/>
  <c r="E66" i="71" s="1"/>
  <c r="P65" i="71" s="1"/>
  <c r="Q28" i="71"/>
  <c r="F28" i="71" s="1"/>
  <c r="F27" i="71" s="1"/>
  <c r="F26" i="71" s="1"/>
  <c r="D62" i="71"/>
  <c r="D68" i="71"/>
  <c r="Q68" i="71"/>
  <c r="E71" i="71"/>
  <c r="E70" i="71" s="1"/>
  <c r="E79" i="71"/>
  <c r="E78" i="71" s="1"/>
  <c r="D80" i="71"/>
  <c r="C87" i="71"/>
  <c r="C86" i="71" s="1"/>
  <c r="D86" i="71" s="1"/>
  <c r="AB27" i="71"/>
  <c r="P67"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S21" i="34" s="1"/>
  <c r="AA21" i="34"/>
  <c r="C21" i="34"/>
  <c r="Q21" i="33"/>
  <c r="Z21" i="33" s="1"/>
  <c r="D83" i="33"/>
  <c r="E83" i="33" s="1"/>
  <c r="F83" i="33" s="1"/>
  <c r="G83" i="33" s="1"/>
  <c r="C21" i="33"/>
  <c r="C21" i="21"/>
  <c r="Q21" i="21"/>
  <c r="Z21" i="21" s="1"/>
  <c r="D83" i="21"/>
  <c r="F21" i="21"/>
  <c r="AA21" i="21" s="1"/>
  <c r="D81" i="21"/>
  <c r="G20" i="20"/>
  <c r="C25" i="40" s="1"/>
  <c r="C22" i="20"/>
  <c r="B100" i="43" s="1"/>
  <c r="B77" i="43"/>
  <c r="S25" i="40"/>
  <c r="S18" i="36"/>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G83" i="21" s="1"/>
  <c r="H1" i="69"/>
  <c r="U25" i="40"/>
  <c r="W18" i="36"/>
  <c r="S21" i="37"/>
  <c r="S21" i="33"/>
  <c r="AC18" i="35"/>
  <c r="J21" i="37"/>
  <c r="W21" i="37" s="1"/>
  <c r="J21" i="34"/>
  <c r="W21" i="34" s="1"/>
  <c r="J21" i="33"/>
  <c r="W21" i="33" s="1"/>
  <c r="H21" i="21"/>
  <c r="U21" i="21" s="1"/>
  <c r="F38" i="69"/>
  <c r="E37" i="69"/>
  <c r="F36" i="69"/>
  <c r="F35" i="69"/>
  <c r="F21" i="69"/>
  <c r="F40" i="69" s="1"/>
  <c r="F20" i="69"/>
  <c r="F39" i="69" s="1"/>
  <c r="E10" i="69"/>
  <c r="E9" i="69"/>
  <c r="AC21" i="37"/>
  <c r="J21" i="21"/>
  <c r="AC21" i="21" s="1"/>
  <c r="F38" i="68"/>
  <c r="E37" i="68"/>
  <c r="F36" i="68"/>
  <c r="F35" i="68"/>
  <c r="F21" i="68"/>
  <c r="F40" i="68" s="1"/>
  <c r="C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A255" i="3" s="1"/>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L14" i="3" s="1"/>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A528" i="3" s="1"/>
  <c r="AZ528" i="3" s="1"/>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L534" i="3" s="1"/>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A565" i="3" s="1"/>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A567" i="3" s="1"/>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L576" i="3" s="1"/>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A583" i="3" s="1"/>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H13" i="40" s="1"/>
  <c r="U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Q37" i="40"/>
  <c r="Z37" i="40" s="1"/>
  <c r="Q36" i="40"/>
  <c r="Z36" i="40" s="1"/>
  <c r="Q35" i="40"/>
  <c r="Z35" i="40"/>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c r="Q9" i="40"/>
  <c r="Z9" i="40" s="1"/>
  <c r="J9" i="40"/>
  <c r="W9" i="40" s="1"/>
  <c r="H9" i="40"/>
  <c r="AB9" i="40" s="1"/>
  <c r="F9" i="40"/>
  <c r="AA9" i="40" s="1"/>
  <c r="S9" i="40"/>
  <c r="J8" i="40"/>
  <c r="AC8" i="40" s="1"/>
  <c r="H8" i="40"/>
  <c r="AB8" i="40"/>
  <c r="F8" i="40"/>
  <c r="AA8" i="40" s="1"/>
  <c r="J38" i="39"/>
  <c r="W38" i="39" s="1"/>
  <c r="H38" i="39"/>
  <c r="AB38" i="39" s="1"/>
  <c r="F38" i="39"/>
  <c r="D123" i="39"/>
  <c r="E123" i="39" s="1"/>
  <c r="F123" i="39" s="1"/>
  <c r="G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F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D94" i="39"/>
  <c r="E94" i="39" s="1"/>
  <c r="F94" i="39" s="1"/>
  <c r="D92" i="39"/>
  <c r="E92" i="39" s="1"/>
  <c r="F92" i="39" s="1"/>
  <c r="D90" i="39"/>
  <c r="E90" i="39" s="1"/>
  <c r="F90" i="39" s="1"/>
  <c r="G90" i="39" s="1"/>
  <c r="D88" i="39"/>
  <c r="E88" i="39"/>
  <c r="F88" i="39" s="1"/>
  <c r="G88" i="39" s="1"/>
  <c r="B85" i="39"/>
  <c r="H14" i="39" s="1"/>
  <c r="AB14" i="39" s="1"/>
  <c r="B83" i="39"/>
  <c r="B81" i="39"/>
  <c r="H12" i="39" s="1"/>
  <c r="J12" i="39"/>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F25" i="37" s="1"/>
  <c r="B110" i="37"/>
  <c r="J39" i="37" s="1"/>
  <c r="AC39" i="37" s="1"/>
  <c r="B108" i="37"/>
  <c r="J38" i="37" s="1"/>
  <c r="AC38" i="37" s="1"/>
  <c r="C23" i="37"/>
  <c r="C19" i="37"/>
  <c r="C17" i="37"/>
  <c r="C15" i="37"/>
  <c r="B112" i="37"/>
  <c r="F40" i="37" s="1"/>
  <c r="AA40" i="37" s="1"/>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F13" i="37" s="1"/>
  <c r="S13" i="37" s="1"/>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AC30" i="37" s="1"/>
  <c r="H30" i="37"/>
  <c r="F30" i="37"/>
  <c r="AA30" i="37" s="1"/>
  <c r="Q29" i="37"/>
  <c r="Z29" i="37" s="1"/>
  <c r="H29" i="37"/>
  <c r="AB29" i="37" s="1"/>
  <c r="Q28" i="37"/>
  <c r="Z28" i="37" s="1"/>
  <c r="Q27" i="37"/>
  <c r="Z27" i="37" s="1"/>
  <c r="Q26" i="37"/>
  <c r="Z26" i="37" s="1"/>
  <c r="H26" i="37"/>
  <c r="AB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AB33" i="36" s="1"/>
  <c r="B91" i="36"/>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F23" i="36" s="1"/>
  <c r="AA23" i="36" s="1"/>
  <c r="D70" i="36"/>
  <c r="H22" i="36"/>
  <c r="AB22" i="36" s="1"/>
  <c r="D68" i="36"/>
  <c r="E68" i="36" s="1"/>
  <c r="F68" i="36" s="1"/>
  <c r="G68" i="36" s="1"/>
  <c r="D64" i="36"/>
  <c r="E64" i="36" s="1"/>
  <c r="F64" i="36"/>
  <c r="G64" i="36" s="1"/>
  <c r="J16" i="36"/>
  <c r="W16" i="36" s="1"/>
  <c r="D62" i="36"/>
  <c r="E62" i="36"/>
  <c r="F62" i="36" s="1"/>
  <c r="G62" i="36" s="1"/>
  <c r="B59" i="36"/>
  <c r="B57" i="36"/>
  <c r="F12" i="36" s="1"/>
  <c r="S12" i="36" s="1"/>
  <c r="J12" i="36"/>
  <c r="AC12" i="36" s="1"/>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c r="J22" i="36"/>
  <c r="AC22" i="36" s="1"/>
  <c r="Q20" i="36"/>
  <c r="Z20" i="36"/>
  <c r="Q16" i="36"/>
  <c r="Z16" i="36" s="1"/>
  <c r="Q14" i="36"/>
  <c r="Z14" i="36"/>
  <c r="Q13" i="36"/>
  <c r="Z13" i="36" s="1"/>
  <c r="Q12" i="36"/>
  <c r="Z12" i="36" s="1"/>
  <c r="H12" i="36"/>
  <c r="AB12" i="36" s="1"/>
  <c r="Q11" i="36"/>
  <c r="Z11" i="36"/>
  <c r="Q10" i="36"/>
  <c r="Z10" i="36" s="1"/>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B97" i="35"/>
  <c r="H34" i="35" s="1"/>
  <c r="B77" i="35"/>
  <c r="B75" i="35"/>
  <c r="J24" i="35" s="1"/>
  <c r="AC24" i="35"/>
  <c r="B73" i="35"/>
  <c r="B57" i="35"/>
  <c r="F11" i="35" s="1"/>
  <c r="S11" i="35" s="1"/>
  <c r="B61" i="35"/>
  <c r="B59" i="35"/>
  <c r="B131" i="34"/>
  <c r="B129" i="34"/>
  <c r="B127" i="34"/>
  <c r="B99" i="34"/>
  <c r="B97" i="34"/>
  <c r="B95" i="34"/>
  <c r="F30" i="34" s="1"/>
  <c r="S30" i="34" s="1"/>
  <c r="B93" i="34"/>
  <c r="B75" i="34"/>
  <c r="H14" i="34" s="1"/>
  <c r="B73" i="34"/>
  <c r="F13" i="34" s="1"/>
  <c r="AA13" i="34" s="1"/>
  <c r="B71" i="34"/>
  <c r="J12" i="34" s="1"/>
  <c r="W12" i="34" s="1"/>
  <c r="B130" i="33"/>
  <c r="B128" i="33"/>
  <c r="B126" i="33"/>
  <c r="F44" i="33" s="1"/>
  <c r="B98" i="33"/>
  <c r="B96" i="33"/>
  <c r="B94" i="33"/>
  <c r="B74" i="33"/>
  <c r="B72" i="33"/>
  <c r="F13" i="33" s="1"/>
  <c r="S13" i="33" s="1"/>
  <c r="B70" i="33"/>
  <c r="J12" i="33"/>
  <c r="W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W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s="1"/>
  <c r="Q42" i="34"/>
  <c r="Z42" i="34" s="1"/>
  <c r="Q41" i="34"/>
  <c r="Z41" i="34" s="1"/>
  <c r="Q40" i="34"/>
  <c r="Z40" i="34" s="1"/>
  <c r="Q39" i="34"/>
  <c r="Z39" i="34"/>
  <c r="H39" i="34"/>
  <c r="AB39" i="34" s="1"/>
  <c r="Q38" i="34"/>
  <c r="Z38" i="34"/>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F12" i="34"/>
  <c r="S12" i="34" s="1"/>
  <c r="Q11" i="34"/>
  <c r="Z11" i="34" s="1"/>
  <c r="Q10" i="34"/>
  <c r="Z10" i="34"/>
  <c r="F10" i="34"/>
  <c r="AA10" i="34" s="1"/>
  <c r="Q9" i="34"/>
  <c r="Z9" i="34"/>
  <c r="H9" i="34"/>
  <c r="J8" i="34"/>
  <c r="AC8" i="34" s="1"/>
  <c r="H8" i="34"/>
  <c r="U8" i="34" s="1"/>
  <c r="F8" i="34"/>
  <c r="D121" i="33"/>
  <c r="E121" i="33" s="1"/>
  <c r="F109" i="33"/>
  <c r="E109" i="33"/>
  <c r="D109" i="33"/>
  <c r="C109" i="33"/>
  <c r="D91" i="33"/>
  <c r="E91" i="33" s="1"/>
  <c r="B88" i="33"/>
  <c r="C23" i="33"/>
  <c r="C19" i="33"/>
  <c r="C17" i="33"/>
  <c r="C15" i="33"/>
  <c r="C15" i="21"/>
  <c r="D125" i="33"/>
  <c r="E125" i="33" s="1"/>
  <c r="F125" i="33" s="1"/>
  <c r="G125" i="33" s="1"/>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s="1"/>
  <c r="Q45" i="33"/>
  <c r="Z45" i="33" s="1"/>
  <c r="Q44" i="33"/>
  <c r="Z44" i="33"/>
  <c r="Q43" i="33"/>
  <c r="Z43" i="33" s="1"/>
  <c r="Q42" i="33"/>
  <c r="Z42" i="33"/>
  <c r="J42" i="33"/>
  <c r="AC42" i="33" s="1"/>
  <c r="AC41" i="33"/>
  <c r="Q41" i="33"/>
  <c r="Z41" i="33" s="1"/>
  <c r="Q40" i="33"/>
  <c r="Z40" i="33" s="1"/>
  <c r="J40" i="33"/>
  <c r="AC40" i="33" s="1"/>
  <c r="H40" i="33"/>
  <c r="AB40" i="33" s="1"/>
  <c r="Q39" i="33"/>
  <c r="Z39" i="33"/>
  <c r="J39" i="33"/>
  <c r="AC39" i="33" s="1"/>
  <c r="Q38" i="33"/>
  <c r="Z38" i="33"/>
  <c r="J38" i="33"/>
  <c r="AC38" i="33" s="1"/>
  <c r="H38" i="33"/>
  <c r="AB38" i="33" s="1"/>
  <c r="F38" i="33"/>
  <c r="Q37" i="33"/>
  <c r="Z37" i="33" s="1"/>
  <c r="Q36" i="33"/>
  <c r="Z36" i="33" s="1"/>
  <c r="Q35" i="33"/>
  <c r="Z35" i="33"/>
  <c r="H35" i="33"/>
  <c r="Q34" i="33"/>
  <c r="Z34" i="33"/>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C21" i="20"/>
  <c r="B99" i="43" s="1"/>
  <c r="C20" i="20"/>
  <c r="B101" i="43" s="1"/>
  <c r="C18" i="20"/>
  <c r="B94" i="43" s="1"/>
  <c r="C17" i="20"/>
  <c r="C19" i="39"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H19" i="21" s="1"/>
  <c r="D77" i="21"/>
  <c r="E77" i="21" s="1"/>
  <c r="B130" i="21"/>
  <c r="F46" i="21" s="1"/>
  <c r="AA46" i="21" s="1"/>
  <c r="B128" i="21"/>
  <c r="B126" i="21"/>
  <c r="B98" i="21"/>
  <c r="H31" i="21"/>
  <c r="B96" i="21"/>
  <c r="B94" i="21"/>
  <c r="J29" i="21"/>
  <c r="AC29" i="21"/>
  <c r="B92" i="21"/>
  <c r="B90" i="21"/>
  <c r="J27" i="2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s="1"/>
  <c r="Q28" i="21"/>
  <c r="Z28" i="21" s="1"/>
  <c r="Q29" i="21"/>
  <c r="Z29" i="21" s="1"/>
  <c r="Q30" i="21"/>
  <c r="Z30" i="21"/>
  <c r="Q31" i="21"/>
  <c r="Z31" i="21" s="1"/>
  <c r="Q32" i="21"/>
  <c r="Z32" i="21"/>
  <c r="Q33" i="21"/>
  <c r="Z33" i="21" s="1"/>
  <c r="Q34" i="21"/>
  <c r="Z34" i="21"/>
  <c r="Q35" i="21"/>
  <c r="Z35" i="21" s="1"/>
  <c r="Q36" i="21"/>
  <c r="Z36" i="21" s="1"/>
  <c r="Q37" i="21"/>
  <c r="Z37" i="21"/>
  <c r="J38" i="21"/>
  <c r="W38" i="21" s="1"/>
  <c r="Q38" i="21"/>
  <c r="Z38" i="21"/>
  <c r="J39" i="21"/>
  <c r="AC39" i="21" s="1"/>
  <c r="Q39" i="21"/>
  <c r="Z39" i="21"/>
  <c r="H40" i="21"/>
  <c r="AB40" i="21" s="1"/>
  <c r="Q40" i="21"/>
  <c r="Z40" i="21" s="1"/>
  <c r="Q41" i="21"/>
  <c r="Z41" i="21" s="1"/>
  <c r="Q42" i="21"/>
  <c r="Z42"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H38" i="21"/>
  <c r="U38" i="21" s="1"/>
  <c r="H43" i="21"/>
  <c r="AB43" i="21" s="1"/>
  <c r="F38" i="21"/>
  <c r="S38" i="21" s="1"/>
  <c r="F39" i="21"/>
  <c r="AA39" i="21" s="1"/>
  <c r="J40" i="21"/>
  <c r="W40" i="21" s="1"/>
  <c r="J8" i="21"/>
  <c r="AC8" i="21" s="1"/>
  <c r="H8" i="21"/>
  <c r="U8" i="21" s="1"/>
  <c r="H10" i="21"/>
  <c r="AB10" i="21" s="1"/>
  <c r="H39" i="21"/>
  <c r="U39" i="21" s="1"/>
  <c r="J34" i="21"/>
  <c r="W34" i="21" s="1"/>
  <c r="H36" i="21"/>
  <c r="U36" i="21" s="1"/>
  <c r="J10" i="21"/>
  <c r="AC10" i="21" s="1"/>
  <c r="H26" i="21"/>
  <c r="AB26" i="21" s="1"/>
  <c r="J19" i="21"/>
  <c r="W19" i="21" s="1"/>
  <c r="J26" i="21"/>
  <c r="W26" i="21" s="1"/>
  <c r="F26" i="21"/>
  <c r="S26" i="21" s="1"/>
  <c r="F36" i="39"/>
  <c r="S36" i="39" s="1"/>
  <c r="U9" i="39"/>
  <c r="E103" i="37"/>
  <c r="F103" i="37" s="1"/>
  <c r="G103" i="37" s="1"/>
  <c r="H103" i="37" s="1"/>
  <c r="I103" i="37" s="1"/>
  <c r="J103" i="37" s="1"/>
  <c r="K103" i="37" s="1"/>
  <c r="L103" i="37" s="1"/>
  <c r="M103" i="37" s="1"/>
  <c r="F39" i="37"/>
  <c r="S39" i="37" s="1"/>
  <c r="F29" i="36"/>
  <c r="AA29" i="36" s="1"/>
  <c r="F16" i="36"/>
  <c r="AA16" i="36" s="1"/>
  <c r="W28" i="36"/>
  <c r="U31" i="36"/>
  <c r="H22" i="35"/>
  <c r="AB22" i="35" s="1"/>
  <c r="U31" i="35"/>
  <c r="F36" i="34"/>
  <c r="J35" i="34"/>
  <c r="U34" i="34"/>
  <c r="H39" i="33"/>
  <c r="AB39" i="33" s="1"/>
  <c r="U33" i="33"/>
  <c r="W39" i="33"/>
  <c r="S27" i="35"/>
  <c r="F11" i="40"/>
  <c r="AA11" i="40" s="1"/>
  <c r="H11" i="40"/>
  <c r="AB11" i="40"/>
  <c r="W8" i="40"/>
  <c r="U9" i="40"/>
  <c r="W31" i="40"/>
  <c r="U34" i="40"/>
  <c r="S38" i="40"/>
  <c r="F42" i="39"/>
  <c r="AA42" i="39" s="1"/>
  <c r="F41" i="39"/>
  <c r="S41" i="39" s="1"/>
  <c r="H40" i="39"/>
  <c r="AB40" i="39" s="1"/>
  <c r="H39" i="39"/>
  <c r="U39" i="39" s="1"/>
  <c r="H34" i="39"/>
  <c r="E108" i="39"/>
  <c r="F19" i="39"/>
  <c r="AA19" i="39" s="1"/>
  <c r="H17" i="39"/>
  <c r="AB17" i="39" s="1"/>
  <c r="J23" i="40"/>
  <c r="AC23" i="40" s="1"/>
  <c r="F21" i="40"/>
  <c r="S21" i="40" s="1"/>
  <c r="AA21" i="40"/>
  <c r="J21" i="40"/>
  <c r="W21" i="40" s="1"/>
  <c r="H42" i="39"/>
  <c r="AB42" i="39" s="1"/>
  <c r="J34" i="39"/>
  <c r="AC34" i="39" s="1"/>
  <c r="F108" i="39"/>
  <c r="G108" i="39" s="1"/>
  <c r="H108" i="39" s="1"/>
  <c r="I108" i="39" s="1"/>
  <c r="J108" i="39" s="1"/>
  <c r="K108" i="39" s="1"/>
  <c r="L108" i="39" s="1"/>
  <c r="M108" i="39" s="1"/>
  <c r="J31" i="39"/>
  <c r="AC31" i="39" s="1"/>
  <c r="J17" i="39"/>
  <c r="W17" i="39" s="1"/>
  <c r="J27" i="39"/>
  <c r="W27" i="39" s="1"/>
  <c r="F11" i="21"/>
  <c r="S11" i="21" s="1"/>
  <c r="C25" i="39"/>
  <c r="C15" i="39"/>
  <c r="H32" i="33"/>
  <c r="AB32" i="33"/>
  <c r="H11" i="21"/>
  <c r="U11" i="21" s="1"/>
  <c r="J11" i="21"/>
  <c r="W11" i="21" s="1"/>
  <c r="H37" i="40"/>
  <c r="U37" i="40"/>
  <c r="H36" i="40"/>
  <c r="F35" i="40"/>
  <c r="AA35" i="40" s="1"/>
  <c r="H23" i="40"/>
  <c r="AB23" i="40" s="1"/>
  <c r="H17" i="40"/>
  <c r="U17" i="40"/>
  <c r="J15" i="40"/>
  <c r="W15" i="40" s="1"/>
  <c r="J11" i="40"/>
  <c r="W11" i="40" s="1"/>
  <c r="AC12" i="34"/>
  <c r="F37" i="39"/>
  <c r="AA37" i="39" s="1"/>
  <c r="J34" i="36"/>
  <c r="W34" i="36" s="1"/>
  <c r="J30" i="35"/>
  <c r="W30" i="35" s="1"/>
  <c r="H30" i="35"/>
  <c r="AB30" i="35" s="1"/>
  <c r="F22" i="35"/>
  <c r="AA22" i="35" s="1"/>
  <c r="H10" i="35"/>
  <c r="U10" i="35" s="1"/>
  <c r="W30" i="36"/>
  <c r="H16" i="36"/>
  <c r="AB16" i="36" s="1"/>
  <c r="J85" i="36"/>
  <c r="K85" i="36" s="1"/>
  <c r="L85" i="36" s="1"/>
  <c r="M85" i="36" s="1"/>
  <c r="J29" i="36"/>
  <c r="AC29" i="36" s="1"/>
  <c r="F24" i="36"/>
  <c r="AA24" i="36"/>
  <c r="F34" i="36"/>
  <c r="S34" i="36" s="1"/>
  <c r="F14" i="35"/>
  <c r="AA14" i="35"/>
  <c r="F23" i="35"/>
  <c r="AA23" i="35" s="1"/>
  <c r="J32" i="35"/>
  <c r="AC32" i="35" s="1"/>
  <c r="J16" i="35"/>
  <c r="AC16" i="35"/>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c r="AB34" i="37"/>
  <c r="J33" i="37"/>
  <c r="AC33" i="37" s="1"/>
  <c r="H40" i="34"/>
  <c r="U40" i="34"/>
  <c r="H36" i="34"/>
  <c r="U36" i="34" s="1"/>
  <c r="F37" i="34"/>
  <c r="AA37" i="34" s="1"/>
  <c r="S35" i="34"/>
  <c r="F28" i="34"/>
  <c r="AA28" i="34" s="1"/>
  <c r="F25" i="34"/>
  <c r="S25" i="34" s="1"/>
  <c r="H23" i="34"/>
  <c r="AB23" i="34" s="1"/>
  <c r="J23" i="34"/>
  <c r="F19" i="34"/>
  <c r="H17" i="34"/>
  <c r="U17" i="34" s="1"/>
  <c r="F15" i="34"/>
  <c r="AA15" i="34" s="1"/>
  <c r="J15" i="34"/>
  <c r="H15" i="34"/>
  <c r="AB15" i="34" s="1"/>
  <c r="W8" i="34"/>
  <c r="F41" i="33"/>
  <c r="S41" i="33" s="1"/>
  <c r="E113" i="33"/>
  <c r="F32" i="33"/>
  <c r="AA32" i="33"/>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A12" i="36"/>
  <c r="F29" i="35"/>
  <c r="H29" i="35"/>
  <c r="AB29" i="35" s="1"/>
  <c r="H33" i="37"/>
  <c r="F33" i="37"/>
  <c r="AA33" i="37" s="1"/>
  <c r="U34" i="37"/>
  <c r="J43" i="34"/>
  <c r="AB42" i="34"/>
  <c r="J40" i="34"/>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U37" i="33" s="1"/>
  <c r="H15" i="33"/>
  <c r="AB15" i="33" s="1"/>
  <c r="H11" i="33"/>
  <c r="AB11" i="33" s="1"/>
  <c r="F28" i="40"/>
  <c r="AA28" i="40" s="1"/>
  <c r="AA42" i="34"/>
  <c r="S42" i="34"/>
  <c r="AC38" i="34"/>
  <c r="J37" i="34"/>
  <c r="AC37" i="34" s="1"/>
  <c r="J11" i="33"/>
  <c r="W11" i="33" s="1"/>
  <c r="S28" i="34"/>
  <c r="J44" i="34"/>
  <c r="F44" i="34"/>
  <c r="S44" i="34" s="1"/>
  <c r="J10" i="35"/>
  <c r="AC10" i="35" s="1"/>
  <c r="F14" i="21"/>
  <c r="S14" i="21" s="1"/>
  <c r="H30" i="21"/>
  <c r="AB30" i="21" s="1"/>
  <c r="J44" i="21"/>
  <c r="AC44" i="21" s="1"/>
  <c r="H44" i="21"/>
  <c r="U44" i="21" s="1"/>
  <c r="F44" i="21"/>
  <c r="AA44" i="21" s="1"/>
  <c r="H46" i="21"/>
  <c r="U46" i="21" s="1"/>
  <c r="J46" i="21"/>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J13" i="33"/>
  <c r="H13" i="33"/>
  <c r="U13" i="33" s="1"/>
  <c r="F29" i="33"/>
  <c r="S29" i="33" s="1"/>
  <c r="J31" i="33"/>
  <c r="J45" i="33"/>
  <c r="J14" i="34"/>
  <c r="W14" i="34" s="1"/>
  <c r="F14" i="34"/>
  <c r="S14" i="34" s="1"/>
  <c r="H30" i="34"/>
  <c r="J30" i="34"/>
  <c r="H32" i="34"/>
  <c r="H46" i="34"/>
  <c r="AB46" i="34" s="1"/>
  <c r="H11" i="35"/>
  <c r="AB11" i="35" s="1"/>
  <c r="J11" i="35"/>
  <c r="J26" i="36"/>
  <c r="W26" i="36" s="1"/>
  <c r="H28" i="36"/>
  <c r="U28" i="36" s="1"/>
  <c r="J32" i="36"/>
  <c r="W32" i="36" s="1"/>
  <c r="F11" i="36"/>
  <c r="H13" i="36"/>
  <c r="AB13" i="36" s="1"/>
  <c r="E89" i="37"/>
  <c r="F89" i="37" s="1"/>
  <c r="G89" i="37" s="1"/>
  <c r="H89" i="37" s="1"/>
  <c r="I89" i="37" s="1"/>
  <c r="J89" i="37" s="1"/>
  <c r="K89" i="37" s="1"/>
  <c r="L89" i="37" s="1"/>
  <c r="M89" i="37" s="1"/>
  <c r="J29" i="37"/>
  <c r="W29" i="37" s="1"/>
  <c r="F29" i="37"/>
  <c r="S29" i="37" s="1"/>
  <c r="H36" i="37"/>
  <c r="AB36" i="37"/>
  <c r="F107" i="37"/>
  <c r="J37" i="37"/>
  <c r="AC37" i="37" s="1"/>
  <c r="H37" i="37"/>
  <c r="U37" i="37"/>
  <c r="J40" i="37"/>
  <c r="AC12" i="40"/>
  <c r="W12" i="40"/>
  <c r="J14" i="33"/>
  <c r="H30" i="33"/>
  <c r="AB30" i="33" s="1"/>
  <c r="F30" i="33"/>
  <c r="J30" i="33"/>
  <c r="H44" i="33"/>
  <c r="J44" i="33"/>
  <c r="J46" i="33"/>
  <c r="AC46" i="33"/>
  <c r="F46" i="33"/>
  <c r="AA46" i="33" s="1"/>
  <c r="H46" i="33"/>
  <c r="AB46" i="33"/>
  <c r="H13" i="34"/>
  <c r="U13" i="34" s="1"/>
  <c r="J13" i="34"/>
  <c r="W13" i="34" s="1"/>
  <c r="J29" i="34"/>
  <c r="F29" i="34"/>
  <c r="S29" i="34" s="1"/>
  <c r="H29" i="34"/>
  <c r="AB29" i="34" s="1"/>
  <c r="F31" i="34"/>
  <c r="S31" i="34" s="1"/>
  <c r="H45" i="34"/>
  <c r="J45" i="34"/>
  <c r="W45" i="34"/>
  <c r="F45" i="34"/>
  <c r="S45" i="34" s="1"/>
  <c r="H47" i="34"/>
  <c r="F13" i="35"/>
  <c r="J13" i="35"/>
  <c r="AC13" i="35" s="1"/>
  <c r="H13" i="35"/>
  <c r="U13" i="35" s="1"/>
  <c r="J25" i="35"/>
  <c r="W25" i="35"/>
  <c r="F25" i="35"/>
  <c r="S25" i="35" s="1"/>
  <c r="H25" i="35"/>
  <c r="AB25" i="35" s="1"/>
  <c r="J35" i="35"/>
  <c r="AC35" i="35" s="1"/>
  <c r="F35" i="35"/>
  <c r="AA35" i="35" s="1"/>
  <c r="H35" i="35"/>
  <c r="J25" i="36"/>
  <c r="W25" i="36" s="1"/>
  <c r="H13" i="37"/>
  <c r="AB13" i="37" s="1"/>
  <c r="J13" i="37"/>
  <c r="W13" i="37" s="1"/>
  <c r="F38" i="37"/>
  <c r="S38" i="37" s="1"/>
  <c r="F43" i="39"/>
  <c r="AA43" i="39" s="1"/>
  <c r="J14" i="39"/>
  <c r="AC14" i="39" s="1"/>
  <c r="F14" i="39"/>
  <c r="S14" i="39" s="1"/>
  <c r="F12" i="40"/>
  <c r="H12" i="40"/>
  <c r="AB12" i="40" s="1"/>
  <c r="H30" i="40"/>
  <c r="AB30" i="40" s="1"/>
  <c r="F33" i="40"/>
  <c r="H33" i="40"/>
  <c r="U33" i="40" s="1"/>
  <c r="J35" i="40"/>
  <c r="J37" i="40"/>
  <c r="AC37" i="40"/>
  <c r="J13" i="40"/>
  <c r="W13" i="40" s="1"/>
  <c r="F13" i="40"/>
  <c r="AA13" i="40" s="1"/>
  <c r="F27" i="37"/>
  <c r="AA27" i="37" s="1"/>
  <c r="F13" i="39"/>
  <c r="AA13" i="39" s="1"/>
  <c r="J13" i="39"/>
  <c r="W13" i="39" s="1"/>
  <c r="H13" i="39"/>
  <c r="J14" i="40"/>
  <c r="W14" i="40" s="1"/>
  <c r="J14" i="37"/>
  <c r="J27" i="37"/>
  <c r="AC27" i="37" s="1"/>
  <c r="U46" i="33"/>
  <c r="J36" i="37"/>
  <c r="AC36" i="37" s="1"/>
  <c r="J10" i="36"/>
  <c r="AC10" i="36" s="1"/>
  <c r="BA586" i="3"/>
  <c r="F17" i="21"/>
  <c r="AA17" i="21" s="1"/>
  <c r="H17" i="21"/>
  <c r="AB17" i="21" s="1"/>
  <c r="F15" i="21"/>
  <c r="S15" i="21" s="1"/>
  <c r="G544" i="3"/>
  <c r="G532" i="3"/>
  <c r="G527" i="3"/>
  <c r="G518" i="3"/>
  <c r="G508" i="3"/>
  <c r="G496" i="3"/>
  <c r="G584" i="3"/>
  <c r="G568" i="3"/>
  <c r="G560" i="3"/>
  <c r="G554" i="3"/>
  <c r="BL572" i="3"/>
  <c r="BL560" i="3"/>
  <c r="BL538" i="3"/>
  <c r="BL522" i="3"/>
  <c r="BL502" i="3"/>
  <c r="BL498" i="3"/>
  <c r="BL562" i="3"/>
  <c r="BL556" i="3"/>
  <c r="BL540" i="3"/>
  <c r="G529" i="3"/>
  <c r="BL528" i="3"/>
  <c r="BL518" i="3"/>
  <c r="BL500" i="3"/>
  <c r="BA582" i="3"/>
  <c r="BA566" i="3"/>
  <c r="BA564" i="3"/>
  <c r="BA546" i="3"/>
  <c r="BA542" i="3"/>
  <c r="BA532" i="3"/>
  <c r="BA526" i="3"/>
  <c r="BA518" i="3"/>
  <c r="BA512" i="3"/>
  <c r="BA502" i="3"/>
  <c r="BA500" i="3"/>
  <c r="BA496" i="3"/>
  <c r="BA581" i="3"/>
  <c r="BA575" i="3"/>
  <c r="BA559" i="3"/>
  <c r="BA547" i="3"/>
  <c r="BA531" i="3"/>
  <c r="BA529" i="3"/>
  <c r="BA523" i="3"/>
  <c r="BA511" i="3"/>
  <c r="BA503" i="3"/>
  <c r="BA495" i="3"/>
  <c r="BA493" i="3"/>
  <c r="G583" i="3"/>
  <c r="G579" i="3"/>
  <c r="G571" i="3"/>
  <c r="G569" i="3"/>
  <c r="G565" i="3"/>
  <c r="G561" i="3"/>
  <c r="AC557" i="3"/>
  <c r="G557" i="3" s="1"/>
  <c r="BQ557" i="3"/>
  <c r="BQ583" i="3"/>
  <c r="BQ581" i="3"/>
  <c r="BL581" i="3"/>
  <c r="BQ579" i="3"/>
  <c r="BQ577" i="3"/>
  <c r="BQ575" i="3"/>
  <c r="BQ573" i="3"/>
  <c r="BQ571" i="3"/>
  <c r="BQ569" i="3"/>
  <c r="BQ567" i="3"/>
  <c r="BL567" i="3" s="1"/>
  <c r="BQ565" i="3"/>
  <c r="BQ563" i="3"/>
  <c r="BL563" i="3"/>
  <c r="BQ561" i="3"/>
  <c r="BQ559" i="3"/>
  <c r="G559" i="3"/>
  <c r="G553" i="3"/>
  <c r="G549" i="3"/>
  <c r="G547" i="3"/>
  <c r="G539" i="3"/>
  <c r="BQ555" i="3"/>
  <c r="BQ553" i="3"/>
  <c r="BQ551" i="3"/>
  <c r="BL551" i="3"/>
  <c r="BQ549" i="3"/>
  <c r="BQ547" i="3"/>
  <c r="BQ545" i="3"/>
  <c r="BL545" i="3"/>
  <c r="BQ543" i="3"/>
  <c r="BQ541" i="3"/>
  <c r="BQ539" i="3"/>
  <c r="BL539" i="3" s="1"/>
  <c r="BQ537" i="3"/>
  <c r="BQ535" i="3"/>
  <c r="BL535" i="3" s="1"/>
  <c r="BQ533" i="3"/>
  <c r="BQ531" i="3"/>
  <c r="BQ529" i="3"/>
  <c r="BQ527" i="3"/>
  <c r="BQ525" i="3"/>
  <c r="BL525" i="3"/>
  <c r="BQ523" i="3"/>
  <c r="AC521" i="3"/>
  <c r="G521" i="3" s="1"/>
  <c r="BQ521" i="3"/>
  <c r="BL520" i="3"/>
  <c r="G519" i="3"/>
  <c r="G515" i="3"/>
  <c r="BQ519" i="3"/>
  <c r="BQ517" i="3"/>
  <c r="BL517" i="3" s="1"/>
  <c r="BQ515" i="3"/>
  <c r="BL515" i="3" s="1"/>
  <c r="BQ513" i="3"/>
  <c r="BL513" i="3"/>
  <c r="BQ511" i="3"/>
  <c r="BL511" i="3" s="1"/>
  <c r="BA509" i="3"/>
  <c r="AC509" i="3"/>
  <c r="BQ509" i="3"/>
  <c r="BL509" i="3" s="1"/>
  <c r="BL508" i="3"/>
  <c r="G507" i="3"/>
  <c r="G503" i="3"/>
  <c r="G499" i="3"/>
  <c r="G497" i="3"/>
  <c r="BQ507" i="3"/>
  <c r="BQ505" i="3"/>
  <c r="BL505" i="3" s="1"/>
  <c r="BQ503" i="3"/>
  <c r="BL503" i="3" s="1"/>
  <c r="BQ501" i="3"/>
  <c r="BL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H43" i="33"/>
  <c r="H17" i="37"/>
  <c r="U17" i="37" s="1"/>
  <c r="AB27" i="37"/>
  <c r="U32" i="33"/>
  <c r="AA36" i="39"/>
  <c r="F39" i="33"/>
  <c r="AA39" i="33" s="1"/>
  <c r="E123" i="33"/>
  <c r="F123" i="33" s="1"/>
  <c r="G123" i="33" s="1"/>
  <c r="H123" i="33" s="1"/>
  <c r="I123" i="33" s="1"/>
  <c r="J123" i="33" s="1"/>
  <c r="K123" i="33" s="1"/>
  <c r="L123" i="33" s="1"/>
  <c r="M123" i="33" s="1"/>
  <c r="F42" i="33"/>
  <c r="AA42" i="33" s="1"/>
  <c r="H28" i="34"/>
  <c r="F14" i="36"/>
  <c r="AA14" i="36" s="1"/>
  <c r="F22" i="36"/>
  <c r="S22" i="36" s="1"/>
  <c r="F26" i="36"/>
  <c r="S26" i="36" s="1"/>
  <c r="H27" i="34"/>
  <c r="H35" i="34"/>
  <c r="U35" i="34" s="1"/>
  <c r="F41" i="34"/>
  <c r="H41" i="34"/>
  <c r="U41" i="34" s="1"/>
  <c r="J41" i="34"/>
  <c r="F10" i="35"/>
  <c r="S10" i="35" s="1"/>
  <c r="F24" i="35"/>
  <c r="AA24" i="35" s="1"/>
  <c r="H24" i="35"/>
  <c r="AB24" i="35" s="1"/>
  <c r="H23" i="37"/>
  <c r="AB23" i="37" s="1"/>
  <c r="J32" i="37"/>
  <c r="AC32" i="37" s="1"/>
  <c r="F36" i="37"/>
  <c r="AA36" i="37" s="1"/>
  <c r="F37" i="37"/>
  <c r="AA37" i="37" s="1"/>
  <c r="F31" i="40"/>
  <c r="H31" i="40"/>
  <c r="U31" i="40" s="1"/>
  <c r="F32" i="40"/>
  <c r="S32" i="40" s="1"/>
  <c r="J36" i="40"/>
  <c r="W36" i="40" s="1"/>
  <c r="H19" i="37"/>
  <c r="H42" i="33"/>
  <c r="AB42" i="33" s="1"/>
  <c r="J43" i="33"/>
  <c r="AC43" i="33"/>
  <c r="S28" i="31"/>
  <c r="S27" i="31"/>
  <c r="S26" i="31"/>
  <c r="U26" i="37"/>
  <c r="AA13" i="33"/>
  <c r="U11" i="33"/>
  <c r="F43" i="33"/>
  <c r="AA43" i="33" s="1"/>
  <c r="W15" i="34"/>
  <c r="AC15" i="34"/>
  <c r="W16" i="35"/>
  <c r="G107" i="37"/>
  <c r="H107" i="37" s="1"/>
  <c r="I107" i="37" s="1"/>
  <c r="J107" i="37" s="1"/>
  <c r="K107" i="37" s="1"/>
  <c r="L107" i="37" s="1"/>
  <c r="M107" i="37" s="1"/>
  <c r="H37" i="21"/>
  <c r="U37" i="21" s="1"/>
  <c r="H19" i="34"/>
  <c r="AB19" i="34" s="1"/>
  <c r="F36" i="35"/>
  <c r="S36" i="35" s="1"/>
  <c r="J9" i="37"/>
  <c r="W9" i="37" s="1"/>
  <c r="H9" i="37"/>
  <c r="U9" i="37" s="1"/>
  <c r="F9" i="37"/>
  <c r="S9"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c r="J15" i="37"/>
  <c r="W15" i="37" s="1"/>
  <c r="AT6" i="3"/>
  <c r="AA25" i="21"/>
  <c r="H19" i="40"/>
  <c r="U19" i="40" s="1"/>
  <c r="F88" i="40"/>
  <c r="G88" i="40" s="1"/>
  <c r="F19" i="40"/>
  <c r="S19" i="40" s="1"/>
  <c r="AC13" i="40"/>
  <c r="G100" i="39"/>
  <c r="H37" i="39"/>
  <c r="AC37" i="39"/>
  <c r="W37" i="39"/>
  <c r="H25" i="39"/>
  <c r="AB25" i="39" s="1"/>
  <c r="J25" i="39"/>
  <c r="W25" i="39" s="1"/>
  <c r="F25" i="39"/>
  <c r="AA25" i="39" s="1"/>
  <c r="F15" i="39"/>
  <c r="AA15" i="39" s="1"/>
  <c r="H15" i="39"/>
  <c r="U15" i="39" s="1"/>
  <c r="J15" i="39"/>
  <c r="W15" i="39" s="1"/>
  <c r="H41" i="39"/>
  <c r="AB41" i="39" s="1"/>
  <c r="W8" i="39"/>
  <c r="J19" i="40"/>
  <c r="AC19" i="40" s="1"/>
  <c r="J50" i="40"/>
  <c r="H103" i="9"/>
  <c r="D8" i="53" s="1"/>
  <c r="C7" i="37"/>
  <c r="C52" i="37" s="1"/>
  <c r="D52" i="37" s="1"/>
  <c r="C7" i="34"/>
  <c r="C7" i="36"/>
  <c r="C46" i="36" s="1"/>
  <c r="D46" i="36" s="1"/>
  <c r="E46" i="36" s="1"/>
  <c r="F46" i="36" s="1"/>
  <c r="G46" i="36" s="1"/>
  <c r="H46" i="36" s="1"/>
  <c r="I46" i="36" s="1"/>
  <c r="A4" i="52"/>
  <c r="B41" i="72" s="1"/>
  <c r="G4" i="4"/>
  <c r="I4" i="4"/>
  <c r="F61" i="43"/>
  <c r="H64" i="43" s="1"/>
  <c r="G64" i="43" s="1"/>
  <c r="BL549"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G133" i="3"/>
  <c r="BA135" i="3"/>
  <c r="BL136" i="3"/>
  <c r="G137" i="3"/>
  <c r="BA139" i="3"/>
  <c r="BL140" i="3"/>
  <c r="G141" i="3"/>
  <c r="BA143" i="3"/>
  <c r="BL144" i="3"/>
  <c r="G145" i="3"/>
  <c r="BA147" i="3"/>
  <c r="BL148" i="3"/>
  <c r="G149" i="3"/>
  <c r="BA151" i="3"/>
  <c r="BL152" i="3"/>
  <c r="G153" i="3"/>
  <c r="BA155" i="3"/>
  <c r="BL156" i="3"/>
  <c r="AZ156" i="3" s="1"/>
  <c r="G157" i="3"/>
  <c r="BA159" i="3"/>
  <c r="BL160" i="3"/>
  <c r="G161" i="3"/>
  <c r="BA163" i="3"/>
  <c r="AZ163" i="3" s="1"/>
  <c r="BL164" i="3"/>
  <c r="G165" i="3"/>
  <c r="BA167" i="3"/>
  <c r="BL168" i="3"/>
  <c r="G169" i="3"/>
  <c r="BA171" i="3"/>
  <c r="BL172" i="3"/>
  <c r="G173" i="3"/>
  <c r="BA175" i="3"/>
  <c r="BL176" i="3"/>
  <c r="G177" i="3"/>
  <c r="BA179" i="3"/>
  <c r="BL180" i="3"/>
  <c r="AZ180" i="3" s="1"/>
  <c r="G181" i="3"/>
  <c r="BA183" i="3"/>
  <c r="BL184" i="3"/>
  <c r="G185" i="3"/>
  <c r="BA187" i="3"/>
  <c r="BL188" i="3"/>
  <c r="AZ188" i="3" s="1"/>
  <c r="G189" i="3"/>
  <c r="BA191" i="3"/>
  <c r="BL192" i="3"/>
  <c r="G193" i="3"/>
  <c r="BA195" i="3"/>
  <c r="BL196" i="3"/>
  <c r="AZ196" i="3" s="1"/>
  <c r="G197" i="3"/>
  <c r="BA199" i="3"/>
  <c r="BL200" i="3"/>
  <c r="G201" i="3"/>
  <c r="BA203" i="3"/>
  <c r="BL204" i="3"/>
  <c r="AZ47" i="3"/>
  <c r="G534" i="3"/>
  <c r="G522" i="3"/>
  <c r="G516" i="3"/>
  <c r="G512"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BL303" i="3"/>
  <c r="G304" i="3"/>
  <c r="BA306" i="3"/>
  <c r="BL307" i="3"/>
  <c r="G308" i="3"/>
  <c r="BA310" i="3"/>
  <c r="BL311" i="3"/>
  <c r="AZ311" i="3" s="1"/>
  <c r="G312" i="3"/>
  <c r="BA314" i="3"/>
  <c r="BL315" i="3"/>
  <c r="G316" i="3"/>
  <c r="BA318" i="3"/>
  <c r="AZ318" i="3" s="1"/>
  <c r="BL319" i="3"/>
  <c r="AZ319" i="3" s="1"/>
  <c r="G320" i="3"/>
  <c r="BA322" i="3"/>
  <c r="AZ322" i="3" s="1"/>
  <c r="BL323" i="3"/>
  <c r="G324" i="3"/>
  <c r="BA326" i="3"/>
  <c r="BL327" i="3"/>
  <c r="G328" i="3"/>
  <c r="BA330" i="3"/>
  <c r="BL331" i="3"/>
  <c r="AZ331" i="3" s="1"/>
  <c r="G332" i="3"/>
  <c r="BA334" i="3"/>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AZ369" i="3"/>
  <c r="BL370" i="3"/>
  <c r="G371" i="3"/>
  <c r="BA373" i="3"/>
  <c r="AZ373" i="3"/>
  <c r="BL374" i="3"/>
  <c r="G375" i="3"/>
  <c r="BA377" i="3"/>
  <c r="AZ377" i="3"/>
  <c r="AZ229" i="3"/>
  <c r="BA379" i="3"/>
  <c r="AZ379" i="3" s="1"/>
  <c r="BL380" i="3"/>
  <c r="AZ380" i="3" s="1"/>
  <c r="G381" i="3"/>
  <c r="BA383" i="3"/>
  <c r="AZ383" i="3" s="1"/>
  <c r="BL384" i="3"/>
  <c r="G385" i="3"/>
  <c r="BA387" i="3"/>
  <c r="BL388" i="3"/>
  <c r="G389" i="3"/>
  <c r="BA391" i="3"/>
  <c r="AZ391" i="3" s="1"/>
  <c r="BL392" i="3"/>
  <c r="G393" i="3"/>
  <c r="BF5" i="3"/>
  <c r="G548" i="3"/>
  <c r="G538" i="3"/>
  <c r="G502" i="3"/>
  <c r="G17" i="3"/>
  <c r="AZ356" i="3"/>
  <c r="G509" i="3"/>
  <c r="BL493" i="3"/>
  <c r="AZ493" i="3" s="1"/>
  <c r="F83" i="43"/>
  <c r="H85" i="43" s="1"/>
  <c r="F50" i="43"/>
  <c r="H54" i="43" s="1"/>
  <c r="F72" i="43"/>
  <c r="H75" i="43" s="1"/>
  <c r="S14" i="35"/>
  <c r="U43" i="21"/>
  <c r="G10" i="1"/>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H20" i="36"/>
  <c r="U20" i="36" s="1"/>
  <c r="J20" i="36"/>
  <c r="W20" i="36" s="1"/>
  <c r="W24" i="36"/>
  <c r="J27" i="36"/>
  <c r="W27" i="36" s="1"/>
  <c r="AC33" i="40"/>
  <c r="H35" i="40"/>
  <c r="AB35" i="40" s="1"/>
  <c r="AC29" i="35"/>
  <c r="H35" i="37"/>
  <c r="U35" i="37" s="1"/>
  <c r="AC14" i="35"/>
  <c r="H20" i="35"/>
  <c r="U20" i="35" s="1"/>
  <c r="F20" i="35"/>
  <c r="AA20" i="35" s="1"/>
  <c r="AB29" i="36"/>
  <c r="U29" i="36"/>
  <c r="H32" i="37"/>
  <c r="AB32" i="37" s="1"/>
  <c r="F96" i="37"/>
  <c r="G96" i="37" s="1"/>
  <c r="H96" i="37" s="1"/>
  <c r="I96" i="37" s="1"/>
  <c r="J96" i="37" s="1"/>
  <c r="K96" i="37" s="1"/>
  <c r="L96" i="37" s="1"/>
  <c r="M96" i="37" s="1"/>
  <c r="H27" i="40"/>
  <c r="U27" i="40"/>
  <c r="J27" i="40"/>
  <c r="F27" i="40"/>
  <c r="AA27" i="40" s="1"/>
  <c r="S27" i="40"/>
  <c r="J30" i="40"/>
  <c r="F30" i="40"/>
  <c r="AA30" i="40"/>
  <c r="AC21" i="40"/>
  <c r="S11" i="40"/>
  <c r="F10" i="33"/>
  <c r="S10" i="33" s="1"/>
  <c r="F34" i="33"/>
  <c r="S34" i="33" s="1"/>
  <c r="H34" i="33"/>
  <c r="F35" i="33"/>
  <c r="S35" i="33" s="1"/>
  <c r="F39" i="34"/>
  <c r="AA39" i="34" s="1"/>
  <c r="J39" i="34"/>
  <c r="W39" i="34" s="1"/>
  <c r="F40" i="34"/>
  <c r="F43" i="34"/>
  <c r="AA43" i="34" s="1"/>
  <c r="H44" i="34"/>
  <c r="U44" i="34" s="1"/>
  <c r="F39" i="39"/>
  <c r="S39" i="39" s="1"/>
  <c r="J39" i="39"/>
  <c r="AC39" i="39" s="1"/>
  <c r="E96" i="39"/>
  <c r="F96" i="39" s="1"/>
  <c r="G96" i="39" s="1"/>
  <c r="AZ386" i="3"/>
  <c r="C40" i="11"/>
  <c r="F23" i="39"/>
  <c r="AA23" i="39" s="1"/>
  <c r="H27" i="36"/>
  <c r="U27" i="36" s="1"/>
  <c r="F27" i="36"/>
  <c r="AA27" i="36" s="1"/>
  <c r="H33" i="34"/>
  <c r="F32" i="37"/>
  <c r="F20" i="36"/>
  <c r="J33" i="34"/>
  <c r="AC33" i="34" s="1"/>
  <c r="H23" i="39"/>
  <c r="U23" i="39" s="1"/>
  <c r="D48" i="9"/>
  <c r="M52" i="9" s="1"/>
  <c r="K9" i="1"/>
  <c r="M9" i="1" s="1"/>
  <c r="D93" i="9"/>
  <c r="AC27" i="34"/>
  <c r="AB34" i="36"/>
  <c r="U34" i="36"/>
  <c r="U33" i="36"/>
  <c r="AC12" i="33"/>
  <c r="AC13" i="34"/>
  <c r="F12" i="33"/>
  <c r="F39" i="40"/>
  <c r="S39" i="40" s="1"/>
  <c r="B12" i="1"/>
  <c r="E12" i="1" s="1"/>
  <c r="B10" i="1"/>
  <c r="E10" i="1" s="1"/>
  <c r="K12" i="1"/>
  <c r="M12" i="1" s="1"/>
  <c r="S13" i="1"/>
  <c r="AR13" i="1" s="1"/>
  <c r="R13" i="1"/>
  <c r="J51" i="67"/>
  <c r="C42" i="1"/>
  <c r="C24" i="12" s="1"/>
  <c r="B41" i="1"/>
  <c r="M18" i="15" s="1"/>
  <c r="AB37" i="40"/>
  <c r="S35" i="40"/>
  <c r="U35" i="40"/>
  <c r="AC36" i="40"/>
  <c r="W38" i="40"/>
  <c r="AA32" i="40"/>
  <c r="S17" i="40"/>
  <c r="AC17" i="40"/>
  <c r="AC15" i="40"/>
  <c r="AB27" i="40"/>
  <c r="S30" i="40"/>
  <c r="AA19" i="40"/>
  <c r="S28" i="40"/>
  <c r="U21" i="40"/>
  <c r="S37" i="39"/>
  <c r="U35" i="39"/>
  <c r="F32" i="39"/>
  <c r="AA32" i="39" s="1"/>
  <c r="F106" i="39"/>
  <c r="G106" i="39" s="1"/>
  <c r="H106" i="39" s="1"/>
  <c r="I106" i="39" s="1"/>
  <c r="J106" i="39" s="1"/>
  <c r="K106" i="39" s="1"/>
  <c r="L106" i="39" s="1"/>
  <c r="M106" i="39" s="1"/>
  <c r="U14" i="39"/>
  <c r="AC13" i="39"/>
  <c r="S23" i="36"/>
  <c r="U13" i="36"/>
  <c r="U26" i="36"/>
  <c r="AA26" i="36"/>
  <c r="AA34" i="36"/>
  <c r="AC26" i="36"/>
  <c r="W14" i="36"/>
  <c r="AB14" i="36"/>
  <c r="U22" i="36"/>
  <c r="S16" i="36"/>
  <c r="S24" i="36"/>
  <c r="U24" i="36"/>
  <c r="AB20" i="36"/>
  <c r="U16"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W27" i="37"/>
  <c r="AC29" i="37"/>
  <c r="U29" i="37"/>
  <c r="AB31" i="37"/>
  <c r="W30" i="37"/>
  <c r="S36" i="37"/>
  <c r="W38" i="37"/>
  <c r="AC35" i="37"/>
  <c r="W39" i="37"/>
  <c r="S30" i="37"/>
  <c r="S37" i="37"/>
  <c r="J17" i="37"/>
  <c r="W17" i="37"/>
  <c r="G73" i="37"/>
  <c r="F17" i="37"/>
  <c r="AA17" i="37" s="1"/>
  <c r="F75" i="37"/>
  <c r="G75" i="37" s="1"/>
  <c r="F19" i="37"/>
  <c r="F79" i="37"/>
  <c r="G79" i="37" s="1"/>
  <c r="F23" i="37"/>
  <c r="S23" i="37" s="1"/>
  <c r="U23" i="37"/>
  <c r="U15" i="37"/>
  <c r="AA13" i="37"/>
  <c r="H10" i="37"/>
  <c r="AB10" i="37" s="1"/>
  <c r="F63" i="37"/>
  <c r="G63" i="37" s="1"/>
  <c r="H63" i="37" s="1"/>
  <c r="I63" i="37" s="1"/>
  <c r="J63" i="37" s="1"/>
  <c r="K63" i="37" s="1"/>
  <c r="L63" i="37" s="1"/>
  <c r="M63" i="37" s="1"/>
  <c r="F11" i="37"/>
  <c r="S11" i="37" s="1"/>
  <c r="W25" i="34"/>
  <c r="AB8" i="34"/>
  <c r="AA33" i="34"/>
  <c r="U43" i="34"/>
  <c r="AC42" i="34"/>
  <c r="AB35" i="34"/>
  <c r="U39" i="34"/>
  <c r="S43" i="34"/>
  <c r="AB41" i="34"/>
  <c r="AA45" i="34"/>
  <c r="S17" i="34"/>
  <c r="AA29" i="34"/>
  <c r="S23" i="34"/>
  <c r="U15" i="34"/>
  <c r="S13" i="34"/>
  <c r="H10" i="34"/>
  <c r="AB10" i="34" s="1"/>
  <c r="F11" i="34"/>
  <c r="S11" i="34" s="1"/>
  <c r="F70" i="34"/>
  <c r="W42" i="33"/>
  <c r="S27" i="33"/>
  <c r="S32" i="33"/>
  <c r="AA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F87" i="33"/>
  <c r="G87" i="33" s="1"/>
  <c r="H25" i="33"/>
  <c r="F25" i="33"/>
  <c r="AA25" i="33" s="1"/>
  <c r="J23" i="33"/>
  <c r="AC23" i="33" s="1"/>
  <c r="F85" i="33"/>
  <c r="H23" i="33"/>
  <c r="U23" i="33" s="1"/>
  <c r="F81" i="33"/>
  <c r="F19" i="33"/>
  <c r="S19" i="33" s="1"/>
  <c r="W19" i="33"/>
  <c r="J17" i="33"/>
  <c r="W17" i="33" s="1"/>
  <c r="F79" i="33"/>
  <c r="G79" i="33" s="1"/>
  <c r="S15" i="33"/>
  <c r="W15" i="33"/>
  <c r="J10" i="33"/>
  <c r="W10" i="33" s="1"/>
  <c r="H10" i="33"/>
  <c r="U10" i="33" s="1"/>
  <c r="AC11" i="33"/>
  <c r="W36" i="21"/>
  <c r="W41" i="21"/>
  <c r="AB39" i="21"/>
  <c r="AA38" i="21"/>
  <c r="J15" i="21"/>
  <c r="AC15" i="21" s="1"/>
  <c r="F77" i="21"/>
  <c r="G77" i="21" s="1"/>
  <c r="E85" i="21"/>
  <c r="AA14" i="21"/>
  <c r="D120" i="9"/>
  <c r="D121" i="9" s="1"/>
  <c r="D7" i="52" s="1"/>
  <c r="F34" i="67"/>
  <c r="F62" i="67" s="1"/>
  <c r="M20" i="67"/>
  <c r="F34" i="15"/>
  <c r="F62" i="15" s="1"/>
  <c r="G13" i="3"/>
  <c r="BA13" i="3"/>
  <c r="J56" i="9"/>
  <c r="J57" i="9" s="1"/>
  <c r="J59" i="9" s="1"/>
  <c r="J61" i="9" s="1"/>
  <c r="U29" i="34"/>
  <c r="E5" i="6"/>
  <c r="E32" i="6"/>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W23" i="40"/>
  <c r="AB31" i="40"/>
  <c r="S37" i="40"/>
  <c r="AB28" i="40"/>
  <c r="W28" i="40"/>
  <c r="W34" i="40"/>
  <c r="W19" i="40"/>
  <c r="S36" i="40"/>
  <c r="W37" i="40"/>
  <c r="AC14" i="40"/>
  <c r="S13" i="40"/>
  <c r="AA15" i="40"/>
  <c r="U11" i="40"/>
  <c r="AB13" i="40"/>
  <c r="U15" i="40"/>
  <c r="AB17" i="40"/>
  <c r="U8" i="40"/>
  <c r="S8" i="40"/>
  <c r="U13" i="39"/>
  <c r="AB13" i="39"/>
  <c r="S13" i="39"/>
  <c r="S8" i="39"/>
  <c r="AC25" i="36"/>
  <c r="W29" i="36"/>
  <c r="AC20" i="36"/>
  <c r="AB28" i="36"/>
  <c r="W9" i="36"/>
  <c r="W22" i="36"/>
  <c r="AC25" i="35"/>
  <c r="U25" i="35"/>
  <c r="S24" i="35"/>
  <c r="U24" i="35"/>
  <c r="S35" i="35"/>
  <c r="W35" i="35"/>
  <c r="AA16" i="35"/>
  <c r="AA35" i="37"/>
  <c r="W36" i="37"/>
  <c r="S27" i="37"/>
  <c r="U36" i="37"/>
  <c r="S40" i="37"/>
  <c r="AB37" i="37"/>
  <c r="AC34" i="37"/>
  <c r="AB35" i="37"/>
  <c r="AA31" i="37"/>
  <c r="AA29" i="37"/>
  <c r="U8" i="37"/>
  <c r="AB40" i="34"/>
  <c r="U19" i="34"/>
  <c r="W19" i="34"/>
  <c r="AC45" i="34"/>
  <c r="AA31" i="34"/>
  <c r="AA30" i="34"/>
  <c r="U25" i="34"/>
  <c r="AB36" i="34"/>
  <c r="W33" i="34"/>
  <c r="AC14" i="34"/>
  <c r="AC29" i="34"/>
  <c r="W29" i="34"/>
  <c r="U30" i="34"/>
  <c r="AB30" i="34"/>
  <c r="S37" i="34"/>
  <c r="U38" i="34"/>
  <c r="AC40" i="34"/>
  <c r="W40" i="34"/>
  <c r="AA19" i="34"/>
  <c r="S19" i="34"/>
  <c r="AA36" i="34"/>
  <c r="S36" i="34"/>
  <c r="AA8" i="34"/>
  <c r="S8" i="34"/>
  <c r="AB9" i="34"/>
  <c r="U9" i="34"/>
  <c r="U32" i="34"/>
  <c r="AB32" i="34"/>
  <c r="U14" i="34"/>
  <c r="AB14" i="34"/>
  <c r="AC43" i="34"/>
  <c r="W43" i="34"/>
  <c r="W23" i="34"/>
  <c r="AC23" i="34"/>
  <c r="AC35" i="34"/>
  <c r="W35" i="34"/>
  <c r="W46" i="33"/>
  <c r="U39" i="33"/>
  <c r="U38" i="33"/>
  <c r="S33" i="33"/>
  <c r="U44" i="33"/>
  <c r="AB44" i="33"/>
  <c r="S30" i="33"/>
  <c r="AA30" i="33"/>
  <c r="AC14" i="33"/>
  <c r="W14" i="33"/>
  <c r="AC30" i="33"/>
  <c r="W30" i="33"/>
  <c r="W13" i="33"/>
  <c r="AC13" i="33"/>
  <c r="U15" i="33"/>
  <c r="S11" i="33"/>
  <c r="W9" i="33"/>
  <c r="W8" i="33"/>
  <c r="I101" i="21"/>
  <c r="J101" i="21" s="1"/>
  <c r="K101" i="21" s="1"/>
  <c r="L101" i="21" s="1"/>
  <c r="M101" i="21" s="1"/>
  <c r="F33" i="21"/>
  <c r="AA33" i="21" s="1"/>
  <c r="J33" i="21"/>
  <c r="AC33" i="21" s="1"/>
  <c r="H33" i="21"/>
  <c r="AB33" i="21" s="1"/>
  <c r="F37" i="21"/>
  <c r="AA37" i="21" s="1"/>
  <c r="AA26" i="21"/>
  <c r="AB46" i="21"/>
  <c r="AB31" i="21"/>
  <c r="U31" i="21"/>
  <c r="U13" i="21"/>
  <c r="AB13" i="21"/>
  <c r="J37" i="21"/>
  <c r="W37" i="21" s="1"/>
  <c r="H15" i="21"/>
  <c r="U15" i="21" s="1"/>
  <c r="J17" i="21"/>
  <c r="AC17" i="21" s="1"/>
  <c r="AC19" i="21"/>
  <c r="S46" i="21"/>
  <c r="H45" i="21"/>
  <c r="U45" i="21" s="1"/>
  <c r="F29" i="21"/>
  <c r="AA29" i="21" s="1"/>
  <c r="F13" i="21"/>
  <c r="AA13" i="21" s="1"/>
  <c r="AC38" i="21"/>
  <c r="H32" i="21"/>
  <c r="AB32" i="21" s="1"/>
  <c r="H9" i="21"/>
  <c r="AB9" i="21" s="1"/>
  <c r="J9" i="21"/>
  <c r="AC9" i="21" s="1"/>
  <c r="J32" i="21"/>
  <c r="W32" i="21" s="1"/>
  <c r="F32" i="21"/>
  <c r="AA32" i="21" s="1"/>
  <c r="AA31" i="21"/>
  <c r="W29" i="21"/>
  <c r="K141" i="21"/>
  <c r="K144" i="21"/>
  <c r="K143" i="21"/>
  <c r="U27" i="21"/>
  <c r="AB25" i="21"/>
  <c r="AB44" i="21"/>
  <c r="W13" i="21"/>
  <c r="F10" i="21"/>
  <c r="AA10" i="21" s="1"/>
  <c r="K145" i="21"/>
  <c r="W25" i="21"/>
  <c r="W31" i="21"/>
  <c r="S27" i="21"/>
  <c r="S17" i="21"/>
  <c r="AC27" i="21"/>
  <c r="AC26" i="21"/>
  <c r="AB29" i="21"/>
  <c r="AB36" i="21"/>
  <c r="C15" i="40"/>
  <c r="C17" i="40"/>
  <c r="C23" i="40"/>
  <c r="U30" i="40"/>
  <c r="B56" i="43"/>
  <c r="B51" i="43"/>
  <c r="B54" i="43"/>
  <c r="B58" i="43"/>
  <c r="B62" i="43"/>
  <c r="B65" i="43"/>
  <c r="B69" i="43"/>
  <c r="E4" i="4"/>
  <c r="B5" i="62" s="1"/>
  <c r="B73" i="72" s="1"/>
  <c r="C4" i="4"/>
  <c r="AA39" i="40"/>
  <c r="J32" i="39"/>
  <c r="W32" i="39" s="1"/>
  <c r="H32" i="39"/>
  <c r="AB32" i="39" s="1"/>
  <c r="S32" i="39"/>
  <c r="AC17" i="37"/>
  <c r="S17" i="37"/>
  <c r="J19" i="37"/>
  <c r="W19" i="37" s="1"/>
  <c r="AA23" i="37"/>
  <c r="J23" i="37"/>
  <c r="AC23" i="37" s="1"/>
  <c r="J10" i="37"/>
  <c r="W10" i="37" s="1"/>
  <c r="H11" i="37"/>
  <c r="AB11" i="37" s="1"/>
  <c r="G70" i="34"/>
  <c r="H11" i="34"/>
  <c r="U11" i="34" s="1"/>
  <c r="J10" i="34"/>
  <c r="AC10" i="34" s="1"/>
  <c r="AB41" i="33"/>
  <c r="U41" i="33"/>
  <c r="W35" i="33"/>
  <c r="H111" i="33"/>
  <c r="I111" i="33" s="1"/>
  <c r="J111" i="33" s="1"/>
  <c r="K111" i="33" s="1"/>
  <c r="L111" i="33" s="1"/>
  <c r="M111" i="33" s="1"/>
  <c r="J36" i="33"/>
  <c r="W36" i="33" s="1"/>
  <c r="H36" i="33"/>
  <c r="S36" i="33"/>
  <c r="AC32" i="33"/>
  <c r="U27" i="33"/>
  <c r="AB27" i="33"/>
  <c r="G91" i="33"/>
  <c r="H91" i="33" s="1"/>
  <c r="I91" i="33" s="1"/>
  <c r="J91" i="33" s="1"/>
  <c r="K91" i="33" s="1"/>
  <c r="L91" i="33" s="1"/>
  <c r="M91" i="33" s="1"/>
  <c r="J27" i="33"/>
  <c r="AC27" i="33" s="1"/>
  <c r="U25" i="33"/>
  <c r="AB25" i="33"/>
  <c r="S25" i="33"/>
  <c r="H87" i="33"/>
  <c r="I87" i="33" s="1"/>
  <c r="J87" i="33" s="1"/>
  <c r="K87" i="33" s="1"/>
  <c r="L87" i="33" s="1"/>
  <c r="M87" i="33" s="1"/>
  <c r="J25" i="33"/>
  <c r="AC25" i="33" s="1"/>
  <c r="AB23" i="33"/>
  <c r="F23" i="33"/>
  <c r="G85" i="33"/>
  <c r="AA19" i="33"/>
  <c r="H19" i="33"/>
  <c r="U19" i="33" s="1"/>
  <c r="G81" i="33"/>
  <c r="H17" i="33"/>
  <c r="U17" i="33" s="1"/>
  <c r="F17" i="33"/>
  <c r="S17" i="33" s="1"/>
  <c r="AC17" i="33"/>
  <c r="J23" i="21"/>
  <c r="W23" i="21" s="1"/>
  <c r="F85" i="21"/>
  <c r="D6" i="52"/>
  <c r="AP7" i="1"/>
  <c r="AB45" i="21"/>
  <c r="U32" i="39"/>
  <c r="AC32" i="39"/>
  <c r="J11" i="37"/>
  <c r="AC11" i="37" s="1"/>
  <c r="H70" i="34"/>
  <c r="I70" i="34" s="1"/>
  <c r="J70" i="34" s="1"/>
  <c r="K70" i="34" s="1"/>
  <c r="L70" i="34" s="1"/>
  <c r="M70" i="34" s="1"/>
  <c r="J11" i="34"/>
  <c r="W11" i="34" s="1"/>
  <c r="W27" i="33"/>
  <c r="H109" i="9"/>
  <c r="H112" i="9"/>
  <c r="D21" i="53" s="1"/>
  <c r="B39" i="72" s="1"/>
  <c r="H111" i="9"/>
  <c r="D126" i="9" s="1"/>
  <c r="AD3" i="71"/>
  <c r="J1" i="73"/>
  <c r="H69" i="43"/>
  <c r="G69" i="43" s="1"/>
  <c r="D24" i="71"/>
  <c r="U24" i="71" s="1"/>
  <c r="S24" i="71"/>
  <c r="T24" i="71"/>
  <c r="AB22" i="71"/>
  <c r="X20" i="71"/>
  <c r="X19" i="71"/>
  <c r="AA20" i="71"/>
  <c r="AA19" i="71"/>
  <c r="X23" i="71"/>
  <c r="Y19" i="71"/>
  <c r="Z19" i="71" s="1"/>
  <c r="AB20" i="71"/>
  <c r="AB19" i="71"/>
  <c r="F21" i="71"/>
  <c r="F20" i="71" s="1"/>
  <c r="F19" i="71" s="1"/>
  <c r="F18" i="71" s="1"/>
  <c r="F17" i="71" s="1"/>
  <c r="Y20" i="71"/>
  <c r="Z20" i="71" s="1"/>
  <c r="X3" i="71"/>
  <c r="E12" i="76"/>
  <c r="E9" i="76"/>
  <c r="E8" i="76"/>
  <c r="E2" i="69"/>
  <c r="F20" i="31"/>
  <c r="D6" i="73"/>
  <c r="F6" i="73"/>
  <c r="B12" i="76"/>
  <c r="F5" i="73"/>
  <c r="B13" i="76"/>
  <c r="AO13" i="1"/>
  <c r="E10" i="76"/>
  <c r="E7" i="76"/>
  <c r="B10" i="76"/>
  <c r="E13" i="76"/>
  <c r="B11" i="76"/>
  <c r="B7" i="76"/>
  <c r="D34" i="9"/>
  <c r="E2" i="68"/>
  <c r="E11" i="76"/>
  <c r="F4" i="73"/>
  <c r="F7" i="73"/>
  <c r="B9" i="76"/>
  <c r="B8" i="76"/>
  <c r="F3" i="73"/>
  <c r="D35" i="9"/>
  <c r="K6" i="1" l="1"/>
  <c r="AP6" i="1" s="1"/>
  <c r="G1" i="15"/>
  <c r="B6" i="1"/>
  <c r="E6" i="1" s="1"/>
  <c r="BT5" i="3"/>
  <c r="BL13" i="3"/>
  <c r="H5" i="3"/>
  <c r="BN5" i="3"/>
  <c r="BI5" i="3"/>
  <c r="AA17" i="33"/>
  <c r="G85" i="21"/>
  <c r="F23" i="21"/>
  <c r="S23" i="21" s="1"/>
  <c r="H23" i="21"/>
  <c r="AB23" i="21" s="1"/>
  <c r="U32" i="37"/>
  <c r="S40" i="34"/>
  <c r="AA40" i="34"/>
  <c r="U34" i="33"/>
  <c r="AB34" i="33"/>
  <c r="AB37" i="39"/>
  <c r="U37" i="39"/>
  <c r="AZ500" i="3"/>
  <c r="U47" i="34"/>
  <c r="AB47" i="34"/>
  <c r="U45" i="34"/>
  <c r="AB45" i="34"/>
  <c r="AC44" i="33"/>
  <c r="W44" i="33"/>
  <c r="AC40" i="37"/>
  <c r="W40" i="37"/>
  <c r="S19" i="37"/>
  <c r="AA19" i="37"/>
  <c r="AA12" i="33"/>
  <c r="S12" i="33"/>
  <c r="AC27" i="40"/>
  <c r="W27" i="40"/>
  <c r="AZ342" i="3"/>
  <c r="AZ337" i="3"/>
  <c r="AB19" i="37"/>
  <c r="U19" i="37"/>
  <c r="AA31" i="40"/>
  <c r="S31" i="40"/>
  <c r="AC41" i="34"/>
  <c r="W41" i="34"/>
  <c r="AB27" i="34"/>
  <c r="U27" i="34"/>
  <c r="AB28" i="34"/>
  <c r="U28" i="34"/>
  <c r="S12" i="40"/>
  <c r="AA12" i="40"/>
  <c r="W23" i="37"/>
  <c r="K69" i="43"/>
  <c r="J69" i="43" s="1"/>
  <c r="M69" i="43"/>
  <c r="N69" i="43" s="1"/>
  <c r="S13" i="21"/>
  <c r="U33" i="34"/>
  <c r="AB33" i="34"/>
  <c r="AC30" i="40"/>
  <c r="W30" i="40"/>
  <c r="AZ326" i="3"/>
  <c r="AZ310" i="3"/>
  <c r="AA33" i="40"/>
  <c r="S33" i="40"/>
  <c r="AA11" i="36"/>
  <c r="S11" i="36"/>
  <c r="W45" i="33"/>
  <c r="AC45" i="33"/>
  <c r="AZ511" i="3"/>
  <c r="AZ503" i="3"/>
  <c r="AZ502" i="3"/>
  <c r="AB37" i="33"/>
  <c r="S29" i="35"/>
  <c r="AA29" i="35"/>
  <c r="U34" i="39"/>
  <c r="AB34" i="39"/>
  <c r="H36" i="39"/>
  <c r="J11" i="36"/>
  <c r="AC11" i="36" s="1"/>
  <c r="H11" i="36"/>
  <c r="U11" i="36" s="1"/>
  <c r="AB30" i="37"/>
  <c r="U30" i="37"/>
  <c r="AC31" i="37"/>
  <c r="W31" i="37"/>
  <c r="BA557" i="3"/>
  <c r="BL555" i="3"/>
  <c r="BL554" i="3"/>
  <c r="BA520" i="3"/>
  <c r="AZ520" i="3" s="1"/>
  <c r="BL516" i="3"/>
  <c r="BA506" i="3"/>
  <c r="BE5" i="3"/>
  <c r="BR5" i="3"/>
  <c r="G28" i="6" s="1"/>
  <c r="AB36" i="40"/>
  <c r="U36" i="40"/>
  <c r="BA585" i="3"/>
  <c r="J28" i="33"/>
  <c r="H28" i="33"/>
  <c r="J28" i="37"/>
  <c r="H28" i="37"/>
  <c r="BA555" i="3"/>
  <c r="BA554" i="3"/>
  <c r="BA537" i="3"/>
  <c r="BL536" i="3"/>
  <c r="BA536" i="3"/>
  <c r="AZ536" i="3" s="1"/>
  <c r="BA519" i="3"/>
  <c r="BA501" i="3"/>
  <c r="AZ501" i="3" s="1"/>
  <c r="BL496" i="3"/>
  <c r="BA494" i="3"/>
  <c r="BO5" i="3"/>
  <c r="W32" i="37"/>
  <c r="AB17" i="37"/>
  <c r="S43" i="39"/>
  <c r="AZ364" i="3"/>
  <c r="AZ344" i="3"/>
  <c r="AZ304" i="3"/>
  <c r="F14" i="37"/>
  <c r="H38" i="37"/>
  <c r="H40" i="37"/>
  <c r="W28" i="35"/>
  <c r="H35" i="21"/>
  <c r="AB35" i="21" s="1"/>
  <c r="J35" i="21"/>
  <c r="J28" i="21"/>
  <c r="H28" i="21"/>
  <c r="F28" i="21"/>
  <c r="J45" i="21"/>
  <c r="F45" i="21"/>
  <c r="H14" i="33"/>
  <c r="F14" i="33"/>
  <c r="S14" i="33" s="1"/>
  <c r="S44" i="33"/>
  <c r="AA44" i="33"/>
  <c r="J31" i="34"/>
  <c r="AC31" i="34" s="1"/>
  <c r="H31" i="34"/>
  <c r="F47" i="34"/>
  <c r="J47" i="34"/>
  <c r="AC47" i="34" s="1"/>
  <c r="H31" i="39"/>
  <c r="F31" i="39"/>
  <c r="AA31" i="39" s="1"/>
  <c r="J43" i="39"/>
  <c r="H43" i="39"/>
  <c r="S38" i="34"/>
  <c r="AA38" i="34"/>
  <c r="S34" i="37"/>
  <c r="AA34" i="37"/>
  <c r="AA31" i="35"/>
  <c r="S31" i="35"/>
  <c r="J35" i="39"/>
  <c r="AC35" i="39" s="1"/>
  <c r="F35" i="39"/>
  <c r="G582" i="3"/>
  <c r="G575" i="3"/>
  <c r="BL574" i="3"/>
  <c r="AZ574" i="3" s="1"/>
  <c r="G574" i="3"/>
  <c r="BA573" i="3"/>
  <c r="BA572" i="3"/>
  <c r="G7" i="21"/>
  <c r="E7" i="21"/>
  <c r="I7" i="21"/>
  <c r="AA25" i="34"/>
  <c r="AC13" i="37"/>
  <c r="AC15" i="37"/>
  <c r="S14" i="36"/>
  <c r="S23" i="40"/>
  <c r="AZ327" i="3"/>
  <c r="BL553" i="3"/>
  <c r="BL565" i="3"/>
  <c r="BL577" i="3"/>
  <c r="AZ496" i="3"/>
  <c r="AC35" i="40"/>
  <c r="W35" i="40"/>
  <c r="F28" i="37"/>
  <c r="W31" i="33"/>
  <c r="AC31" i="33"/>
  <c r="F28" i="33"/>
  <c r="W33" i="33"/>
  <c r="F35" i="21"/>
  <c r="S35" i="21" s="1"/>
  <c r="J29" i="33"/>
  <c r="H29" i="33"/>
  <c r="F45" i="33"/>
  <c r="H45" i="33"/>
  <c r="F32" i="34"/>
  <c r="J32" i="34"/>
  <c r="F12" i="35"/>
  <c r="J12" i="35"/>
  <c r="H12" i="35"/>
  <c r="J33" i="36"/>
  <c r="AC33" i="36" s="1"/>
  <c r="F33" i="36"/>
  <c r="G92" i="39"/>
  <c r="H19" i="39"/>
  <c r="AB19" i="39" s="1"/>
  <c r="J19" i="39"/>
  <c r="AC19" i="39" s="1"/>
  <c r="H44" i="39"/>
  <c r="F44" i="39"/>
  <c r="J44" i="39"/>
  <c r="AC44" i="39" s="1"/>
  <c r="AA34" i="39"/>
  <c r="S34" i="39"/>
  <c r="H123" i="39"/>
  <c r="I123" i="39" s="1"/>
  <c r="J123" i="39" s="1"/>
  <c r="K123" i="39" s="1"/>
  <c r="L123" i="39" s="1"/>
  <c r="M123" i="39" s="1"/>
  <c r="J41" i="39"/>
  <c r="W41" i="39" s="1"/>
  <c r="AB38" i="40"/>
  <c r="U38" i="40"/>
  <c r="J32" i="40"/>
  <c r="H32" i="40"/>
  <c r="G585" i="3"/>
  <c r="BL586" i="3"/>
  <c r="AZ586" i="3" s="1"/>
  <c r="J23" i="39"/>
  <c r="AZ389" i="3"/>
  <c r="AZ372" i="3"/>
  <c r="AZ329" i="3"/>
  <c r="M64" i="43"/>
  <c r="N64" i="43" s="1"/>
  <c r="K64" i="43"/>
  <c r="J64" i="43" s="1"/>
  <c r="BL523" i="3"/>
  <c r="BL529" i="3"/>
  <c r="BL543" i="3"/>
  <c r="F27" i="39"/>
  <c r="AA27" i="39" s="1"/>
  <c r="H27" i="39"/>
  <c r="U27" i="39" s="1"/>
  <c r="H39" i="37"/>
  <c r="F36" i="21"/>
  <c r="S36" i="21" s="1"/>
  <c r="F43" i="21"/>
  <c r="S43" i="21" s="1"/>
  <c r="J43" i="21"/>
  <c r="AC43" i="21" s="1"/>
  <c r="G552" i="3"/>
  <c r="G545" i="3"/>
  <c r="G537" i="3"/>
  <c r="A15" i="62"/>
  <c r="B61" i="72" s="1"/>
  <c r="BA400" i="3"/>
  <c r="BA403" i="3"/>
  <c r="BL408" i="3"/>
  <c r="BA413" i="3"/>
  <c r="BA420" i="3"/>
  <c r="G428" i="3"/>
  <c r="BL428" i="3"/>
  <c r="BL429" i="3"/>
  <c r="BL431" i="3"/>
  <c r="G433" i="3"/>
  <c r="BL440" i="3"/>
  <c r="G442" i="3"/>
  <c r="BL452" i="3"/>
  <c r="G454" i="3"/>
  <c r="BA458" i="3"/>
  <c r="AZ458" i="3" s="1"/>
  <c r="BL465" i="3"/>
  <c r="BL469" i="3"/>
  <c r="BA473" i="3"/>
  <c r="BL473" i="3"/>
  <c r="BL474" i="3"/>
  <c r="G475" i="3"/>
  <c r="G481" i="3"/>
  <c r="BA482" i="3"/>
  <c r="BA484" i="3"/>
  <c r="AZ484" i="3" s="1"/>
  <c r="G492" i="3"/>
  <c r="BA303" i="3"/>
  <c r="AZ303" i="3" s="1"/>
  <c r="BA307" i="3"/>
  <c r="AZ307" i="3" s="1"/>
  <c r="G318" i="3"/>
  <c r="BA332" i="3"/>
  <c r="BL332" i="3"/>
  <c r="G339" i="3"/>
  <c r="BL350" i="3"/>
  <c r="BL359" i="3"/>
  <c r="AZ359" i="3" s="1"/>
  <c r="G364" i="3"/>
  <c r="BA367" i="3"/>
  <c r="AZ367" i="3" s="1"/>
  <c r="BA370" i="3"/>
  <c r="AZ370" i="3" s="1"/>
  <c r="G382" i="3"/>
  <c r="BA392" i="3"/>
  <c r="AZ392" i="3" s="1"/>
  <c r="BL208" i="3"/>
  <c r="G210" i="3"/>
  <c r="BA214" i="3"/>
  <c r="BA216" i="3"/>
  <c r="AZ216" i="3" s="1"/>
  <c r="BL219" i="3"/>
  <c r="BL224" i="3"/>
  <c r="G227" i="3"/>
  <c r="BA233" i="3"/>
  <c r="BL233" i="3"/>
  <c r="G235" i="3"/>
  <c r="BA249" i="3"/>
  <c r="BL249" i="3"/>
  <c r="G252" i="3"/>
  <c r="BA253" i="3"/>
  <c r="G258" i="3"/>
  <c r="BL262" i="3"/>
  <c r="BL263" i="3"/>
  <c r="G264" i="3"/>
  <c r="BL269" i="3"/>
  <c r="BA17" i="3"/>
  <c r="BH5" i="3"/>
  <c r="BD5" i="3"/>
  <c r="BJ5" i="3"/>
  <c r="BB5" i="3"/>
  <c r="BM5" i="3"/>
  <c r="BS5" i="3"/>
  <c r="AZ469" i="3"/>
  <c r="G294" i="3"/>
  <c r="C60" i="71"/>
  <c r="D59" i="71"/>
  <c r="C18" i="9"/>
  <c r="D18" i="9" s="1"/>
  <c r="BA402" i="3"/>
  <c r="BA406" i="3"/>
  <c r="BL409" i="3"/>
  <c r="BA410" i="3"/>
  <c r="BL430" i="3"/>
  <c r="BA431" i="3"/>
  <c r="BL435" i="3"/>
  <c r="BL436" i="3"/>
  <c r="BL443" i="3"/>
  <c r="AZ443" i="3" s="1"/>
  <c r="BA452" i="3"/>
  <c r="BA463" i="3"/>
  <c r="BA465" i="3"/>
  <c r="AZ465" i="3" s="1"/>
  <c r="BL467" i="3"/>
  <c r="BL468" i="3"/>
  <c r="BA470" i="3"/>
  <c r="BL470" i="3"/>
  <c r="BA487" i="3"/>
  <c r="AZ487" i="3" s="1"/>
  <c r="BL488" i="3"/>
  <c r="BL316" i="3"/>
  <c r="BL395" i="3"/>
  <c r="BL211" i="3"/>
  <c r="G218" i="3"/>
  <c r="BA218" i="3"/>
  <c r="BL218" i="3"/>
  <c r="BA220" i="3"/>
  <c r="BL220" i="3"/>
  <c r="BL221" i="3"/>
  <c r="BA228" i="3"/>
  <c r="BL237" i="3"/>
  <c r="BL238" i="3"/>
  <c r="BA247" i="3"/>
  <c r="BL247" i="3"/>
  <c r="G251" i="3"/>
  <c r="BA251" i="3"/>
  <c r="AZ251" i="3" s="1"/>
  <c r="BL251" i="3"/>
  <c r="G255" i="3"/>
  <c r="BL267" i="3"/>
  <c r="BA270" i="3"/>
  <c r="AZ270" i="3" s="1"/>
  <c r="BL270" i="3"/>
  <c r="BL285" i="3"/>
  <c r="BA177" i="3"/>
  <c r="G536" i="3"/>
  <c r="G531" i="3"/>
  <c r="G528" i="3"/>
  <c r="G517" i="3"/>
  <c r="G514" i="3"/>
  <c r="G501" i="3"/>
  <c r="G500" i="3"/>
  <c r="G493" i="3"/>
  <c r="G398" i="3"/>
  <c r="G399" i="3"/>
  <c r="BA401" i="3"/>
  <c r="BL402" i="3"/>
  <c r="G404" i="3"/>
  <c r="BA404" i="3"/>
  <c r="BA405" i="3"/>
  <c r="BL406" i="3"/>
  <c r="G409" i="3"/>
  <c r="G412" i="3"/>
  <c r="BL416" i="3"/>
  <c r="G418" i="3"/>
  <c r="G419" i="3"/>
  <c r="G425" i="3"/>
  <c r="BL425" i="3"/>
  <c r="BL426" i="3"/>
  <c r="G430" i="3"/>
  <c r="G434" i="3"/>
  <c r="G438" i="3"/>
  <c r="G444" i="3"/>
  <c r="BA445" i="3"/>
  <c r="BA447" i="3"/>
  <c r="AZ447" i="3" s="1"/>
  <c r="BL455" i="3"/>
  <c r="BA462" i="3"/>
  <c r="AZ462" i="3" s="1"/>
  <c r="G465" i="3"/>
  <c r="G466" i="3"/>
  <c r="G470" i="3"/>
  <c r="G477" i="3"/>
  <c r="BA485" i="3"/>
  <c r="BL487" i="3"/>
  <c r="G488" i="3"/>
  <c r="G489" i="3"/>
  <c r="G311" i="3"/>
  <c r="BL314" i="3"/>
  <c r="AZ314" i="3" s="1"/>
  <c r="G315" i="3"/>
  <c r="BL340" i="3"/>
  <c r="AZ340" i="3" s="1"/>
  <c r="BA217" i="3"/>
  <c r="G220" i="3"/>
  <c r="BA225" i="3"/>
  <c r="BA227" i="3"/>
  <c r="AZ227" i="3" s="1"/>
  <c r="BL230" i="3"/>
  <c r="BA235" i="3"/>
  <c r="BL235" i="3"/>
  <c r="BL236" i="3"/>
  <c r="G237" i="3"/>
  <c r="BL242" i="3"/>
  <c r="BL243" i="3"/>
  <c r="G244" i="3"/>
  <c r="BA250" i="3"/>
  <c r="BL254" i="3"/>
  <c r="BL259" i="3"/>
  <c r="G266" i="3"/>
  <c r="G270" i="3"/>
  <c r="BA275" i="3"/>
  <c r="BL275" i="3"/>
  <c r="G277" i="3"/>
  <c r="BL280" i="3"/>
  <c r="BA288" i="3"/>
  <c r="G116" i="3"/>
  <c r="BA148" i="3"/>
  <c r="AZ148" i="3" s="1"/>
  <c r="C44" i="71"/>
  <c r="D43" i="71"/>
  <c r="F8" i="1"/>
  <c r="G8" i="1" s="1"/>
  <c r="G44" i="43"/>
  <c r="Y26" i="71"/>
  <c r="Z26" i="71" s="1"/>
  <c r="AA3" i="71"/>
  <c r="G274" i="3"/>
  <c r="BL278" i="3"/>
  <c r="G280" i="3"/>
  <c r="G286" i="3"/>
  <c r="G287" i="3"/>
  <c r="BL287" i="3"/>
  <c r="G290" i="3"/>
  <c r="BA293" i="3"/>
  <c r="G297" i="3"/>
  <c r="BA120" i="3"/>
  <c r="AZ120" i="3" s="1"/>
  <c r="BA133" i="3"/>
  <c r="G138" i="3"/>
  <c r="BL146" i="3"/>
  <c r="G147" i="3"/>
  <c r="BL158" i="3"/>
  <c r="G159" i="3"/>
  <c r="G163" i="3"/>
  <c r="BL166" i="3"/>
  <c r="G167" i="3"/>
  <c r="BA168" i="3"/>
  <c r="AZ168" i="3" s="1"/>
  <c r="BL175" i="3"/>
  <c r="AZ175" i="3" s="1"/>
  <c r="G176" i="3"/>
  <c r="G190" i="3"/>
  <c r="G205" i="3"/>
  <c r="G31" i="3"/>
  <c r="BA40" i="3"/>
  <c r="G44" i="3"/>
  <c r="BL44" i="3"/>
  <c r="BA55" i="3"/>
  <c r="BL57" i="3"/>
  <c r="G59" i="3"/>
  <c r="G62" i="3"/>
  <c r="BL74" i="3"/>
  <c r="BL79" i="3"/>
  <c r="G80" i="3"/>
  <c r="G81" i="3"/>
  <c r="G84" i="3"/>
  <c r="BA91" i="3"/>
  <c r="AZ91" i="3" s="1"/>
  <c r="BL93" i="3"/>
  <c r="G95" i="3"/>
  <c r="BL101" i="3"/>
  <c r="BL102" i="3"/>
  <c r="BA109" i="3"/>
  <c r="D58" i="71"/>
  <c r="U68" i="71"/>
  <c r="X38" i="71"/>
  <c r="B40" i="71"/>
  <c r="S40" i="71" s="1"/>
  <c r="C31" i="71"/>
  <c r="AB34" i="71"/>
  <c r="AA37" i="71"/>
  <c r="AA38" i="71"/>
  <c r="V68" i="71"/>
  <c r="F71" i="71"/>
  <c r="F70" i="71" s="1"/>
  <c r="C23" i="71"/>
  <c r="B22" i="71"/>
  <c r="B21" i="71" s="1"/>
  <c r="B20" i="71" s="1"/>
  <c r="BA291" i="3"/>
  <c r="G302" i="3"/>
  <c r="BL113" i="3"/>
  <c r="BL115" i="3"/>
  <c r="AZ115" i="3" s="1"/>
  <c r="BA118" i="3"/>
  <c r="BL118" i="3"/>
  <c r="BA132" i="3"/>
  <c r="AZ132" i="3" s="1"/>
  <c r="BL135" i="3"/>
  <c r="AZ135" i="3" s="1"/>
  <c r="BA145" i="3"/>
  <c r="G146" i="3"/>
  <c r="G158" i="3"/>
  <c r="BL167" i="3"/>
  <c r="AZ167" i="3" s="1"/>
  <c r="BL169" i="3"/>
  <c r="G170" i="3"/>
  <c r="G175" i="3"/>
  <c r="BA194" i="3"/>
  <c r="BA36" i="3"/>
  <c r="BL38" i="3"/>
  <c r="BA39" i="3"/>
  <c r="BA43" i="3"/>
  <c r="BL52" i="3"/>
  <c r="BA53" i="3"/>
  <c r="BA54" i="3"/>
  <c r="BL68" i="3"/>
  <c r="BA69" i="3"/>
  <c r="BA75" i="3"/>
  <c r="BA88" i="3"/>
  <c r="BA97" i="3"/>
  <c r="AZ97" i="3" s="1"/>
  <c r="BL97" i="3"/>
  <c r="BA110" i="3"/>
  <c r="AZ110" i="3" s="1"/>
  <c r="C29" i="39"/>
  <c r="AA18" i="35"/>
  <c r="E75" i="71"/>
  <c r="E74" i="71" s="1"/>
  <c r="C38" i="71"/>
  <c r="D38" i="71" s="1"/>
  <c r="E34" i="71"/>
  <c r="X33" i="71"/>
  <c r="X36" i="71"/>
  <c r="Y27" i="71"/>
  <c r="Z27" i="71" s="1"/>
  <c r="BA125" i="3"/>
  <c r="AZ125" i="3" s="1"/>
  <c r="BL125" i="3"/>
  <c r="BL126" i="3"/>
  <c r="G130" i="3"/>
  <c r="G135" i="3"/>
  <c r="G140" i="3"/>
  <c r="BL143" i="3"/>
  <c r="AZ143" i="3" s="1"/>
  <c r="G155" i="3"/>
  <c r="BA162" i="3"/>
  <c r="G184" i="3"/>
  <c r="BA185" i="3"/>
  <c r="BA189" i="3"/>
  <c r="BL191" i="3"/>
  <c r="AZ191" i="3" s="1"/>
  <c r="G192" i="3"/>
  <c r="BA193" i="3"/>
  <c r="BL195" i="3"/>
  <c r="AZ195" i="3" s="1"/>
  <c r="G202" i="3"/>
  <c r="G203" i="3"/>
  <c r="BA205" i="3"/>
  <c r="AZ205" i="3" s="1"/>
  <c r="G34" i="3"/>
  <c r="G41" i="3"/>
  <c r="G51" i="3"/>
  <c r="G52" i="3"/>
  <c r="BA52" i="3"/>
  <c r="G66" i="3"/>
  <c r="G67" i="3"/>
  <c r="G73" i="3"/>
  <c r="BL73" i="3"/>
  <c r="BA74" i="3"/>
  <c r="AZ74" i="3" s="1"/>
  <c r="BA87" i="3"/>
  <c r="BL96" i="3"/>
  <c r="G106" i="3"/>
  <c r="BL106" i="3"/>
  <c r="BA108" i="3"/>
  <c r="G110" i="3"/>
  <c r="G112" i="3"/>
  <c r="K13" i="1"/>
  <c r="M13" i="1" s="1"/>
  <c r="O13" i="1" s="1"/>
  <c r="P13" i="1" s="1"/>
  <c r="AC21" i="33"/>
  <c r="U21" i="34"/>
  <c r="AC25" i="40"/>
  <c r="B68" i="43"/>
  <c r="C83" i="71"/>
  <c r="D72" i="71"/>
  <c r="B66" i="71"/>
  <c r="AB25" i="71"/>
  <c r="Y35" i="71"/>
  <c r="Z35" i="71" s="1"/>
  <c r="B59" i="71"/>
  <c r="B60" i="71" s="1"/>
  <c r="S60" i="71" s="1"/>
  <c r="X25" i="71"/>
  <c r="U30" i="21"/>
  <c r="S44" i="21"/>
  <c r="F42" i="21"/>
  <c r="AA42" i="21" s="1"/>
  <c r="H42" i="21"/>
  <c r="U42" i="21" s="1"/>
  <c r="J42" i="21"/>
  <c r="AC42" i="21" s="1"/>
  <c r="U32" i="21"/>
  <c r="S32" i="21"/>
  <c r="S37" i="21"/>
  <c r="AA36" i="21"/>
  <c r="AA43" i="21"/>
  <c r="W43" i="21"/>
  <c r="AB41" i="21"/>
  <c r="U19" i="21"/>
  <c r="AB19" i="21"/>
  <c r="F81" i="21"/>
  <c r="G81" i="21" s="1"/>
  <c r="U17" i="21"/>
  <c r="AC23" i="21"/>
  <c r="AA23" i="21"/>
  <c r="U23" i="21"/>
  <c r="W21" i="21"/>
  <c r="S19" i="21"/>
  <c r="W17" i="21"/>
  <c r="W15" i="21"/>
  <c r="AB15" i="21"/>
  <c r="AA15" i="21"/>
  <c r="U9" i="21"/>
  <c r="AA9" i="21"/>
  <c r="W9" i="21"/>
  <c r="AA41" i="21"/>
  <c r="S42" i="21"/>
  <c r="AA40" i="21"/>
  <c r="AC40" i="21"/>
  <c r="U40" i="21"/>
  <c r="W39" i="21"/>
  <c r="S39" i="21"/>
  <c r="AB38" i="21"/>
  <c r="U35" i="21"/>
  <c r="AA35" i="21"/>
  <c r="U34" i="21"/>
  <c r="AC34" i="21"/>
  <c r="U38" i="39"/>
  <c r="A2" i="9"/>
  <c r="A118" i="9"/>
  <c r="A24" i="51"/>
  <c r="B18" i="72" s="1"/>
  <c r="G94" i="39"/>
  <c r="F21" i="39"/>
  <c r="S21" i="39" s="1"/>
  <c r="H21" i="39"/>
  <c r="J21" i="39"/>
  <c r="W21" i="39" s="1"/>
  <c r="AC17" i="39"/>
  <c r="F17" i="39"/>
  <c r="AA17" i="39" s="1"/>
  <c r="S45" i="39"/>
  <c r="AA45" i="39"/>
  <c r="W44" i="39"/>
  <c r="U40" i="39"/>
  <c r="AA41" i="39"/>
  <c r="AB39" i="39"/>
  <c r="U41" i="39"/>
  <c r="W34" i="39"/>
  <c r="W31" i="39"/>
  <c r="S31" i="39"/>
  <c r="W29" i="39"/>
  <c r="U29" i="39"/>
  <c r="AC27" i="39"/>
  <c r="S27" i="39"/>
  <c r="AB27" i="39"/>
  <c r="AC25" i="39"/>
  <c r="U25" i="39"/>
  <c r="S23" i="39"/>
  <c r="S19" i="39"/>
  <c r="U19" i="39"/>
  <c r="W19" i="39"/>
  <c r="U17" i="39"/>
  <c r="S15" i="39"/>
  <c r="U12" i="39"/>
  <c r="AB12" i="39"/>
  <c r="AA14" i="39"/>
  <c r="W12" i="39"/>
  <c r="F12" i="39"/>
  <c r="S42" i="39"/>
  <c r="U42" i="39"/>
  <c r="AC41" i="39"/>
  <c r="S40" i="39"/>
  <c r="W40" i="39"/>
  <c r="AC38" i="39"/>
  <c r="AA39" i="39"/>
  <c r="W9" i="39"/>
  <c r="S9" i="39"/>
  <c r="C21" i="40"/>
  <c r="B61" i="43"/>
  <c r="B57" i="43"/>
  <c r="B67" i="43"/>
  <c r="B79" i="43"/>
  <c r="M18" i="67"/>
  <c r="F30" i="11"/>
  <c r="C48" i="11" s="1"/>
  <c r="C40" i="68"/>
  <c r="E19" i="11"/>
  <c r="E19" i="68"/>
  <c r="D23" i="15"/>
  <c r="D22" i="15"/>
  <c r="BC5" i="3"/>
  <c r="BG5" i="3"/>
  <c r="E12" i="6" s="1"/>
  <c r="E57" i="40" s="1"/>
  <c r="BK5" i="3"/>
  <c r="K1" i="12"/>
  <c r="G1" i="67"/>
  <c r="G1" i="68"/>
  <c r="G1" i="69"/>
  <c r="BA30" i="3"/>
  <c r="BA14" i="3"/>
  <c r="BP5" i="3"/>
  <c r="G29" i="6" s="1"/>
  <c r="BA15" i="3"/>
  <c r="BL17" i="3"/>
  <c r="G28" i="3"/>
  <c r="AZ14" i="3"/>
  <c r="BL15" i="3"/>
  <c r="AZ15" i="3" s="1"/>
  <c r="G18" i="3"/>
  <c r="BA16" i="3"/>
  <c r="BL20" i="3"/>
  <c r="BA21" i="3"/>
  <c r="BL23" i="3"/>
  <c r="BL24" i="3"/>
  <c r="BA26" i="3"/>
  <c r="BL28" i="3"/>
  <c r="BA29" i="3"/>
  <c r="G33" i="3"/>
  <c r="BA33" i="3"/>
  <c r="BL35" i="3"/>
  <c r="BL34" i="3"/>
  <c r="G14" i="3"/>
  <c r="BA22" i="3"/>
  <c r="G26" i="3"/>
  <c r="G23" i="3"/>
  <c r="AZ17" i="3"/>
  <c r="BA25" i="3"/>
  <c r="B16" i="53"/>
  <c r="B33" i="72" s="1"/>
  <c r="AA20" i="36"/>
  <c r="S20" i="36"/>
  <c r="AZ509" i="3"/>
  <c r="F48" i="9"/>
  <c r="O52" i="9" s="1"/>
  <c r="F28" i="67"/>
  <c r="C28" i="67" s="1"/>
  <c r="F32" i="67"/>
  <c r="F60" i="67" s="1"/>
  <c r="F28" i="15"/>
  <c r="F31" i="12"/>
  <c r="F30" i="69"/>
  <c r="F48" i="69" s="1"/>
  <c r="D68" i="9"/>
  <c r="F30" i="68"/>
  <c r="F48" i="68" s="1"/>
  <c r="F52" i="9"/>
  <c r="F32" i="15"/>
  <c r="F60" i="15" s="1"/>
  <c r="F54" i="9"/>
  <c r="AA32" i="37"/>
  <c r="S32" i="37"/>
  <c r="AB19" i="33"/>
  <c r="W25" i="33"/>
  <c r="U36" i="33"/>
  <c r="AB36" i="33"/>
  <c r="AA25" i="37"/>
  <c r="S25" i="37"/>
  <c r="AA21" i="39"/>
  <c r="W45" i="21"/>
  <c r="AC45" i="21"/>
  <c r="AB34" i="35"/>
  <c r="U34" i="35"/>
  <c r="AZ306" i="3"/>
  <c r="AZ508" i="3"/>
  <c r="BL587" i="3"/>
  <c r="BA587" i="3"/>
  <c r="AA38" i="33"/>
  <c r="S38" i="33"/>
  <c r="J23" i="35"/>
  <c r="H23" i="35"/>
  <c r="AC22" i="35"/>
  <c r="W22" i="35"/>
  <c r="J39" i="40"/>
  <c r="H39" i="40"/>
  <c r="BA549" i="3"/>
  <c r="BL546" i="3"/>
  <c r="AZ546" i="3" s="1"/>
  <c r="BL544" i="3"/>
  <c r="BA544" i="3"/>
  <c r="BA543" i="3"/>
  <c r="AZ543" i="3" s="1"/>
  <c r="BA541" i="3"/>
  <c r="AZ541" i="3" s="1"/>
  <c r="BA540" i="3"/>
  <c r="BL537" i="3"/>
  <c r="BA535" i="3"/>
  <c r="AZ535" i="3" s="1"/>
  <c r="BL533" i="3"/>
  <c r="BA533" i="3"/>
  <c r="BL530" i="3"/>
  <c r="BA530" i="3"/>
  <c r="BA527" i="3"/>
  <c r="BL526" i="3"/>
  <c r="BA525" i="3"/>
  <c r="BL524" i="3"/>
  <c r="BA524" i="3"/>
  <c r="BA522" i="3"/>
  <c r="AZ522" i="3" s="1"/>
  <c r="BL521" i="3"/>
  <c r="BA521" i="3"/>
  <c r="BA517" i="3"/>
  <c r="BA516" i="3"/>
  <c r="AZ516" i="3" s="1"/>
  <c r="BA515" i="3"/>
  <c r="AZ515" i="3" s="1"/>
  <c r="BA514" i="3"/>
  <c r="AZ514" i="3" s="1"/>
  <c r="BL512" i="3"/>
  <c r="AZ512" i="3" s="1"/>
  <c r="BL510" i="3"/>
  <c r="BA510" i="3"/>
  <c r="BA507" i="3"/>
  <c r="BL506" i="3"/>
  <c r="AZ506" i="3" s="1"/>
  <c r="BA505" i="3"/>
  <c r="AZ505" i="3" s="1"/>
  <c r="BL504" i="3"/>
  <c r="BA504" i="3"/>
  <c r="BL499" i="3"/>
  <c r="BA499" i="3"/>
  <c r="BA498" i="3"/>
  <c r="AZ498" i="3" s="1"/>
  <c r="BA497" i="3"/>
  <c r="AZ497" i="3" s="1"/>
  <c r="BL495" i="3"/>
  <c r="BL494" i="3"/>
  <c r="AZ494" i="3" s="1"/>
  <c r="AC37" i="33"/>
  <c r="U42" i="33"/>
  <c r="AA35" i="33"/>
  <c r="AC39" i="34"/>
  <c r="AA38" i="37"/>
  <c r="S20" i="35"/>
  <c r="AA22" i="36"/>
  <c r="AA34" i="33"/>
  <c r="U30" i="33"/>
  <c r="AC5" i="3"/>
  <c r="AZ357" i="3"/>
  <c r="AZ313" i="3"/>
  <c r="AZ394" i="3"/>
  <c r="AC36" i="34"/>
  <c r="AZ523" i="3"/>
  <c r="AZ529" i="3"/>
  <c r="AZ565" i="3"/>
  <c r="AZ526" i="3"/>
  <c r="AZ572" i="3"/>
  <c r="W11" i="35"/>
  <c r="AC11" i="35"/>
  <c r="AA44" i="34"/>
  <c r="AB17" i="34"/>
  <c r="B97" i="43"/>
  <c r="B75" i="43"/>
  <c r="J26" i="33"/>
  <c r="F26" i="33"/>
  <c r="H26" i="33"/>
  <c r="J9" i="34"/>
  <c r="H12" i="34"/>
  <c r="J13" i="36"/>
  <c r="F13" i="36"/>
  <c r="F25" i="36"/>
  <c r="H25" i="36"/>
  <c r="F32" i="36"/>
  <c r="H32" i="36"/>
  <c r="BL542" i="3"/>
  <c r="AZ542" i="3" s="1"/>
  <c r="BA538" i="3"/>
  <c r="AZ538" i="3" s="1"/>
  <c r="BA534" i="3"/>
  <c r="AZ534" i="3" s="1"/>
  <c r="BL532" i="3"/>
  <c r="AZ532" i="3" s="1"/>
  <c r="AB20" i="35"/>
  <c r="AC34" i="33"/>
  <c r="AZ334" i="3"/>
  <c r="AZ549" i="3"/>
  <c r="W44" i="21"/>
  <c r="W47" i="34"/>
  <c r="AZ525" i="3"/>
  <c r="AZ513" i="3"/>
  <c r="AZ540" i="3"/>
  <c r="AC11" i="40"/>
  <c r="AB35" i="33"/>
  <c r="U35" i="33"/>
  <c r="AA40" i="33"/>
  <c r="S40" i="33"/>
  <c r="BL580" i="3"/>
  <c r="AZ580" i="3" s="1"/>
  <c r="BL579" i="3"/>
  <c r="BA579" i="3"/>
  <c r="BA578" i="3"/>
  <c r="BA577" i="3"/>
  <c r="AZ577" i="3" s="1"/>
  <c r="BA576" i="3"/>
  <c r="AZ576" i="3" s="1"/>
  <c r="BL575" i="3"/>
  <c r="AZ575" i="3" s="1"/>
  <c r="BA571" i="3"/>
  <c r="AZ571" i="3" s="1"/>
  <c r="BL570" i="3"/>
  <c r="BA570" i="3"/>
  <c r="BA569" i="3"/>
  <c r="BL568" i="3"/>
  <c r="BA568" i="3"/>
  <c r="AZ568" i="3" s="1"/>
  <c r="BL566" i="3"/>
  <c r="AZ566" i="3" s="1"/>
  <c r="BL564" i="3"/>
  <c r="AZ564" i="3" s="1"/>
  <c r="BA563" i="3"/>
  <c r="AZ563" i="3" s="1"/>
  <c r="BA562" i="3"/>
  <c r="BL561" i="3"/>
  <c r="BA561" i="3"/>
  <c r="BA560" i="3"/>
  <c r="AZ560" i="3" s="1"/>
  <c r="BL558" i="3"/>
  <c r="AZ558" i="3" s="1"/>
  <c r="BA556" i="3"/>
  <c r="AZ556" i="3" s="1"/>
  <c r="G556" i="3"/>
  <c r="BA553" i="3"/>
  <c r="AZ553" i="3" s="1"/>
  <c r="BL552" i="3"/>
  <c r="BA552" i="3"/>
  <c r="S43" i="33"/>
  <c r="AB19" i="40"/>
  <c r="AZ387" i="3"/>
  <c r="AZ362" i="3"/>
  <c r="AZ338" i="3"/>
  <c r="AZ390" i="3"/>
  <c r="AZ371" i="3"/>
  <c r="AZ351" i="3"/>
  <c r="AZ336" i="3"/>
  <c r="AZ305" i="3"/>
  <c r="AZ360" i="3"/>
  <c r="AB33" i="40"/>
  <c r="AZ539" i="3"/>
  <c r="AZ537" i="3"/>
  <c r="AZ518" i="3"/>
  <c r="W31" i="34"/>
  <c r="AA14" i="33"/>
  <c r="U46" i="34"/>
  <c r="AA41" i="33"/>
  <c r="U23" i="34"/>
  <c r="H14" i="21"/>
  <c r="J14" i="21"/>
  <c r="W28" i="21"/>
  <c r="AC28" i="21"/>
  <c r="F30" i="21"/>
  <c r="J30" i="21"/>
  <c r="H9" i="33"/>
  <c r="F9" i="33"/>
  <c r="AA9" i="33" s="1"/>
  <c r="H31" i="33"/>
  <c r="U31" i="33" s="1"/>
  <c r="F31" i="33"/>
  <c r="F46" i="34"/>
  <c r="J46" i="34"/>
  <c r="W27" i="35"/>
  <c r="AC27" i="35"/>
  <c r="U12" i="36"/>
  <c r="H25" i="37"/>
  <c r="J25" i="37"/>
  <c r="U8" i="39"/>
  <c r="AB8" i="39"/>
  <c r="H45" i="39"/>
  <c r="J45" i="39"/>
  <c r="W45" i="39" s="1"/>
  <c r="AA38" i="39"/>
  <c r="S38" i="39"/>
  <c r="F14" i="40"/>
  <c r="H14" i="40"/>
  <c r="U30" i="36"/>
  <c r="AB30" i="36"/>
  <c r="BL584" i="3"/>
  <c r="BA584" i="3"/>
  <c r="BL582" i="3"/>
  <c r="AZ582" i="3" s="1"/>
  <c r="BA551" i="3"/>
  <c r="AZ551" i="3" s="1"/>
  <c r="BA550" i="3"/>
  <c r="BL548" i="3"/>
  <c r="AZ548" i="3" s="1"/>
  <c r="BL519" i="3"/>
  <c r="AZ519" i="3" s="1"/>
  <c r="BL531" i="3"/>
  <c r="AZ531" i="3" s="1"/>
  <c r="BL559" i="3"/>
  <c r="AZ559" i="3" s="1"/>
  <c r="BL573" i="3"/>
  <c r="AZ573" i="3" s="1"/>
  <c r="BL583" i="3"/>
  <c r="AZ583" i="3" s="1"/>
  <c r="AA14" i="34"/>
  <c r="G587" i="3"/>
  <c r="H23" i="36"/>
  <c r="J23" i="36"/>
  <c r="BL527" i="3"/>
  <c r="BL547" i="3"/>
  <c r="AZ547" i="3" s="1"/>
  <c r="BL569" i="3"/>
  <c r="AZ569" i="3" s="1"/>
  <c r="BL557" i="3"/>
  <c r="AZ557" i="3" s="1"/>
  <c r="BL585" i="3"/>
  <c r="AZ585" i="3" s="1"/>
  <c r="G558" i="3"/>
  <c r="AZ413" i="3"/>
  <c r="G551" i="3"/>
  <c r="BL550" i="3"/>
  <c r="G542" i="3"/>
  <c r="BL398" i="3"/>
  <c r="G408" i="3"/>
  <c r="BL411" i="3"/>
  <c r="BL414" i="3"/>
  <c r="BL415" i="3"/>
  <c r="BL419" i="3"/>
  <c r="AZ419" i="3" s="1"/>
  <c r="BA422" i="3"/>
  <c r="BL424" i="3"/>
  <c r="G426" i="3"/>
  <c r="G427" i="3"/>
  <c r="BA428" i="3"/>
  <c r="AZ428" i="3" s="1"/>
  <c r="BA429" i="3"/>
  <c r="AZ429" i="3" s="1"/>
  <c r="BA430" i="3"/>
  <c r="AZ430" i="3" s="1"/>
  <c r="BL433" i="3"/>
  <c r="BL434" i="3"/>
  <c r="G436" i="3"/>
  <c r="BA439" i="3"/>
  <c r="BA440" i="3"/>
  <c r="AZ440" i="3" s="1"/>
  <c r="BA442" i="3"/>
  <c r="BA446" i="3"/>
  <c r="BA451" i="3"/>
  <c r="AZ451" i="3" s="1"/>
  <c r="BL453" i="3"/>
  <c r="BL454" i="3"/>
  <c r="BA464" i="3"/>
  <c r="AZ411" i="3"/>
  <c r="G449" i="3"/>
  <c r="BL449" i="3"/>
  <c r="AZ449" i="3" s="1"/>
  <c r="BL450" i="3"/>
  <c r="BA453" i="3"/>
  <c r="BA455" i="3"/>
  <c r="AZ455" i="3" s="1"/>
  <c r="BL16" i="3"/>
  <c r="BL400" i="3"/>
  <c r="AZ400" i="3" s="1"/>
  <c r="BA408" i="3"/>
  <c r="AZ408" i="3" s="1"/>
  <c r="BA409" i="3"/>
  <c r="AZ409" i="3" s="1"/>
  <c r="BL412" i="3"/>
  <c r="BL417" i="3"/>
  <c r="BL418" i="3"/>
  <c r="BL421" i="3"/>
  <c r="BL422" i="3"/>
  <c r="BL427" i="3"/>
  <c r="G429" i="3"/>
  <c r="BL432" i="3"/>
  <c r="BA434" i="3"/>
  <c r="BA436" i="3"/>
  <c r="G445" i="3"/>
  <c r="BL445" i="3"/>
  <c r="BL446" i="3"/>
  <c r="BA449" i="3"/>
  <c r="BL456" i="3"/>
  <c r="AZ217" i="3"/>
  <c r="BL403" i="3"/>
  <c r="AZ403" i="3" s="1"/>
  <c r="BL410" i="3"/>
  <c r="BL413" i="3"/>
  <c r="G416" i="3"/>
  <c r="BA417" i="3"/>
  <c r="AZ417" i="3" s="1"/>
  <c r="BL423" i="3"/>
  <c r="BA432" i="3"/>
  <c r="BL438" i="3"/>
  <c r="BL439" i="3"/>
  <c r="BA441" i="3"/>
  <c r="G458" i="3"/>
  <c r="BL459" i="3"/>
  <c r="G462" i="3"/>
  <c r="BA467" i="3"/>
  <c r="BA468" i="3"/>
  <c r="AZ468" i="3" s="1"/>
  <c r="BL471" i="3"/>
  <c r="BL475" i="3"/>
  <c r="BA477" i="3"/>
  <c r="BA478" i="3"/>
  <c r="BA481"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AZ385" i="3" s="1"/>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AZ256" i="3" s="1"/>
  <c r="BL256" i="3"/>
  <c r="BA258" i="3"/>
  <c r="AZ258" i="3" s="1"/>
  <c r="BL264" i="3"/>
  <c r="BL266" i="3"/>
  <c r="BA268" i="3"/>
  <c r="BL273" i="3"/>
  <c r="BA277" i="3"/>
  <c r="AZ277" i="3" s="1"/>
  <c r="BL277" i="3"/>
  <c r="BA282" i="3"/>
  <c r="BL282" i="3"/>
  <c r="BA284" i="3"/>
  <c r="AZ284" i="3" s="1"/>
  <c r="BL290" i="3"/>
  <c r="BL291" i="3"/>
  <c r="AZ291" i="3" s="1"/>
  <c r="BL293" i="3"/>
  <c r="BL294" i="3"/>
  <c r="BA297" i="3"/>
  <c r="AZ297" i="3" s="1"/>
  <c r="BL297" i="3"/>
  <c r="BL300" i="3"/>
  <c r="BA302" i="3"/>
  <c r="AZ302" i="3" s="1"/>
  <c r="BA117" i="3"/>
  <c r="BA130" i="3"/>
  <c r="BL130" i="3"/>
  <c r="BA150" i="3"/>
  <c r="AZ150" i="3" s="1"/>
  <c r="BL457" i="3"/>
  <c r="BL460" i="3"/>
  <c r="BL461" i="3"/>
  <c r="BL463" i="3"/>
  <c r="BA471" i="3"/>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AZ271" i="3" s="1"/>
  <c r="BL271" i="3"/>
  <c r="BA274" i="3"/>
  <c r="BL274" i="3"/>
  <c r="BA276" i="3"/>
  <c r="BA279" i="3"/>
  <c r="BA281" i="3"/>
  <c r="BL286" i="3"/>
  <c r="AZ286" i="3" s="1"/>
  <c r="G291" i="3"/>
  <c r="BA296" i="3"/>
  <c r="BA116" i="3"/>
  <c r="AZ116" i="3" s="1"/>
  <c r="BA121" i="3"/>
  <c r="BL121" i="3"/>
  <c r="BA124" i="3"/>
  <c r="AZ124" i="3" s="1"/>
  <c r="BA126" i="3"/>
  <c r="AZ126" i="3" s="1"/>
  <c r="BA129" i="3"/>
  <c r="BL133" i="3"/>
  <c r="AZ133" i="3" s="1"/>
  <c r="BL139" i="3"/>
  <c r="AZ139" i="3" s="1"/>
  <c r="BL141" i="3"/>
  <c r="BL161" i="3"/>
  <c r="BA398" i="3"/>
  <c r="AZ398" i="3" s="1"/>
  <c r="BA399" i="3"/>
  <c r="AZ399" i="3" s="1"/>
  <c r="BL401" i="3"/>
  <c r="AZ401" i="3" s="1"/>
  <c r="BL404" i="3"/>
  <c r="AZ404" i="3" s="1"/>
  <c r="BL405" i="3"/>
  <c r="AZ405" i="3" s="1"/>
  <c r="BL407" i="3"/>
  <c r="AZ407" i="3" s="1"/>
  <c r="BA412" i="3"/>
  <c r="BA414" i="3"/>
  <c r="AZ414" i="3" s="1"/>
  <c r="BA415" i="3"/>
  <c r="AZ415" i="3" s="1"/>
  <c r="BA416" i="3"/>
  <c r="AZ416" i="3" s="1"/>
  <c r="BA418" i="3"/>
  <c r="AZ418" i="3" s="1"/>
  <c r="BA421" i="3"/>
  <c r="AZ421" i="3" s="1"/>
  <c r="BA423" i="3"/>
  <c r="AZ423" i="3" s="1"/>
  <c r="BA425" i="3"/>
  <c r="AZ425" i="3" s="1"/>
  <c r="BA426" i="3"/>
  <c r="BA427" i="3"/>
  <c r="BA433" i="3"/>
  <c r="AZ433" i="3" s="1"/>
  <c r="BA435" i="3"/>
  <c r="AZ435" i="3" s="1"/>
  <c r="BL437" i="3"/>
  <c r="AZ437" i="3" s="1"/>
  <c r="G439" i="3"/>
  <c r="G440" i="3"/>
  <c r="BL441" i="3"/>
  <c r="BL442" i="3"/>
  <c r="BL444" i="3"/>
  <c r="AZ444" i="3" s="1"/>
  <c r="G446" i="3"/>
  <c r="G447" i="3"/>
  <c r="BL448" i="3"/>
  <c r="AZ448" i="3" s="1"/>
  <c r="G450" i="3"/>
  <c r="G451" i="3"/>
  <c r="BA454" i="3"/>
  <c r="AZ454" i="3" s="1"/>
  <c r="BA457" i="3"/>
  <c r="BA459" i="3"/>
  <c r="BA460" i="3"/>
  <c r="AZ460" i="3" s="1"/>
  <c r="BA461" i="3"/>
  <c r="BL464" i="3"/>
  <c r="BL466" i="3"/>
  <c r="AZ466" i="3" s="1"/>
  <c r="G468" i="3"/>
  <c r="G469" i="3"/>
  <c r="BL476" i="3"/>
  <c r="AZ476" i="3" s="1"/>
  <c r="BL477" i="3"/>
  <c r="AZ477" i="3" s="1"/>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37" i="3"/>
  <c r="BA146" i="3"/>
  <c r="AZ146" i="3" s="1"/>
  <c r="BL154" i="3"/>
  <c r="AZ52" i="3"/>
  <c r="D44" i="71"/>
  <c r="T44" i="71"/>
  <c r="D34" i="71"/>
  <c r="C35" i="71"/>
  <c r="C55" i="71"/>
  <c r="D54" i="71"/>
  <c r="D67" i="71"/>
  <c r="C66" i="71"/>
  <c r="O67" i="71"/>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BA20" i="3"/>
  <c r="AZ20" i="3" s="1"/>
  <c r="BL25" i="3"/>
  <c r="BL27" i="3"/>
  <c r="BA28" i="3"/>
  <c r="BA31" i="3"/>
  <c r="BA32" i="3"/>
  <c r="G38" i="3"/>
  <c r="BA38" i="3"/>
  <c r="AZ38" i="3" s="1"/>
  <c r="BA41" i="3"/>
  <c r="AZ41" i="3" s="1"/>
  <c r="BA42" i="3"/>
  <c r="G47" i="3"/>
  <c r="BL48" i="3"/>
  <c r="BL54" i="3"/>
  <c r="BL55" i="3"/>
  <c r="AZ55" i="3" s="1"/>
  <c r="G58" i="3"/>
  <c r="BA59" i="3"/>
  <c r="BL61" i="3"/>
  <c r="G64" i="3"/>
  <c r="BA64" i="3"/>
  <c r="C64" i="71"/>
  <c r="D63" i="71"/>
  <c r="BA137" i="3"/>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G27" i="3"/>
  <c r="BA27" i="3"/>
  <c r="G30" i="3"/>
  <c r="BL30" i="3"/>
  <c r="AZ30" i="3" s="1"/>
  <c r="BL31" i="3"/>
  <c r="G35" i="3"/>
  <c r="G36" i="3"/>
  <c r="G37" i="3"/>
  <c r="G40" i="3"/>
  <c r="BL40" i="3"/>
  <c r="BL41" i="3"/>
  <c r="G45" i="3"/>
  <c r="BL45" i="3"/>
  <c r="BA48" i="3"/>
  <c r="BA49" i="3"/>
  <c r="BA51" i="3"/>
  <c r="G55" i="3"/>
  <c r="BL56" i="3"/>
  <c r="BA58" i="3"/>
  <c r="BL59" i="3"/>
  <c r="BL69" i="3"/>
  <c r="AZ69" i="3" s="1"/>
  <c r="G70" i="3"/>
  <c r="BL70" i="3"/>
  <c r="BL71" i="3"/>
  <c r="BL72" i="3"/>
  <c r="AZ72" i="3" s="1"/>
  <c r="G74" i="3"/>
  <c r="G78" i="3"/>
  <c r="BL86" i="3"/>
  <c r="AZ86" i="3" s="1"/>
  <c r="G93" i="3"/>
  <c r="D31" i="71"/>
  <c r="C32" i="71"/>
  <c r="D50" i="71"/>
  <c r="C51" i="71"/>
  <c r="G154" i="3"/>
  <c r="G156" i="3"/>
  <c r="BL157" i="3"/>
  <c r="AZ157" i="3" s="1"/>
  <c r="BL159" i="3"/>
  <c r="AZ159" i="3" s="1"/>
  <c r="G160" i="3"/>
  <c r="BL177" i="3"/>
  <c r="AZ177" i="3" s="1"/>
  <c r="G179" i="3"/>
  <c r="BL183" i="3"/>
  <c r="AZ183" i="3" s="1"/>
  <c r="BA186" i="3"/>
  <c r="AZ186" i="3" s="1"/>
  <c r="BA190" i="3"/>
  <c r="G196" i="3"/>
  <c r="BA197" i="3"/>
  <c r="BL201" i="3"/>
  <c r="AZ201" i="3" s="1"/>
  <c r="BL203" i="3"/>
  <c r="AZ203" i="3" s="1"/>
  <c r="BA204" i="3"/>
  <c r="AZ204" i="3" s="1"/>
  <c r="BA18" i="3"/>
  <c r="G21" i="3"/>
  <c r="BL21" i="3"/>
  <c r="G29" i="3"/>
  <c r="BL29" i="3"/>
  <c r="BA37" i="3"/>
  <c r="G39" i="3"/>
  <c r="BL39" i="3"/>
  <c r="AZ39" i="3" s="1"/>
  <c r="BA45" i="3"/>
  <c r="AZ45" i="3" s="1"/>
  <c r="BA46" i="3"/>
  <c r="BL49" i="3"/>
  <c r="BL50" i="3"/>
  <c r="AZ50" i="3" s="1"/>
  <c r="BL51" i="3"/>
  <c r="BL64" i="3"/>
  <c r="G65" i="3"/>
  <c r="BL65" i="3"/>
  <c r="AZ65" i="3" s="1"/>
  <c r="BL66" i="3"/>
  <c r="BL67" i="3"/>
  <c r="AZ67" i="3" s="1"/>
  <c r="G69" i="3"/>
  <c r="AZ70" i="3"/>
  <c r="BL82" i="3"/>
  <c r="T28" i="71"/>
  <c r="D28" i="71"/>
  <c r="U28" i="71" s="1"/>
  <c r="C27" i="71"/>
  <c r="F66" i="71"/>
  <c r="Q67" i="71"/>
  <c r="V24" i="71"/>
  <c r="E23" i="71"/>
  <c r="E22" i="71" s="1"/>
  <c r="E21" i="71" s="1"/>
  <c r="E20" i="71" s="1"/>
  <c r="BL60" i="3"/>
  <c r="BA61" i="3"/>
  <c r="BA68" i="3"/>
  <c r="BA73" i="3"/>
  <c r="BA80" i="3"/>
  <c r="BL84" i="3"/>
  <c r="BA89" i="3"/>
  <c r="G103" i="3"/>
  <c r="BA103" i="3"/>
  <c r="AZ103" i="3" s="1"/>
  <c r="BA104" i="3"/>
  <c r="BA106" i="3"/>
  <c r="BL108" i="3"/>
  <c r="AZ108" i="3" s="1"/>
  <c r="BL111" i="3"/>
  <c r="U21" i="37"/>
  <c r="P66" i="71"/>
  <c r="AA27" i="71"/>
  <c r="AB26" i="71"/>
  <c r="S28" i="71"/>
  <c r="C79" i="71"/>
  <c r="C75" i="71"/>
  <c r="C71" i="71"/>
  <c r="O68" i="71"/>
  <c r="D46" i="71"/>
  <c r="C39" i="71"/>
  <c r="Y28" i="71"/>
  <c r="Z28" i="71" s="1"/>
  <c r="X35" i="71"/>
  <c r="Y30" i="71"/>
  <c r="Z30" i="71" s="1"/>
  <c r="X28" i="71"/>
  <c r="X32" i="71"/>
  <c r="F38" i="71"/>
  <c r="F39" i="71" s="1"/>
  <c r="F40" i="71" s="1"/>
  <c r="V40" i="71" s="1"/>
  <c r="AB38" i="71"/>
  <c r="F75" i="71"/>
  <c r="F74" i="71" s="1"/>
  <c r="B79" i="71"/>
  <c r="B78" i="71" s="1"/>
  <c r="G53" i="3"/>
  <c r="BL53" i="3"/>
  <c r="AZ53" i="3" s="1"/>
  <c r="BA56" i="3"/>
  <c r="BA57" i="3"/>
  <c r="AZ57" i="3" s="1"/>
  <c r="BL58" i="3"/>
  <c r="G60" i="3"/>
  <c r="BA60" i="3"/>
  <c r="AZ60" i="3" s="1"/>
  <c r="BA63" i="3"/>
  <c r="AZ63" i="3" s="1"/>
  <c r="BA66" i="3"/>
  <c r="BA71" i="3"/>
  <c r="G76" i="3"/>
  <c r="BL77" i="3"/>
  <c r="AZ77" i="3" s="1"/>
  <c r="BA79" i="3"/>
  <c r="AZ79" i="3" s="1"/>
  <c r="G82" i="3"/>
  <c r="G83" i="3"/>
  <c r="BA84" i="3"/>
  <c r="AZ84" i="3" s="1"/>
  <c r="BL88" i="3"/>
  <c r="AZ88" i="3" s="1"/>
  <c r="G90" i="3"/>
  <c r="BL90" i="3"/>
  <c r="BL92" i="3"/>
  <c r="AZ92" i="3" s="1"/>
  <c r="G101" i="3"/>
  <c r="BA101" i="3"/>
  <c r="AZ101" i="3" s="1"/>
  <c r="G108" i="3"/>
  <c r="G109" i="3"/>
  <c r="BL112" i="3"/>
  <c r="AB21" i="33"/>
  <c r="B88" i="43"/>
  <c r="D76" i="71"/>
  <c r="T68" i="71"/>
  <c r="X34" i="71"/>
  <c r="X31" i="71"/>
  <c r="F35" i="71"/>
  <c r="F36" i="71" s="1"/>
  <c r="V36" i="71" s="1"/>
  <c r="AA34" i="71"/>
  <c r="AB35" i="71"/>
  <c r="G75" i="3"/>
  <c r="BL75" i="3"/>
  <c r="AZ75" i="3" s="1"/>
  <c r="G79" i="3"/>
  <c r="BL81" i="3"/>
  <c r="BA82" i="3"/>
  <c r="AZ82" i="3" s="1"/>
  <c r="BL83" i="3"/>
  <c r="G86" i="3"/>
  <c r="G87" i="3"/>
  <c r="BA90" i="3"/>
  <c r="BL94" i="3"/>
  <c r="AZ94" i="3" s="1"/>
  <c r="BA100" i="3"/>
  <c r="AZ100" i="3" s="1"/>
  <c r="BA102" i="3"/>
  <c r="AZ102" i="3" s="1"/>
  <c r="BL105" i="3"/>
  <c r="AZ105" i="3" s="1"/>
  <c r="G107" i="3"/>
  <c r="BL107" i="3"/>
  <c r="BA111" i="3"/>
  <c r="C40" i="69"/>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E19" i="71"/>
  <c r="E18" i="71" s="1"/>
  <c r="E17" i="71" s="1"/>
  <c r="E16" i="71" s="1"/>
  <c r="V20" i="71"/>
  <c r="AB17" i="33"/>
  <c r="S29" i="21"/>
  <c r="AB44" i="34"/>
  <c r="S39" i="34"/>
  <c r="AZ382" i="3"/>
  <c r="AZ321" i="3"/>
  <c r="AZ343" i="3"/>
  <c r="AZ517" i="3"/>
  <c r="AZ562" i="3"/>
  <c r="AZ578" i="3"/>
  <c r="AC13" i="36"/>
  <c r="W13" i="36"/>
  <c r="AB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52" i="3"/>
  <c r="AZ456" i="3"/>
  <c r="AZ467" i="3"/>
  <c r="AZ470"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9" i="3"/>
  <c r="AZ212" i="3"/>
  <c r="AZ220" i="3"/>
  <c r="AZ231"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BA264" i="3"/>
  <c r="AZ264" i="3" s="1"/>
  <c r="BA266" i="3"/>
  <c r="AZ266" i="3" s="1"/>
  <c r="G272" i="3"/>
  <c r="G275" i="3"/>
  <c r="BL276" i="3"/>
  <c r="AZ276" i="3" s="1"/>
  <c r="BL279" i="3"/>
  <c r="AZ279" i="3" s="1"/>
  <c r="BL281" i="3"/>
  <c r="AZ281" i="3" s="1"/>
  <c r="BA285" i="3"/>
  <c r="AZ285" i="3" s="1"/>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48" i="3"/>
  <c r="AZ68" i="3"/>
  <c r="AZ73" i="3"/>
  <c r="AZ106" i="3"/>
  <c r="G200" i="3"/>
  <c r="G207" i="3"/>
  <c r="BA23" i="3"/>
  <c r="AZ23" i="3" s="1"/>
  <c r="BA24" i="3"/>
  <c r="AZ24" i="3" s="1"/>
  <c r="BL26" i="3"/>
  <c r="AZ26" i="3" s="1"/>
  <c r="BL32" i="3"/>
  <c r="BA34" i="3"/>
  <c r="AZ34" i="3" s="1"/>
  <c r="BA35" i="3"/>
  <c r="AZ35" i="3" s="1"/>
  <c r="BL37" i="3"/>
  <c r="AZ37" i="3" s="1"/>
  <c r="BL42" i="3"/>
  <c r="AZ42" i="3" s="1"/>
  <c r="BA44" i="3"/>
  <c r="AZ44" i="3" s="1"/>
  <c r="AZ46" i="3"/>
  <c r="AZ56" i="3"/>
  <c r="BA206" i="3"/>
  <c r="AZ206" i="3" s="1"/>
  <c r="BL22" i="3"/>
  <c r="AZ22" i="3" s="1"/>
  <c r="BL33" i="3"/>
  <c r="AZ33" i="3" s="1"/>
  <c r="BL43" i="3"/>
  <c r="AZ43" i="3" s="1"/>
  <c r="BL46" i="3"/>
  <c r="AZ54" i="3"/>
  <c r="AZ90"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G67" i="43" s="1"/>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P61" i="15"/>
  <c r="C94" i="9"/>
  <c r="C92" i="9"/>
  <c r="C31" i="12"/>
  <c r="C48" i="68"/>
  <c r="C30" i="68"/>
  <c r="C77" i="9"/>
  <c r="C74" i="9" s="1"/>
  <c r="C30" i="11"/>
  <c r="C21" i="69"/>
  <c r="J84" i="43"/>
  <c r="J85" i="43"/>
  <c r="J86" i="43"/>
  <c r="J87" i="43"/>
  <c r="J88" i="43"/>
  <c r="J89" i="43"/>
  <c r="J90" i="43"/>
  <c r="D83" i="43"/>
  <c r="E83" i="43" s="1"/>
  <c r="B81" i="43" s="1"/>
  <c r="D66" i="43"/>
  <c r="D64"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9"/>
  <c r="C36" i="69"/>
  <c r="D9" i="68"/>
  <c r="M28" i="15"/>
  <c r="D4" i="73"/>
  <c r="F13" i="15"/>
  <c r="M23" i="67"/>
  <c r="F26" i="15"/>
  <c r="D5" i="73"/>
  <c r="M26" i="67"/>
  <c r="F40" i="67"/>
  <c r="F36" i="15"/>
  <c r="F37" i="15"/>
  <c r="F42" i="15"/>
  <c r="F13" i="67"/>
  <c r="M23" i="15"/>
  <c r="C76" i="67"/>
  <c r="F42" i="67"/>
  <c r="M26" i="15"/>
  <c r="M22" i="15"/>
  <c r="J15" i="67"/>
  <c r="L47" i="15"/>
  <c r="M22" i="67"/>
  <c r="F16" i="15"/>
  <c r="F7" i="15"/>
  <c r="F37" i="67"/>
  <c r="M6" i="67"/>
  <c r="F9" i="15"/>
  <c r="F6" i="15"/>
  <c r="M6" i="15"/>
  <c r="J15" i="15"/>
  <c r="M24" i="15"/>
  <c r="F8" i="67"/>
  <c r="D7" i="73"/>
  <c r="L48" i="67"/>
  <c r="M29" i="67"/>
  <c r="F9" i="67"/>
  <c r="F43" i="15"/>
  <c r="C76" i="15"/>
  <c r="F38" i="15"/>
  <c r="F6" i="67"/>
  <c r="M29" i="15"/>
  <c r="M28" i="67"/>
  <c r="F26" i="67"/>
  <c r="F40" i="15"/>
  <c r="F43" i="67"/>
  <c r="M8" i="67"/>
  <c r="F38" i="67"/>
  <c r="L47" i="67"/>
  <c r="M8" i="15"/>
  <c r="M9" i="67"/>
  <c r="M24" i="67"/>
  <c r="F7" i="67"/>
  <c r="D3" i="73"/>
  <c r="F36" i="67"/>
  <c r="F16" i="67"/>
  <c r="F8" i="15"/>
  <c r="M9" i="15"/>
  <c r="L48" i="15"/>
  <c r="F68" i="15" l="1"/>
  <c r="F66" i="15"/>
  <c r="F65" i="15"/>
  <c r="F51" i="15"/>
  <c r="I54" i="15"/>
  <c r="J57" i="15"/>
  <c r="J55" i="15" s="1"/>
  <c r="J58" i="15" s="1"/>
  <c r="Q50" i="15" s="1"/>
  <c r="J53" i="15"/>
  <c r="L56" i="15" s="1"/>
  <c r="Q16" i="1"/>
  <c r="F27" i="69" s="1"/>
  <c r="F45" i="69" s="1"/>
  <c r="E13" i="6"/>
  <c r="F29" i="6"/>
  <c r="F30" i="6" s="1"/>
  <c r="F31" i="6" s="1"/>
  <c r="H16" i="1"/>
  <c r="E11" i="6"/>
  <c r="E60" i="39" s="1"/>
  <c r="G16" i="1"/>
  <c r="F10" i="39" s="1"/>
  <c r="S10" i="39" s="1"/>
  <c r="E14" i="6"/>
  <c r="E63" i="39" s="1"/>
  <c r="E28" i="6"/>
  <c r="K14" i="1" s="1"/>
  <c r="M14" i="1" s="1"/>
  <c r="E15" i="6"/>
  <c r="E64" i="39" s="1"/>
  <c r="E10" i="6"/>
  <c r="M7" i="15"/>
  <c r="J6" i="15" s="1"/>
  <c r="J18" i="15" s="1"/>
  <c r="F50" i="15"/>
  <c r="Q71" i="15"/>
  <c r="C27" i="15"/>
  <c r="F64" i="15"/>
  <c r="M66" i="43"/>
  <c r="N66" i="43" s="1"/>
  <c r="K66" i="43"/>
  <c r="J66" i="43" s="1"/>
  <c r="K63" i="43"/>
  <c r="J63" i="43" s="1"/>
  <c r="M63" i="43"/>
  <c r="N63" i="43" s="1"/>
  <c r="K65" i="43"/>
  <c r="J65" i="43" s="1"/>
  <c r="M65" i="43"/>
  <c r="N65" i="43" s="1"/>
  <c r="M62" i="43"/>
  <c r="K62" i="43"/>
  <c r="J62" i="43" s="1"/>
  <c r="C22" i="71"/>
  <c r="D23" i="71"/>
  <c r="AZ402" i="3"/>
  <c r="U44" i="39"/>
  <c r="AB44" i="39"/>
  <c r="AA33" i="36"/>
  <c r="S33" i="36"/>
  <c r="AA45" i="33"/>
  <c r="S45" i="33"/>
  <c r="AA28" i="37"/>
  <c r="S28" i="37"/>
  <c r="AA28" i="21"/>
  <c r="S28" i="21"/>
  <c r="AA14" i="37"/>
  <c r="S14" i="37"/>
  <c r="AZ51" i="3"/>
  <c r="AZ521" i="3"/>
  <c r="N65" i="71"/>
  <c r="N66" i="71"/>
  <c r="AZ233" i="3"/>
  <c r="AZ473" i="3"/>
  <c r="W32" i="34"/>
  <c r="AC32" i="34"/>
  <c r="U29" i="33"/>
  <c r="AB29" i="33"/>
  <c r="AA28" i="33"/>
  <c r="S28" i="33"/>
  <c r="AB31" i="39"/>
  <c r="U31" i="39"/>
  <c r="U14" i="33"/>
  <c r="AB14" i="33"/>
  <c r="AB28" i="21"/>
  <c r="U28" i="21"/>
  <c r="AC28" i="37"/>
  <c r="W28" i="37"/>
  <c r="AB36" i="39"/>
  <c r="U36" i="39"/>
  <c r="K67" i="43"/>
  <c r="J67" i="43" s="1"/>
  <c r="M67" i="43"/>
  <c r="N67" i="43" s="1"/>
  <c r="AZ104" i="3"/>
  <c r="AZ261" i="3"/>
  <c r="AZ396" i="3"/>
  <c r="AZ232" i="3"/>
  <c r="AZ111" i="3"/>
  <c r="AZ71" i="3"/>
  <c r="AZ274" i="3"/>
  <c r="AZ130" i="3"/>
  <c r="AZ282" i="3"/>
  <c r="AZ241" i="3"/>
  <c r="AZ210" i="3"/>
  <c r="AZ432" i="3"/>
  <c r="AZ453" i="3"/>
  <c r="AZ579" i="3"/>
  <c r="AZ499" i="3"/>
  <c r="AZ118" i="3"/>
  <c r="AZ275" i="3"/>
  <c r="AZ235" i="3"/>
  <c r="AZ247" i="3"/>
  <c r="AZ218" i="3"/>
  <c r="AZ249" i="3"/>
  <c r="AZ332" i="3"/>
  <c r="AB39" i="37"/>
  <c r="U39" i="37"/>
  <c r="AB32" i="40"/>
  <c r="U32" i="40"/>
  <c r="U12" i="35"/>
  <c r="AB12" i="35"/>
  <c r="S32" i="34"/>
  <c r="AA32" i="34"/>
  <c r="AA35" i="39"/>
  <c r="S35" i="39"/>
  <c r="U43" i="39"/>
  <c r="AB43" i="39"/>
  <c r="AA45" i="21"/>
  <c r="S45" i="21"/>
  <c r="U40" i="37"/>
  <c r="AB40" i="37"/>
  <c r="AZ554" i="3"/>
  <c r="U28" i="33"/>
  <c r="AB28" i="33"/>
  <c r="M68" i="43"/>
  <c r="N68" i="43" s="1"/>
  <c r="K68" i="43"/>
  <c r="J68" i="43" s="1"/>
  <c r="D68" i="43" s="1"/>
  <c r="K61" i="43"/>
  <c r="J61" i="43" s="1"/>
  <c r="M61" i="43"/>
  <c r="AZ137" i="3"/>
  <c r="AZ273" i="3"/>
  <c r="AZ461" i="3"/>
  <c r="D83" i="71"/>
  <c r="C82" i="71"/>
  <c r="D82" i="71" s="1"/>
  <c r="B19" i="71"/>
  <c r="B18" i="71" s="1"/>
  <c r="B17" i="71" s="1"/>
  <c r="B16" i="71" s="1"/>
  <c r="S20" i="71"/>
  <c r="AZ406" i="3"/>
  <c r="T60" i="71"/>
  <c r="D60" i="71"/>
  <c r="AC23" i="39"/>
  <c r="W23" i="39"/>
  <c r="AC32" i="40"/>
  <c r="W32" i="40"/>
  <c r="AA44" i="39"/>
  <c r="S44" i="39"/>
  <c r="W12" i="35"/>
  <c r="AC12" i="35"/>
  <c r="U45" i="33"/>
  <c r="AB45" i="33"/>
  <c r="W43" i="39"/>
  <c r="AC43" i="39"/>
  <c r="S47" i="34"/>
  <c r="AA47" i="34"/>
  <c r="W35" i="21"/>
  <c r="AC35" i="21"/>
  <c r="AB38" i="37"/>
  <c r="U38" i="37"/>
  <c r="W28" i="33"/>
  <c r="AC28" i="33"/>
  <c r="W42" i="21"/>
  <c r="AB42" i="21"/>
  <c r="AB21" i="39"/>
  <c r="U21" i="39"/>
  <c r="AC21" i="39"/>
  <c r="S17" i="39"/>
  <c r="S12" i="39"/>
  <c r="AA12" i="39"/>
  <c r="N94" i="46"/>
  <c r="N370" i="46"/>
  <c r="F26" i="43"/>
  <c r="C30" i="69"/>
  <c r="C48" i="69"/>
  <c r="G26" i="43"/>
  <c r="E26" i="43"/>
  <c r="H26" i="43"/>
  <c r="P6" i="1"/>
  <c r="C13" i="12" s="1"/>
  <c r="F71" i="67"/>
  <c r="F68" i="67"/>
  <c r="F66" i="67"/>
  <c r="F51" i="67"/>
  <c r="AZ28" i="3"/>
  <c r="AZ21" i="3"/>
  <c r="AZ25" i="3"/>
  <c r="G30" i="6"/>
  <c r="G31" i="6" s="1"/>
  <c r="E29" i="6"/>
  <c r="K15" i="1" s="1"/>
  <c r="AZ16" i="3"/>
  <c r="AZ29" i="3"/>
  <c r="E59" i="40"/>
  <c r="AZ32" i="3"/>
  <c r="N59" i="15"/>
  <c r="L58" i="15"/>
  <c r="Q73" i="15" s="1"/>
  <c r="M59" i="15"/>
  <c r="L59" i="15"/>
  <c r="Q74" i="15" s="1"/>
  <c r="F65" i="67"/>
  <c r="F31" i="67"/>
  <c r="C6" i="67"/>
  <c r="C32" i="67" s="1"/>
  <c r="F50" i="67"/>
  <c r="M7" i="67"/>
  <c r="J6" i="67" s="1"/>
  <c r="J18" i="67" s="1"/>
  <c r="C27" i="67"/>
  <c r="M59" i="67"/>
  <c r="L58" i="67"/>
  <c r="Q60" i="67" s="1"/>
  <c r="N59" i="67"/>
  <c r="L59" i="67"/>
  <c r="Q61" i="67" s="1"/>
  <c r="C6" i="15"/>
  <c r="C32" i="15" s="1"/>
  <c r="F31" i="15"/>
  <c r="F64" i="67"/>
  <c r="I54" i="67"/>
  <c r="J53" i="67"/>
  <c r="F1" i="67" s="1"/>
  <c r="J57" i="67"/>
  <c r="J55" i="67" s="1"/>
  <c r="J58" i="67" s="1"/>
  <c r="Q50" i="67" s="1"/>
  <c r="L56" i="67"/>
  <c r="F71" i="15"/>
  <c r="Q71" i="67"/>
  <c r="AZ66" i="3"/>
  <c r="AZ61" i="3"/>
  <c r="AZ190" i="3"/>
  <c r="T32" i="71"/>
  <c r="D32" i="71"/>
  <c r="AZ58" i="3"/>
  <c r="AZ49" i="3"/>
  <c r="AZ64" i="3"/>
  <c r="AZ27" i="3"/>
  <c r="O65" i="71"/>
  <c r="D66" i="71"/>
  <c r="O66" i="71"/>
  <c r="C36" i="71"/>
  <c r="D35" i="71"/>
  <c r="AZ459" i="3"/>
  <c r="AZ427" i="3"/>
  <c r="AZ121" i="3"/>
  <c r="AZ464" i="3"/>
  <c r="AB23" i="36"/>
  <c r="U23" i="36"/>
  <c r="S31" i="33"/>
  <c r="AA31" i="33"/>
  <c r="AC30" i="21"/>
  <c r="W30" i="21"/>
  <c r="W14" i="21"/>
  <c r="AC14" i="21"/>
  <c r="AB25" i="36"/>
  <c r="U25" i="36"/>
  <c r="AB12" i="34"/>
  <c r="U12" i="34"/>
  <c r="W26" i="33"/>
  <c r="AC26" i="33"/>
  <c r="AZ510" i="3"/>
  <c r="AZ544" i="3"/>
  <c r="AB39" i="40"/>
  <c r="U39" i="40"/>
  <c r="U23" i="35"/>
  <c r="AB23" i="35"/>
  <c r="AZ587" i="3"/>
  <c r="J7" i="36"/>
  <c r="C70" i="71"/>
  <c r="D70" i="71" s="1"/>
  <c r="D71" i="71"/>
  <c r="AZ154" i="3"/>
  <c r="AZ294" i="3"/>
  <c r="AZ483" i="3"/>
  <c r="AZ457" i="3"/>
  <c r="AZ412" i="3"/>
  <c r="AZ491" i="3"/>
  <c r="AZ441" i="3"/>
  <c r="AZ422" i="3"/>
  <c r="AZ550" i="3"/>
  <c r="AZ584" i="3"/>
  <c r="U14" i="40"/>
  <c r="AB14" i="40"/>
  <c r="AC25" i="37"/>
  <c r="W25" i="37"/>
  <c r="S30" i="21"/>
  <c r="AA30" i="21"/>
  <c r="U14" i="21"/>
  <c r="AB14" i="21"/>
  <c r="S25" i="36"/>
  <c r="AA25" i="36"/>
  <c r="AC9" i="34"/>
  <c r="W9" i="34"/>
  <c r="AC39" i="40"/>
  <c r="W39" i="40"/>
  <c r="AC23" i="35"/>
  <c r="W23" i="35"/>
  <c r="J7" i="37"/>
  <c r="AC7" i="37" s="1"/>
  <c r="G5" i="3"/>
  <c r="B3" i="3" s="1"/>
  <c r="E536" i="3" s="1"/>
  <c r="C40" i="71"/>
  <c r="D39" i="71"/>
  <c r="D75" i="71"/>
  <c r="C74" i="71"/>
  <c r="D74" i="71" s="1"/>
  <c r="C26" i="71"/>
  <c r="D26" i="71" s="1"/>
  <c r="D27" i="71"/>
  <c r="AZ197" i="3"/>
  <c r="C52" i="71"/>
  <c r="D51" i="71"/>
  <c r="AZ19" i="3"/>
  <c r="AZ31" i="3"/>
  <c r="AZ471" i="3"/>
  <c r="AA14" i="40"/>
  <c r="S14" i="40"/>
  <c r="U45" i="39"/>
  <c r="AB45" i="39"/>
  <c r="U25" i="37"/>
  <c r="AB25" i="37"/>
  <c r="W46" i="34"/>
  <c r="AC46" i="34"/>
  <c r="AZ552" i="3"/>
  <c r="AZ561" i="3"/>
  <c r="AZ570" i="3"/>
  <c r="AB32" i="36"/>
  <c r="U32" i="36"/>
  <c r="S13" i="36"/>
  <c r="AA13" i="36"/>
  <c r="U26" i="33"/>
  <c r="AB26" i="33"/>
  <c r="AZ524" i="3"/>
  <c r="AZ527" i="3"/>
  <c r="AZ533" i="3"/>
  <c r="D79" i="71"/>
  <c r="C78" i="71"/>
  <c r="D78" i="71" s="1"/>
  <c r="AZ59" i="3"/>
  <c r="C56" i="71"/>
  <c r="D55" i="71"/>
  <c r="AC23" i="36"/>
  <c r="W23" i="36"/>
  <c r="AA46" i="34"/>
  <c r="S46" i="34"/>
  <c r="AB9" i="33"/>
  <c r="U9" i="33"/>
  <c r="AA32" i="36"/>
  <c r="S32" i="36"/>
  <c r="S26" i="33"/>
  <c r="AA26" i="33"/>
  <c r="AZ504" i="3"/>
  <c r="AZ530" i="3"/>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H7" i="36"/>
  <c r="U7" i="36" s="1"/>
  <c r="AA9" i="36"/>
  <c r="S9" i="36"/>
  <c r="AA34" i="35"/>
  <c r="S34" i="35"/>
  <c r="E15" i="71"/>
  <c r="E14" i="71" s="1"/>
  <c r="E13" i="71" s="1"/>
  <c r="E12" i="71" s="1"/>
  <c r="V16" i="71"/>
  <c r="S40" i="40"/>
  <c r="AA40" i="40"/>
  <c r="AC34" i="35"/>
  <c r="W34" i="35"/>
  <c r="B116" i="43"/>
  <c r="Z7" i="43"/>
  <c r="E56" i="39"/>
  <c r="H7" i="34"/>
  <c r="AB7" i="34" s="1"/>
  <c r="T49" i="34" s="1"/>
  <c r="G49" i="34" s="1"/>
  <c r="E67" i="39"/>
  <c r="J7" i="34"/>
  <c r="W7" i="34" s="1"/>
  <c r="F7" i="34"/>
  <c r="S7" i="34" s="1"/>
  <c r="AA26" i="35"/>
  <c r="S26" i="35"/>
  <c r="AC26" i="35"/>
  <c r="W26" i="35"/>
  <c r="AB26" i="35"/>
  <c r="U26" i="35"/>
  <c r="E61" i="39"/>
  <c r="E56" i="40"/>
  <c r="C9" i="69"/>
  <c r="C9" i="68"/>
  <c r="E72" i="43"/>
  <c r="B70" i="43" s="1"/>
  <c r="E60" i="40"/>
  <c r="E51" i="40"/>
  <c r="E16" i="6"/>
  <c r="E58" i="40"/>
  <c r="E62" i="39"/>
  <c r="D5" i="43"/>
  <c r="J10" i="40"/>
  <c r="AC10" i="40" s="1"/>
  <c r="H10" i="39"/>
  <c r="U10" i="39" s="1"/>
  <c r="C7" i="43"/>
  <c r="C5" i="43" s="1"/>
  <c r="D10" i="52"/>
  <c r="D125" i="9"/>
  <c r="D11" i="52" s="1"/>
  <c r="B7" i="74"/>
  <c r="C7" i="74" s="1"/>
  <c r="F67" i="39"/>
  <c r="E69" i="39"/>
  <c r="H7" i="37"/>
  <c r="AB7" i="37" s="1"/>
  <c r="T42" i="37" s="1"/>
  <c r="G42" i="37" s="1"/>
  <c r="H7" i="33"/>
  <c r="J7" i="33"/>
  <c r="D65" i="40"/>
  <c r="E63" i="40"/>
  <c r="F48" i="35"/>
  <c r="S7" i="36"/>
  <c r="AA7" i="36"/>
  <c r="R36" i="36" s="1"/>
  <c r="W7" i="37"/>
  <c r="AB7" i="36"/>
  <c r="T36" i="36" s="1"/>
  <c r="G36" i="36" s="1"/>
  <c r="F7" i="33"/>
  <c r="E58" i="21"/>
  <c r="AC7" i="36"/>
  <c r="V36" i="36" s="1"/>
  <c r="I36" i="36" s="1"/>
  <c r="W7" i="36"/>
  <c r="F7" i="37"/>
  <c r="F59" i="15"/>
  <c r="P28" i="43"/>
  <c r="B66" i="40" s="1"/>
  <c r="P25" i="43"/>
  <c r="P29" i="43"/>
  <c r="P27" i="43"/>
  <c r="B70" i="39" s="1"/>
  <c r="M11" i="67"/>
  <c r="J10" i="67" s="1"/>
  <c r="F11" i="15"/>
  <c r="M11" i="15"/>
  <c r="J10" i="15" s="1"/>
  <c r="F11" i="67"/>
  <c r="AE11" i="1"/>
  <c r="AE9" i="1"/>
  <c r="AE7" i="1"/>
  <c r="AE8" i="1"/>
  <c r="AE12" i="1"/>
  <c r="AE10" i="1"/>
  <c r="C16" i="67"/>
  <c r="C16" i="15"/>
  <c r="F41" i="67"/>
  <c r="G1" i="73"/>
  <c r="F1" i="15" l="1"/>
  <c r="Q52" i="15"/>
  <c r="C29" i="69"/>
  <c r="D27" i="69" s="1"/>
  <c r="C47" i="69"/>
  <c r="D45" i="69" s="1"/>
  <c r="F28" i="12"/>
  <c r="C29" i="12" s="1"/>
  <c r="D28" i="12" s="1"/>
  <c r="F27" i="11"/>
  <c r="C29" i="11" s="1"/>
  <c r="D27" i="11" s="1"/>
  <c r="C49" i="15"/>
  <c r="F27" i="68"/>
  <c r="F45" i="68" s="1"/>
  <c r="AB6" i="3"/>
  <c r="E483" i="3"/>
  <c r="E246" i="3"/>
  <c r="E526" i="3"/>
  <c r="E242" i="3"/>
  <c r="E148" i="3"/>
  <c r="AI6" i="3"/>
  <c r="E161" i="3"/>
  <c r="E278" i="3"/>
  <c r="M6" i="3"/>
  <c r="E579" i="3"/>
  <c r="E572" i="3"/>
  <c r="E28" i="3"/>
  <c r="AO6" i="3"/>
  <c r="E362" i="3"/>
  <c r="E468" i="3"/>
  <c r="E133" i="3"/>
  <c r="E301" i="3"/>
  <c r="E380" i="3"/>
  <c r="E530" i="3"/>
  <c r="E458" i="3"/>
  <c r="E14" i="3"/>
  <c r="E118" i="3"/>
  <c r="E240" i="3"/>
  <c r="E119" i="3"/>
  <c r="E135" i="3"/>
  <c r="E563" i="3"/>
  <c r="E247" i="3"/>
  <c r="E70" i="3"/>
  <c r="E485" i="3"/>
  <c r="E368" i="3"/>
  <c r="E106" i="3"/>
  <c r="E472" i="3"/>
  <c r="E399" i="3"/>
  <c r="E231" i="3"/>
  <c r="E388" i="3"/>
  <c r="E477" i="3"/>
  <c r="E17" i="3"/>
  <c r="E378" i="3"/>
  <c r="E131" i="3"/>
  <c r="E275" i="3"/>
  <c r="E100" i="3"/>
  <c r="E423" i="3"/>
  <c r="E535" i="3"/>
  <c r="E189" i="3"/>
  <c r="E570" i="3"/>
  <c r="AJ6" i="3"/>
  <c r="E377" i="3"/>
  <c r="E531" i="3"/>
  <c r="E204" i="3"/>
  <c r="E315" i="3"/>
  <c r="E577" i="3"/>
  <c r="E545" i="3"/>
  <c r="E91" i="3"/>
  <c r="AR6" i="3"/>
  <c r="E210" i="3"/>
  <c r="E45" i="3"/>
  <c r="E142" i="3"/>
  <c r="E248" i="3"/>
  <c r="E139" i="3"/>
  <c r="E369" i="3"/>
  <c r="E94" i="3"/>
  <c r="E219" i="3"/>
  <c r="E132" i="3"/>
  <c r="X6" i="3"/>
  <c r="E263" i="3"/>
  <c r="E172" i="3"/>
  <c r="E215" i="3"/>
  <c r="E201" i="3"/>
  <c r="E268" i="3"/>
  <c r="E273" i="3"/>
  <c r="E345" i="3"/>
  <c r="E89" i="3"/>
  <c r="E171" i="3"/>
  <c r="E406" i="3"/>
  <c r="E181" i="3"/>
  <c r="E183" i="3"/>
  <c r="E555" i="3"/>
  <c r="E27" i="3"/>
  <c r="E551" i="3"/>
  <c r="E335" i="3"/>
  <c r="E311" i="3"/>
  <c r="E509" i="3"/>
  <c r="E217" i="3"/>
  <c r="E182" i="3"/>
  <c r="E557" i="3"/>
  <c r="Z6" i="3"/>
  <c r="E74" i="3"/>
  <c r="E146" i="3"/>
  <c r="E587" i="3"/>
  <c r="E277" i="3"/>
  <c r="E124" i="3"/>
  <c r="E528" i="3"/>
  <c r="E270" i="3"/>
  <c r="E175" i="3"/>
  <c r="E414" i="3"/>
  <c r="E88" i="3"/>
  <c r="AA10" i="39"/>
  <c r="H10" i="40"/>
  <c r="AB10" i="40" s="1"/>
  <c r="M17" i="15"/>
  <c r="J10" i="39"/>
  <c r="W10" i="39" s="1"/>
  <c r="F10" i="40"/>
  <c r="S10" i="40" s="1"/>
  <c r="K16" i="1"/>
  <c r="J5" i="15"/>
  <c r="J24" i="15" s="1"/>
  <c r="E560" i="3"/>
  <c r="E228" i="3"/>
  <c r="E568" i="3"/>
  <c r="E586" i="3"/>
  <c r="E180" i="3"/>
  <c r="E261" i="3"/>
  <c r="E538" i="3"/>
  <c r="E143" i="3"/>
  <c r="E508" i="3"/>
  <c r="E44" i="3"/>
  <c r="E447" i="3"/>
  <c r="E269" i="3"/>
  <c r="E382" i="3"/>
  <c r="E443" i="3"/>
  <c r="E487" i="3"/>
  <c r="E296" i="3"/>
  <c r="E200" i="3"/>
  <c r="E385" i="3"/>
  <c r="E191" i="3"/>
  <c r="E445" i="3"/>
  <c r="E69" i="3"/>
  <c r="E387" i="3"/>
  <c r="E514" i="3"/>
  <c r="E431" i="3"/>
  <c r="E322" i="3"/>
  <c r="E109" i="3"/>
  <c r="E211" i="3"/>
  <c r="E489" i="3"/>
  <c r="E400" i="3"/>
  <c r="E327" i="3"/>
  <c r="E227" i="3"/>
  <c r="E214" i="3"/>
  <c r="E454" i="3"/>
  <c r="E465" i="3"/>
  <c r="K6" i="3"/>
  <c r="AK6" i="3"/>
  <c r="E347" i="3"/>
  <c r="E350" i="3"/>
  <c r="E503" i="3"/>
  <c r="E216" i="3"/>
  <c r="E561" i="3"/>
  <c r="E337" i="3"/>
  <c r="E343" i="3"/>
  <c r="E331" i="3"/>
  <c r="E476" i="3"/>
  <c r="E111" i="3"/>
  <c r="E117" i="3"/>
  <c r="E55" i="3"/>
  <c r="E77" i="3"/>
  <c r="E495" i="3"/>
  <c r="E134" i="3"/>
  <c r="E361" i="3"/>
  <c r="E185" i="3"/>
  <c r="E439" i="3"/>
  <c r="E533" i="3"/>
  <c r="E410" i="3"/>
  <c r="E305" i="3"/>
  <c r="E441" i="3"/>
  <c r="E186" i="3"/>
  <c r="E505" i="3"/>
  <c r="E318" i="3"/>
  <c r="E85" i="3"/>
  <c r="E396" i="3"/>
  <c r="E481" i="3"/>
  <c r="N62" i="43"/>
  <c r="D62" i="43"/>
  <c r="C21" i="71"/>
  <c r="D22" i="71"/>
  <c r="N61" i="43"/>
  <c r="D61" i="43"/>
  <c r="E61" i="43" s="1"/>
  <c r="B59" i="43" s="1"/>
  <c r="C28" i="43" s="1"/>
  <c r="M17" i="67"/>
  <c r="D26" i="43"/>
  <c r="C25" i="43" s="1"/>
  <c r="C33" i="43" s="1"/>
  <c r="Q74" i="67"/>
  <c r="Q60" i="15"/>
  <c r="J5" i="67"/>
  <c r="J24" i="67" s="1"/>
  <c r="E30" i="6"/>
  <c r="F59" i="67"/>
  <c r="Q52" i="67"/>
  <c r="C49" i="67"/>
  <c r="E338" i="3"/>
  <c r="E90" i="3"/>
  <c r="E415" i="3"/>
  <c r="E282" i="3"/>
  <c r="E164" i="3"/>
  <c r="E434" i="3"/>
  <c r="E328" i="3"/>
  <c r="E384" i="3"/>
  <c r="E162" i="3"/>
  <c r="AS6" i="3"/>
  <c r="E515" i="3"/>
  <c r="E571" i="3"/>
  <c r="E336" i="3"/>
  <c r="E294" i="3"/>
  <c r="E30" i="3"/>
  <c r="E394" i="3"/>
  <c r="AN6" i="3"/>
  <c r="E272" i="3"/>
  <c r="E585" i="3"/>
  <c r="E549" i="3"/>
  <c r="E351" i="3"/>
  <c r="E72" i="3"/>
  <c r="E562" i="3"/>
  <c r="E573" i="3"/>
  <c r="E99" i="3"/>
  <c r="E453" i="3"/>
  <c r="E293" i="3"/>
  <c r="E245" i="3"/>
  <c r="E550" i="3"/>
  <c r="E114" i="3"/>
  <c r="E320" i="3"/>
  <c r="E559" i="3"/>
  <c r="E569" i="3"/>
  <c r="E553" i="3"/>
  <c r="E316" i="3"/>
  <c r="E404" i="3"/>
  <c r="P6" i="3"/>
  <c r="E236" i="3"/>
  <c r="E274" i="3"/>
  <c r="E496" i="3"/>
  <c r="Q6" i="3"/>
  <c r="E238" i="3"/>
  <c r="E303" i="3"/>
  <c r="E304" i="3"/>
  <c r="E418" i="3"/>
  <c r="E426" i="3"/>
  <c r="E92" i="3"/>
  <c r="E168" i="3"/>
  <c r="E16" i="3"/>
  <c r="AZ5" i="3"/>
  <c r="AY6" i="3" s="1"/>
  <c r="E107" i="3"/>
  <c r="E567" i="3"/>
  <c r="E279" i="3"/>
  <c r="E433" i="3"/>
  <c r="E457" i="3"/>
  <c r="E519" i="3"/>
  <c r="E511" i="3"/>
  <c r="E253" i="3"/>
  <c r="E518" i="3"/>
  <c r="E61" i="3"/>
  <c r="E260" i="3"/>
  <c r="E130" i="3"/>
  <c r="E407" i="3"/>
  <c r="E358" i="3"/>
  <c r="E516" i="3"/>
  <c r="E125" i="3"/>
  <c r="E295" i="3"/>
  <c r="E444" i="3"/>
  <c r="AG6" i="3"/>
  <c r="I6" i="3"/>
  <c r="E256" i="3"/>
  <c r="AE6" i="3"/>
  <c r="E177" i="3"/>
  <c r="E156" i="3"/>
  <c r="E254" i="3"/>
  <c r="E237" i="3"/>
  <c r="E390" i="3"/>
  <c r="E53" i="3"/>
  <c r="E432" i="3"/>
  <c r="E532" i="3"/>
  <c r="E478" i="3"/>
  <c r="E271" i="3"/>
  <c r="E31" i="3"/>
  <c r="E150" i="3"/>
  <c r="E450" i="3"/>
  <c r="E527" i="3"/>
  <c r="E193" i="3"/>
  <c r="E314" i="3"/>
  <c r="E583" i="3"/>
  <c r="E578" i="3"/>
  <c r="E290" i="3"/>
  <c r="E395" i="3"/>
  <c r="E230" i="3"/>
  <c r="V6" i="3"/>
  <c r="E151" i="3"/>
  <c r="N6" i="3"/>
  <c r="E480" i="3"/>
  <c r="E166" i="3"/>
  <c r="E558" i="3"/>
  <c r="E576" i="3"/>
  <c r="E32" i="3"/>
  <c r="E73" i="3"/>
  <c r="E344" i="3"/>
  <c r="E120" i="3"/>
  <c r="E353" i="3"/>
  <c r="E302" i="3"/>
  <c r="E169" i="3"/>
  <c r="E285" i="3"/>
  <c r="E29" i="3"/>
  <c r="E548" i="3"/>
  <c r="E98" i="3"/>
  <c r="E523" i="3"/>
  <c r="E359" i="3"/>
  <c r="E153" i="3"/>
  <c r="E317" i="3"/>
  <c r="E546" i="3"/>
  <c r="E411" i="3"/>
  <c r="E537" i="3"/>
  <c r="E488" i="3"/>
  <c r="E229" i="3"/>
  <c r="E239" i="3"/>
  <c r="E366" i="3"/>
  <c r="E334" i="3"/>
  <c r="E121" i="3"/>
  <c r="E581" i="3"/>
  <c r="E448" i="3"/>
  <c r="E252" i="3"/>
  <c r="E580" i="3"/>
  <c r="E203" i="3"/>
  <c r="E429" i="3"/>
  <c r="E437" i="3"/>
  <c r="E262" i="3"/>
  <c r="E280" i="3"/>
  <c r="E159" i="3"/>
  <c r="E213" i="3"/>
  <c r="E321" i="3"/>
  <c r="S6" i="3"/>
  <c r="E574" i="3"/>
  <c r="E319" i="3"/>
  <c r="E291" i="3"/>
  <c r="E403" i="3"/>
  <c r="E397" i="3"/>
  <c r="E474" i="3"/>
  <c r="E259" i="3"/>
  <c r="E424" i="3"/>
  <c r="E330" i="3"/>
  <c r="E128" i="3"/>
  <c r="AA6" i="3"/>
  <c r="E402" i="3"/>
  <c r="E221" i="3"/>
  <c r="E565" i="3"/>
  <c r="E298" i="3"/>
  <c r="E506" i="3"/>
  <c r="E97" i="3"/>
  <c r="O6" i="3"/>
  <c r="E501" i="3"/>
  <c r="AM6" i="3"/>
  <c r="E126" i="3"/>
  <c r="E547" i="3"/>
  <c r="E207" i="3"/>
  <c r="E475" i="3"/>
  <c r="E306" i="3"/>
  <c r="E375" i="3"/>
  <c r="E167" i="3"/>
  <c r="E373" i="3"/>
  <c r="E364" i="3"/>
  <c r="E381" i="3"/>
  <c r="E170" i="3"/>
  <c r="E71" i="3"/>
  <c r="E367" i="3"/>
  <c r="E379" i="3"/>
  <c r="E257" i="3"/>
  <c r="E288" i="3"/>
  <c r="E122" i="3"/>
  <c r="Y6" i="3"/>
  <c r="E520" i="3"/>
  <c r="E178" i="3"/>
  <c r="E145" i="3"/>
  <c r="E93" i="3"/>
  <c r="E208" i="3"/>
  <c r="E471" i="3"/>
  <c r="E438" i="3"/>
  <c r="E313" i="3"/>
  <c r="E352" i="3"/>
  <c r="E82" i="3"/>
  <c r="E504" i="3"/>
  <c r="E154" i="3"/>
  <c r="E459" i="3"/>
  <c r="E66" i="3"/>
  <c r="E39" i="3"/>
  <c r="E341" i="3"/>
  <c r="E464" i="3"/>
  <c r="E312" i="3"/>
  <c r="E552" i="3"/>
  <c r="E123" i="3"/>
  <c r="E15" i="3"/>
  <c r="E463" i="3"/>
  <c r="E428" i="3"/>
  <c r="AP6" i="3"/>
  <c r="E224" i="3"/>
  <c r="E136" i="3"/>
  <c r="E127" i="3"/>
  <c r="E187" i="3"/>
  <c r="E87" i="3"/>
  <c r="AD6" i="3"/>
  <c r="E163" i="3"/>
  <c r="E374" i="3"/>
  <c r="E584" i="3"/>
  <c r="E284" i="3"/>
  <c r="E250" i="3"/>
  <c r="E524" i="3"/>
  <c r="AQ6" i="3"/>
  <c r="E60" i="3"/>
  <c r="J6" i="3"/>
  <c r="E408" i="3"/>
  <c r="U6" i="3"/>
  <c r="E196" i="3"/>
  <c r="E357" i="3"/>
  <c r="E54" i="3"/>
  <c r="W6" i="3"/>
  <c r="E529" i="3"/>
  <c r="E157" i="3"/>
  <c r="E461" i="3"/>
  <c r="E307" i="3"/>
  <c r="E413" i="3"/>
  <c r="E195" i="3"/>
  <c r="E179" i="3"/>
  <c r="E462" i="3"/>
  <c r="E542" i="3"/>
  <c r="E266" i="3"/>
  <c r="E138" i="3"/>
  <c r="E521" i="3"/>
  <c r="E176" i="3"/>
  <c r="E299" i="3"/>
  <c r="E346" i="3"/>
  <c r="E422" i="3"/>
  <c r="AF6" i="3"/>
  <c r="E297" i="3"/>
  <c r="E149" i="3"/>
  <c r="E48" i="3"/>
  <c r="E446" i="3"/>
  <c r="E500" i="3"/>
  <c r="E244" i="3"/>
  <c r="E24" i="3"/>
  <c r="E58" i="3"/>
  <c r="E460" i="3"/>
  <c r="E141" i="3"/>
  <c r="E365" i="3"/>
  <c r="E62" i="3"/>
  <c r="E340" i="3"/>
  <c r="E112" i="3"/>
  <c r="E392" i="3"/>
  <c r="E234" i="3"/>
  <c r="E38" i="3"/>
  <c r="E473" i="3"/>
  <c r="L6" i="3"/>
  <c r="E276" i="3"/>
  <c r="E108" i="3"/>
  <c r="E401" i="3"/>
  <c r="AH6" i="3"/>
  <c r="E486" i="3"/>
  <c r="E158" i="3"/>
  <c r="E115" i="3"/>
  <c r="E405" i="3"/>
  <c r="E522" i="3"/>
  <c r="E371" i="3"/>
  <c r="E499" i="3"/>
  <c r="E436" i="3"/>
  <c r="E323" i="3"/>
  <c r="E354" i="3"/>
  <c r="E110" i="3"/>
  <c r="E416" i="3"/>
  <c r="E222" i="3"/>
  <c r="E386" i="3"/>
  <c r="E348" i="3"/>
  <c r="E566" i="3"/>
  <c r="E165" i="3"/>
  <c r="E265" i="3"/>
  <c r="E20" i="3"/>
  <c r="E289" i="3"/>
  <c r="E36" i="3"/>
  <c r="E325" i="3"/>
  <c r="E194" i="3"/>
  <c r="E79" i="3"/>
  <c r="E540" i="3"/>
  <c r="E372" i="3"/>
  <c r="E226" i="3"/>
  <c r="E25" i="3"/>
  <c r="E419" i="3"/>
  <c r="E376" i="3"/>
  <c r="E543" i="3"/>
  <c r="E49" i="3"/>
  <c r="E420" i="3"/>
  <c r="E173" i="3"/>
  <c r="E18" i="3"/>
  <c r="E484" i="3"/>
  <c r="E47" i="3"/>
  <c r="E582" i="3"/>
  <c r="E19" i="3"/>
  <c r="E209" i="3"/>
  <c r="E57" i="3"/>
  <c r="E421" i="3"/>
  <c r="E51" i="3"/>
  <c r="E65" i="3"/>
  <c r="E155" i="3"/>
  <c r="E398" i="3"/>
  <c r="E101" i="3"/>
  <c r="E218" i="3"/>
  <c r="E50" i="3"/>
  <c r="E147" i="3"/>
  <c r="E52" i="3"/>
  <c r="E339" i="3"/>
  <c r="E137" i="3"/>
  <c r="E455" i="3"/>
  <c r="E43" i="3"/>
  <c r="E333" i="3"/>
  <c r="E202" i="3"/>
  <c r="E40" i="3"/>
  <c r="E498" i="3"/>
  <c r="E490" i="3"/>
  <c r="E105" i="3"/>
  <c r="E220" i="3"/>
  <c r="E497" i="3"/>
  <c r="E22" i="3"/>
  <c r="E281" i="3"/>
  <c r="E192" i="3"/>
  <c r="E507" i="3"/>
  <c r="E564" i="3"/>
  <c r="E116" i="3"/>
  <c r="E329" i="3"/>
  <c r="E80" i="3"/>
  <c r="E35" i="3"/>
  <c r="E190" i="3"/>
  <c r="E356" i="3"/>
  <c r="E41" i="3"/>
  <c r="E470" i="3"/>
  <c r="E556" i="3"/>
  <c r="E512" i="3"/>
  <c r="T6" i="3"/>
  <c r="E197" i="3"/>
  <c r="E308" i="3"/>
  <c r="E251" i="3"/>
  <c r="E235" i="3"/>
  <c r="E482" i="3"/>
  <c r="E513" i="3"/>
  <c r="E144" i="3"/>
  <c r="E160" i="3"/>
  <c r="E544" i="3"/>
  <c r="E56" i="3"/>
  <c r="E430" i="3"/>
  <c r="E539" i="3"/>
  <c r="E493" i="3"/>
  <c r="E223" i="3"/>
  <c r="E83" i="3"/>
  <c r="E370" i="3"/>
  <c r="E342" i="3"/>
  <c r="E78" i="3"/>
  <c r="E243" i="3"/>
  <c r="E104" i="3"/>
  <c r="E452" i="3"/>
  <c r="E360" i="3"/>
  <c r="E469" i="3"/>
  <c r="E534" i="3"/>
  <c r="E140" i="3"/>
  <c r="E287" i="3"/>
  <c r="E34" i="3"/>
  <c r="E174" i="3"/>
  <c r="E75" i="3"/>
  <c r="E283" i="3"/>
  <c r="E33" i="3"/>
  <c r="E103" i="3"/>
  <c r="E349" i="3"/>
  <c r="E479" i="3"/>
  <c r="E541" i="3"/>
  <c r="E440" i="3"/>
  <c r="E427" i="3"/>
  <c r="E393" i="3"/>
  <c r="E188" i="3"/>
  <c r="E326" i="3"/>
  <c r="E232" i="3"/>
  <c r="E324" i="3"/>
  <c r="E412" i="3"/>
  <c r="E225" i="3"/>
  <c r="E26" i="3"/>
  <c r="E13" i="3"/>
  <c r="E451" i="3"/>
  <c r="E456" i="3"/>
  <c r="E525" i="3"/>
  <c r="E205" i="3"/>
  <c r="E102" i="3"/>
  <c r="E86" i="3"/>
  <c r="E129" i="3"/>
  <c r="E332" i="3"/>
  <c r="E68" i="3"/>
  <c r="E492" i="3"/>
  <c r="E425" i="3"/>
  <c r="E258" i="3"/>
  <c r="E517" i="3"/>
  <c r="R6" i="3"/>
  <c r="E113" i="3"/>
  <c r="E206" i="3"/>
  <c r="E383" i="3"/>
  <c r="E96" i="3"/>
  <c r="E42" i="3"/>
  <c r="E494" i="3"/>
  <c r="E264" i="3"/>
  <c r="E355" i="3"/>
  <c r="E84" i="3"/>
  <c r="E300" i="3"/>
  <c r="E46" i="3"/>
  <c r="E59" i="3"/>
  <c r="E363" i="3"/>
  <c r="E152" i="3"/>
  <c r="E491" i="3"/>
  <c r="I3" i="6"/>
  <c r="E466" i="3"/>
  <c r="E286" i="3"/>
  <c r="E510" i="3"/>
  <c r="E391" i="3"/>
  <c r="E21" i="3"/>
  <c r="E81" i="3"/>
  <c r="E184" i="3"/>
  <c r="E23" i="3"/>
  <c r="E249" i="3"/>
  <c r="E467" i="3"/>
  <c r="E76" i="3"/>
  <c r="E292" i="3"/>
  <c r="E37" i="3"/>
  <c r="E435" i="3"/>
  <c r="E255" i="3"/>
  <c r="E502" i="3"/>
  <c r="E199" i="3"/>
  <c r="E212" i="3"/>
  <c r="Q73" i="67"/>
  <c r="Q61" i="15"/>
  <c r="AL6" i="3"/>
  <c r="E198" i="3"/>
  <c r="E309" i="3"/>
  <c r="E63" i="3"/>
  <c r="E233" i="3"/>
  <c r="E67" i="3"/>
  <c r="E310" i="3"/>
  <c r="E267" i="3"/>
  <c r="E64" i="3"/>
  <c r="E409" i="3"/>
  <c r="E389" i="3"/>
  <c r="E241" i="3"/>
  <c r="E95" i="3"/>
  <c r="E417" i="3"/>
  <c r="E554" i="3"/>
  <c r="E449" i="3"/>
  <c r="E442" i="3"/>
  <c r="E575" i="3"/>
  <c r="T40" i="71"/>
  <c r="D40" i="71"/>
  <c r="D56" i="71"/>
  <c r="T56" i="71"/>
  <c r="T52" i="71"/>
  <c r="D52" i="71"/>
  <c r="D36" i="71"/>
  <c r="T36" i="71"/>
  <c r="B40" i="1"/>
  <c r="L36" i="43" s="1"/>
  <c r="L37" i="43" s="1"/>
  <c r="V42" i="37"/>
  <c r="I42" i="37"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AB10" i="39"/>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15"/>
  <c r="AE6" i="1"/>
  <c r="F41" i="15" s="1"/>
  <c r="M27" i="67"/>
  <c r="C29" i="68" l="1"/>
  <c r="D27" i="68" s="1"/>
  <c r="C47" i="68"/>
  <c r="D45" i="68" s="1"/>
  <c r="AC10" i="39"/>
  <c r="D21" i="71"/>
  <c r="C20" i="71"/>
  <c r="E65" i="39"/>
  <c r="C48" i="67"/>
  <c r="C66" i="67" s="1"/>
  <c r="E3" i="6"/>
  <c r="H6" i="3"/>
  <c r="F24" i="67"/>
  <c r="C24" i="67" s="1"/>
  <c r="AC6" i="3"/>
  <c r="D116" i="43"/>
  <c r="F24" i="15"/>
  <c r="C24" i="15" s="1"/>
  <c r="F22" i="69"/>
  <c r="F41" i="69" s="1"/>
  <c r="F22" i="68"/>
  <c r="C26" i="68" s="1"/>
  <c r="D22" i="68" s="1"/>
  <c r="F25" i="12"/>
  <c r="C26" i="12" s="1"/>
  <c r="D25" i="12" s="1"/>
  <c r="F22" i="11"/>
  <c r="C23" i="11"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11"/>
  <c r="D41" i="11" s="1"/>
  <c r="C34" i="69"/>
  <c r="C17" i="67"/>
  <c r="C17" i="15"/>
  <c r="C14" i="67"/>
  <c r="H25" i="6" l="1"/>
  <c r="H22" i="6"/>
  <c r="C60" i="67"/>
  <c r="C19" i="71"/>
  <c r="T20" i="71"/>
  <c r="D20" i="71"/>
  <c r="U20" i="71" s="1"/>
  <c r="E6" i="3"/>
  <c r="C26" i="11"/>
  <c r="D22" i="11" s="1"/>
  <c r="C44" i="69"/>
  <c r="D41" i="69" s="1"/>
  <c r="C26" i="69"/>
  <c r="D22" i="69" s="1"/>
  <c r="D30" i="6"/>
  <c r="H21" i="6"/>
  <c r="R21" i="6" s="1"/>
  <c r="R8" i="1" s="1"/>
  <c r="C44" i="68"/>
  <c r="D41" i="68" s="1"/>
  <c r="F41" i="68"/>
  <c r="H24" i="6"/>
  <c r="D3" i="34"/>
  <c r="D37" i="11"/>
  <c r="D19" i="11"/>
  <c r="C19" i="11" s="1"/>
  <c r="D3" i="37"/>
  <c r="D14" i="12"/>
  <c r="D17" i="12" s="1"/>
  <c r="C17" i="12" s="1"/>
  <c r="L18" i="9"/>
  <c r="D3" i="21"/>
  <c r="M18" i="9"/>
  <c r="B118" i="9" s="1"/>
  <c r="B1" i="74" s="1"/>
  <c r="C17" i="4"/>
  <c r="B4" i="52" s="1"/>
  <c r="B43" i="72" s="1"/>
  <c r="E6" i="6"/>
  <c r="D3" i="33"/>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F50" i="69"/>
  <c r="F50" i="11"/>
  <c r="F50" i="68"/>
  <c r="C4" i="52"/>
  <c r="B45" i="72" s="1"/>
  <c r="R25" i="6"/>
  <c r="R12" i="1"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A7" i="51" l="1"/>
  <c r="B7" i="72" s="1"/>
  <c r="D19" i="71"/>
  <c r="C18" i="71"/>
  <c r="A10" i="51"/>
  <c r="B9" i="72" s="1"/>
  <c r="C20" i="11"/>
  <c r="C24" i="11"/>
  <c r="D10" i="68"/>
  <c r="D10" i="69"/>
  <c r="D10" i="11"/>
  <c r="C10" i="11" s="1"/>
  <c r="D6" i="6"/>
  <c r="D20" i="12"/>
  <c r="C20" i="12" s="1"/>
  <c r="C19" i="67"/>
  <c r="C20" i="67" s="1"/>
  <c r="C26" i="67" s="1"/>
  <c r="T16" i="1"/>
  <c r="C18" i="15"/>
  <c r="C15" i="15"/>
  <c r="C38" i="68"/>
  <c r="C35" i="68"/>
  <c r="C36" i="11"/>
  <c r="C37" i="11"/>
  <c r="C34" i="11"/>
  <c r="C23" i="12"/>
  <c r="C14" i="12"/>
  <c r="C16" i="12" s="1"/>
  <c r="H19" i="6"/>
  <c r="S19" i="6"/>
  <c r="S27" i="6" s="1"/>
  <c r="I27" i="6"/>
  <c r="I5" i="6"/>
  <c r="I6" i="6"/>
  <c r="C11" i="39" s="1"/>
  <c r="E2" i="76"/>
  <c r="B2" i="76"/>
  <c r="I69" i="39"/>
  <c r="J67" i="39"/>
  <c r="I63" i="40"/>
  <c r="H65" i="40"/>
  <c r="I58" i="21"/>
  <c r="J58" i="21" s="1"/>
  <c r="K58" i="21" s="1"/>
  <c r="L58" i="21" s="1"/>
  <c r="M58" i="21" s="1"/>
  <c r="N58" i="21" s="1"/>
  <c r="O58" i="21" s="1"/>
  <c r="H7" i="21" s="1"/>
  <c r="J48" i="35"/>
  <c r="D18" i="71" l="1"/>
  <c r="C17" i="71"/>
  <c r="F11" i="39"/>
  <c r="H11" i="39"/>
  <c r="J11" i="39"/>
  <c r="D19" i="68"/>
  <c r="C10" i="68"/>
  <c r="B29" i="1" s="1"/>
  <c r="C8" i="68" s="1"/>
  <c r="C28" i="11"/>
  <c r="C27" i="11" s="1"/>
  <c r="C25" i="11"/>
  <c r="C22" i="11" s="1"/>
  <c r="D19" i="69"/>
  <c r="C10" i="69"/>
  <c r="C8" i="69" s="1"/>
  <c r="C5" i="69" s="1"/>
  <c r="C23" i="69" s="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D17" i="71" l="1"/>
  <c r="C16" i="71"/>
  <c r="W11" i="39"/>
  <c r="AC11" i="39"/>
  <c r="U11" i="39"/>
  <c r="AB11" i="39"/>
  <c r="S11" i="39"/>
  <c r="AA11" i="39"/>
  <c r="C18" i="12"/>
  <c r="C21" i="12" s="1"/>
  <c r="C31" i="11"/>
  <c r="D37" i="69"/>
  <c r="C37" i="69" s="1"/>
  <c r="C33" i="69" s="1"/>
  <c r="C19" i="69"/>
  <c r="D37" i="68"/>
  <c r="C37" i="68" s="1"/>
  <c r="C33" i="68" s="1"/>
  <c r="C39" i="68" s="1"/>
  <c r="C43" i="68" s="1"/>
  <c r="C19" i="68"/>
  <c r="W7" i="21"/>
  <c r="AA7" i="21"/>
  <c r="R48" i="21" s="1"/>
  <c r="R49" i="21" s="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F35" i="15"/>
  <c r="M21" i="67"/>
  <c r="F35" i="67"/>
  <c r="M21" i="15"/>
  <c r="D16" i="71" l="1"/>
  <c r="C15" i="71"/>
  <c r="T16" i="71"/>
  <c r="E48" i="21"/>
  <c r="E52" i="21" s="1"/>
  <c r="F52" i="21" s="1"/>
  <c r="C22" i="12"/>
  <c r="C27" i="12" s="1"/>
  <c r="C25" i="12" s="1"/>
  <c r="C46" i="68"/>
  <c r="C45" i="68" s="1"/>
  <c r="C24" i="68"/>
  <c r="C24" i="69"/>
  <c r="C20" i="69"/>
  <c r="C42" i="68"/>
  <c r="C41" i="68" s="1"/>
  <c r="C42" i="69"/>
  <c r="C39" i="69"/>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G42" i="35"/>
  <c r="H42" i="35" s="1"/>
  <c r="G43" i="35"/>
  <c r="H43" i="35" s="1"/>
  <c r="K65" i="40"/>
  <c r="L63" i="40"/>
  <c r="I42" i="35"/>
  <c r="J42" i="35" s="1"/>
  <c r="E53" i="21" l="1"/>
  <c r="F53" i="21" s="1"/>
  <c r="I53" i="21"/>
  <c r="J53" i="21" s="1"/>
  <c r="D15" i="71"/>
  <c r="C14" i="71"/>
  <c r="U16" i="71"/>
  <c r="M23" i="43"/>
  <c r="C30" i="12"/>
  <c r="C28" i="12" s="1"/>
  <c r="C32" i="12" s="1"/>
  <c r="B2" i="12" s="1"/>
  <c r="B3" i="12" s="1"/>
  <c r="C49" i="68"/>
  <c r="C51" i="68" s="1"/>
  <c r="C28" i="69"/>
  <c r="C27" i="69" s="1"/>
  <c r="C25" i="69"/>
  <c r="C22" i="69" s="1"/>
  <c r="C43" i="69"/>
  <c r="C41" i="69" s="1"/>
  <c r="C46" i="69"/>
  <c r="C45" i="69"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D14" i="71" l="1"/>
  <c r="C13" i="71"/>
  <c r="C49" i="69"/>
  <c r="C51" i="69" s="1"/>
  <c r="C31" i="69"/>
  <c r="C80" i="67"/>
  <c r="C79" i="67" s="1"/>
  <c r="C40" i="67"/>
  <c r="C45" i="67" s="1"/>
  <c r="C56" i="11"/>
  <c r="C57" i="11" s="1"/>
  <c r="B2" i="21"/>
  <c r="B3" i="21" s="1"/>
  <c r="J16" i="15"/>
  <c r="J25" i="15" s="1"/>
  <c r="J26" i="15" s="1"/>
  <c r="J29" i="15" s="1"/>
  <c r="C58" i="15"/>
  <c r="C67" i="15" s="1"/>
  <c r="C68" i="15" s="1"/>
  <c r="C71" i="15" s="1"/>
  <c r="C30" i="15"/>
  <c r="O67" i="39"/>
  <c r="O69" i="39" s="1"/>
  <c r="N69" i="39"/>
  <c r="F7" i="39"/>
  <c r="C39" i="35"/>
  <c r="C38" i="35"/>
  <c r="N63" i="40"/>
  <c r="M65" i="40"/>
  <c r="E43" i="35"/>
  <c r="F43" i="35" s="1"/>
  <c r="E42" i="35"/>
  <c r="F42" i="35" s="1"/>
  <c r="I43" i="35"/>
  <c r="J43" i="35" s="1"/>
  <c r="L51" i="67"/>
  <c r="D2" i="33"/>
  <c r="C12" i="71" l="1"/>
  <c r="D13" i="71"/>
  <c r="C39" i="15"/>
  <c r="Q69" i="15" s="1"/>
  <c r="Q68" i="15" s="1"/>
  <c r="I39" i="15"/>
  <c r="I40" i="15" s="1"/>
  <c r="C52" i="69"/>
  <c r="B2" i="69" s="1"/>
  <c r="B3" i="69" s="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4"/>
  <c r="D2" i="36"/>
  <c r="D2" i="37"/>
  <c r="D2" i="35"/>
  <c r="D12" i="71" l="1"/>
  <c r="U12" i="71" s="1"/>
  <c r="C11" i="71"/>
  <c r="T12" i="71"/>
  <c r="C40" i="15"/>
  <c r="C46" i="15" s="1"/>
  <c r="C80" i="15"/>
  <c r="C79" i="15" s="1"/>
  <c r="C57" i="69"/>
  <c r="C56" i="69" s="1"/>
  <c r="Q57" i="67"/>
  <c r="Q62" i="67" s="1"/>
  <c r="Q66" i="67"/>
  <c r="Q75" i="67" s="1"/>
  <c r="B3" i="67"/>
  <c r="L57" i="15"/>
  <c r="L60" i="15" s="1"/>
  <c r="Q57" i="15" s="1"/>
  <c r="B2" i="36"/>
  <c r="B3" i="36" s="1"/>
  <c r="B2" i="35"/>
  <c r="B3" i="35" s="1"/>
  <c r="M3" i="35"/>
  <c r="B2" i="37"/>
  <c r="B3" i="37" s="1"/>
  <c r="B2" i="34"/>
  <c r="B3" i="34" s="1"/>
  <c r="W7" i="39"/>
  <c r="AC7" i="39"/>
  <c r="V47" i="39" s="1"/>
  <c r="I47" i="39" s="1"/>
  <c r="E47" i="39"/>
  <c r="U7" i="39"/>
  <c r="AB7" i="39"/>
  <c r="T47" i="39" s="1"/>
  <c r="G47" i="39" s="1"/>
  <c r="J7" i="40"/>
  <c r="F7" i="40"/>
  <c r="H7" i="40"/>
  <c r="AO10" i="1"/>
  <c r="AO9" i="1"/>
  <c r="AO11" i="1"/>
  <c r="AO12" i="1"/>
  <c r="L51" i="15"/>
  <c r="AO8" i="1"/>
  <c r="AO7" i="1"/>
  <c r="Q67" i="15" l="1"/>
  <c r="C83" i="15"/>
  <c r="C82" i="15" s="1"/>
  <c r="C10" i="71"/>
  <c r="D11" i="71"/>
  <c r="Q65" i="15"/>
  <c r="C43" i="15"/>
  <c r="Q56" i="15"/>
  <c r="Q62" i="15" s="1"/>
  <c r="Q47" i="15"/>
  <c r="Q53" i="15" s="1"/>
  <c r="R48" i="39"/>
  <c r="C47" i="39" s="1"/>
  <c r="L46" i="15"/>
  <c r="B2" i="15" s="1"/>
  <c r="Q66"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9" i="9"/>
  <c r="AO6" i="1"/>
  <c r="C48" i="39" l="1"/>
  <c r="Q75" i="15"/>
  <c r="D10" i="71"/>
  <c r="C9" i="71"/>
  <c r="D102" i="9"/>
  <c r="D21" i="9"/>
  <c r="B6" i="70"/>
  <c r="B2" i="70" s="1"/>
  <c r="B3" i="70" s="1"/>
  <c r="B3" i="15"/>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8" i="71" l="1"/>
  <c r="D9" i="71"/>
  <c r="D103" i="9"/>
  <c r="F65" i="39"/>
  <c r="B2" i="39" s="1"/>
  <c r="C6" i="68" s="1"/>
  <c r="C42" i="40"/>
  <c r="C43" i="40"/>
  <c r="E47" i="40"/>
  <c r="F47" i="40" s="1"/>
  <c r="E46" i="40"/>
  <c r="F46" i="40" s="1"/>
  <c r="I47" i="40"/>
  <c r="J47" i="40" s="1"/>
  <c r="D8" i="71" l="1"/>
  <c r="C7" i="71"/>
  <c r="B3" i="39"/>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7" i="68"/>
  <c r="C5" i="68" s="1"/>
  <c r="D6" i="71" l="1"/>
  <c r="C5" i="71"/>
  <c r="D5" i="71" s="1"/>
  <c r="M24" i="43" s="1"/>
  <c r="C23" i="68"/>
  <c r="C20" i="68"/>
  <c r="C25" i="68" s="1"/>
  <c r="C22" i="68" l="1"/>
  <c r="C28" i="68"/>
  <c r="C27" i="68" s="1"/>
  <c r="C31" i="68" s="1"/>
  <c r="C52" i="68" s="1"/>
  <c r="C57" i="68" l="1"/>
  <c r="C56" i="68" s="1"/>
  <c r="B2" i="68"/>
  <c r="B3" i="68" s="1"/>
  <c r="C19" i="9"/>
  <c r="C20" i="9"/>
  <c r="G19" i="9" l="1"/>
  <c r="D22" i="9"/>
  <c r="C102" i="9"/>
  <c r="C21" i="9"/>
  <c r="C103" i="9"/>
  <c r="G20" i="9"/>
  <c r="C32" i="9" s="1"/>
  <c r="C35" i="9" s="1"/>
  <c r="C34" i="9" s="1"/>
  <c r="D14" i="74" l="1"/>
  <c r="G14" i="74" s="1"/>
  <c r="G21" i="9"/>
  <c r="F14" i="74" l="1"/>
  <c r="E14" i="74"/>
  <c r="K17" i="80"/>
  <c r="K13" i="80"/>
  <c r="K9" i="80"/>
  <c r="K5" i="80"/>
  <c r="K20" i="80"/>
  <c r="K16" i="80"/>
  <c r="K8" i="80"/>
  <c r="K22" i="80"/>
  <c r="K21" i="80"/>
  <c r="K14" i="80"/>
  <c r="K10" i="80"/>
  <c r="K6" i="80"/>
  <c r="K7" i="80"/>
  <c r="K12" i="80"/>
  <c r="K4" i="80"/>
  <c r="K19" i="80"/>
  <c r="K15" i="80"/>
  <c r="K11" i="80"/>
  <c r="K24" i="80" l="1"/>
  <c r="J20" i="80"/>
  <c r="L20" i="80" s="1"/>
  <c r="M20" i="80" s="1"/>
  <c r="J16" i="80"/>
  <c r="L16" i="80" s="1"/>
  <c r="M16" i="80" s="1"/>
  <c r="J12" i="80"/>
  <c r="L12" i="80" s="1"/>
  <c r="M12" i="80" s="1"/>
  <c r="J8" i="80"/>
  <c r="L8" i="80" s="1"/>
  <c r="M8" i="80" s="1"/>
  <c r="J4" i="80"/>
  <c r="J15" i="80"/>
  <c r="L15" i="80" s="1"/>
  <c r="M15" i="80" s="1"/>
  <c r="J7" i="80"/>
  <c r="L7" i="80" s="1"/>
  <c r="M7" i="80" s="1"/>
  <c r="J17" i="80"/>
  <c r="L17" i="80" s="1"/>
  <c r="M17" i="80" s="1"/>
  <c r="J13" i="80"/>
  <c r="L13" i="80" s="1"/>
  <c r="M13" i="80" s="1"/>
  <c r="J9" i="80"/>
  <c r="L9" i="80" s="1"/>
  <c r="M9" i="80" s="1"/>
  <c r="J5" i="80"/>
  <c r="L5" i="80" s="1"/>
  <c r="M5" i="80" s="1"/>
  <c r="J19" i="80"/>
  <c r="L19" i="80" s="1"/>
  <c r="M19" i="80" s="1"/>
  <c r="J11" i="80"/>
  <c r="L11" i="80" s="1"/>
  <c r="M11" i="80" s="1"/>
  <c r="L25" i="80"/>
  <c r="J22" i="80"/>
  <c r="L22" i="80" s="1"/>
  <c r="M22" i="80" s="1"/>
  <c r="J21" i="80"/>
  <c r="L21" i="80" s="1"/>
  <c r="M21" i="80" s="1"/>
  <c r="J14" i="80"/>
  <c r="L14" i="80" s="1"/>
  <c r="M14" i="80" s="1"/>
  <c r="J10" i="80"/>
  <c r="L10" i="80" s="1"/>
  <c r="M10" i="80" s="1"/>
  <c r="J6" i="80"/>
  <c r="L6" i="80" s="1"/>
  <c r="M6" i="80" s="1"/>
  <c r="L4" i="80" l="1"/>
  <c r="J24" i="80"/>
  <c r="L24" i="80" l="1"/>
  <c r="M4" i="80"/>
  <c r="G118" i="9" l="1"/>
  <c r="F118" i="9" s="1"/>
  <c r="I118" i="9"/>
  <c r="H102" i="9" s="1"/>
  <c r="D7" i="53" s="1"/>
  <c r="B21" i="72" s="1"/>
  <c r="H118" i="9" l="1"/>
  <c r="H4" i="52" s="1"/>
  <c r="F119" i="9"/>
  <c r="F5" i="52" s="1"/>
  <c r="B53" i="72" s="1"/>
  <c r="F4" i="52"/>
  <c r="B51" i="72" s="1"/>
  <c r="G4" i="52"/>
  <c r="B52" i="72" s="1"/>
  <c r="E118" i="9"/>
  <c r="C105" i="9"/>
  <c r="I4" i="52"/>
  <c r="C104" i="9" l="1"/>
  <c r="H101" i="9"/>
  <c r="D5" i="53" s="1"/>
  <c r="H119" i="9"/>
  <c r="H5" i="52" s="1"/>
  <c r="E4" i="52"/>
  <c r="B48" i="72" s="1"/>
  <c r="D118" i="9"/>
  <c r="D45" i="9" l="1"/>
  <c r="C85" i="9" s="1"/>
  <c r="H107" i="9"/>
  <c r="H108" i="9" s="1"/>
  <c r="D15" i="53" s="1"/>
  <c r="B31" i="72" s="1"/>
  <c r="M48" i="9"/>
  <c r="B20" i="72"/>
  <c r="D6" i="53"/>
  <c r="B22" i="72" s="1"/>
  <c r="D4" i="52"/>
  <c r="B47" i="72" s="1"/>
  <c r="D119" i="9"/>
  <c r="D5" i="52" s="1"/>
  <c r="B49" i="72" s="1"/>
  <c r="D52" i="9"/>
  <c r="D55" i="9"/>
  <c r="M53" i="9" s="1"/>
  <c r="C78" i="9"/>
  <c r="C73" i="9" s="1"/>
  <c r="C64" i="9" l="1"/>
  <c r="C63" i="9" s="1"/>
  <c r="C67" i="9" s="1"/>
  <c r="D53" i="9"/>
  <c r="C72" i="9"/>
  <c r="C79" i="9" s="1"/>
  <c r="C80" i="9" s="1"/>
  <c r="E80" i="9" s="1"/>
  <c r="E81" i="9" s="1"/>
  <c r="M49" i="9"/>
  <c r="L67" i="9" s="1"/>
  <c r="M67" i="9" s="1"/>
  <c r="C93" i="9"/>
  <c r="C86" i="9" s="1"/>
  <c r="C95" i="9" s="1"/>
  <c r="D13" i="53"/>
  <c r="D14" i="53" s="1"/>
  <c r="B32" i="72" s="1"/>
  <c r="D122" i="9"/>
  <c r="D8" i="52" s="1"/>
  <c r="D59" i="9"/>
  <c r="M55" i="9" s="1"/>
  <c r="C68" i="9"/>
  <c r="D54" i="9" s="1"/>
  <c r="L64" i="9" l="1"/>
  <c r="M64" i="9" s="1"/>
  <c r="L66" i="9"/>
  <c r="M66" i="9" s="1"/>
  <c r="B30" i="72"/>
  <c r="L65" i="9"/>
  <c r="M65" i="9" s="1"/>
  <c r="L68" i="9"/>
  <c r="M68" i="9" s="1"/>
  <c r="L63" i="9"/>
  <c r="M63" i="9" s="1"/>
  <c r="D123" i="9"/>
  <c r="D9" i="52" s="1"/>
  <c r="C81" i="9"/>
  <c r="C96" i="9"/>
  <c r="E96" i="9" s="1"/>
  <c r="E97" i="9" s="1"/>
  <c r="M69" i="9" l="1"/>
  <c r="N69" i="9" s="1"/>
  <c r="C97" i="9"/>
  <c r="D58" i="9" s="1"/>
  <c r="D56" i="9" s="1"/>
  <c r="M54" i="9" s="1"/>
  <c r="N57" i="9" s="1"/>
  <c r="N58" i="9" s="1"/>
  <c r="P57" i="9" l="1"/>
  <c r="N59" i="9"/>
  <c r="N60" i="9" s="1"/>
  <c r="N61" i="9" l="1"/>
  <c r="E16" i="74" l="1"/>
  <c r="F16" i="74"/>
  <c r="E15" i="74" l="1"/>
  <c r="B6" i="74"/>
  <c r="B5" i="74"/>
  <c r="F15" i="74"/>
  <c r="D5" i="74" l="1"/>
  <c r="C5" i="74"/>
  <c r="D6" i="74"/>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C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C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C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C00-000005000000}">
      <text>
        <r>
          <rPr>
            <sz val="12"/>
            <color indexed="81"/>
            <rFont val="宋体"/>
            <family val="3"/>
            <charset val="134"/>
          </rPr>
          <t xml:space="preserve">名称在右侧单元格录入
</t>
        </r>
      </text>
    </comment>
    <comment ref="B16" authorId="0" shapeId="0" xr:uid="{00000000-0006-0000-0C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C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C00-000008000000}">
      <text>
        <r>
          <rPr>
            <sz val="11"/>
            <color indexed="81"/>
            <rFont val="宋体"/>
            <family val="3"/>
            <charset val="134"/>
          </rPr>
          <t xml:space="preserve">有相同面积依据时，仅在土地面积依据处录入。
</t>
        </r>
      </text>
    </comment>
    <comment ref="C28" authorId="1" shapeId="0" xr:uid="{00000000-0006-0000-0C00-000009000000}">
      <text>
        <r>
          <rPr>
            <sz val="11"/>
            <color indexed="81"/>
            <rFont val="楷体_GB2312"/>
            <family val="3"/>
            <charset val="134"/>
          </rPr>
          <t>其他特殊项请在右侧录入</t>
        </r>
      </text>
    </comment>
    <comment ref="C30" authorId="1" shapeId="0" xr:uid="{00000000-0006-0000-0C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C00-00000B000000}">
      <text>
        <r>
          <rPr>
            <sz val="11"/>
            <color indexed="81"/>
            <rFont val="宋体"/>
            <family val="3"/>
            <charset val="134"/>
          </rPr>
          <t xml:space="preserve">工程停工、土地闲置、年久失修等
</t>
        </r>
      </text>
    </comment>
    <comment ref="E32" authorId="1" shapeId="0" xr:uid="{00000000-0006-0000-0C00-00000C000000}">
      <text>
        <r>
          <rPr>
            <sz val="11"/>
            <color indexed="81"/>
            <rFont val="宋体"/>
            <family val="3"/>
            <charset val="134"/>
          </rPr>
          <t xml:space="preserve">工程停工、土地闲置、年久失修等
</t>
        </r>
      </text>
    </comment>
    <comment ref="E33" authorId="1" shapeId="0" xr:uid="{00000000-0006-0000-0C00-00000D000000}">
      <text>
        <r>
          <rPr>
            <sz val="11"/>
            <color indexed="81"/>
            <rFont val="宋体"/>
            <family val="3"/>
            <charset val="134"/>
          </rPr>
          <t xml:space="preserve">工程停工、土地闲置、年久失修等
</t>
        </r>
      </text>
    </comment>
    <comment ref="K42" authorId="1" shapeId="0" xr:uid="{00000000-0006-0000-0C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C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C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C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C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C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C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C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C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C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C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<sst xmlns="http://schemas.openxmlformats.org/spreadsheetml/2006/main" count="8810" uniqueCount="3910">
  <si>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</si>
  <si>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</si>
  <si>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</si>
  <si>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</si>
  <si>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</si>
  <si>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</si>
  <si>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</si>
  <si>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</si>
  <si>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</si>
  <si>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</si>
  <si>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</si>
  <si>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</si>
  <si>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</si>
  <si>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</si>
  <si>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</si>
  <si>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</si>
  <si>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</si>
  <si>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</si>
  <si>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</si>
  <si>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</si>
  <si>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</si>
  <si>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</si>
  <si>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</si>
  <si>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</si>
  <si>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</si>
  <si>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</si>
  <si>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</si>
  <si>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</si>
  <si>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</si>
  <si>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</si>
  <si>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</si>
  <si>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</si>
  <si>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</si>
  <si>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</si>
  <si>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</si>
  <si>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</si>
  <si>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</si>
  <si>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</si>
  <si>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</si>
  <si>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</si>
  <si>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</si>
  <si>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</si>
  <si>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</si>
  <si>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</si>
  <si>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</si>
  <si>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</si>
  <si>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</si>
  <si>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</si>
  <si>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</si>
  <si>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</si>
  <si>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</si>
  <si>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</si>
  <si>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</si>
  <si>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</si>
  <si>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</si>
  <si>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</si>
  <si>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</si>
  <si>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</si>
  <si>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</si>
  <si>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</si>
  <si>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</si>
  <si>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</si>
  <si>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</si>
  <si>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</si>
  <si>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</si>
  <si>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</si>
  <si>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</si>
  <si>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</si>
  <si>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</si>
  <si>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</si>
  <si>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</si>
  <si>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</si>
  <si>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</si>
  <si>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</si>
  <si>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</si>
  <si>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</si>
  <si>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</si>
  <si>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</si>
  <si>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</si>
  <si>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</si>
  <si>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</si>
  <si>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</si>
  <si>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</si>
  <si>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</si>
  <si>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</si>
  <si>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</si>
  <si>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</si>
  <si>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</si>
  <si>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</si>
  <si>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</si>
  <si>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</si>
  <si>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</si>
  <si>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</si>
  <si>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</si>
  <si>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</si>
  <si>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</si>
  <si>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</si>
  <si>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</si>
  <si>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</si>
  <si>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</si>
  <si>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</si>
  <si>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</si>
  <si>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</si>
  <si>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</si>
  <si>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</si>
  <si>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</si>
  <si>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</si>
  <si>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</si>
  <si>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</si>
  <si>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</si>
  <si>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</si>
  <si>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</si>
  <si>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</si>
  <si>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</si>
  <si>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</si>
  <si>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</si>
  <si>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</si>
  <si>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</si>
  <si>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</si>
  <si>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</si>
  <si>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</si>
  <si>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</si>
  <si>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</si>
  <si>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</si>
  <si>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</si>
  <si>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</si>
  <si>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</si>
  <si>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</si>
  <si>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</si>
  <si>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</si>
  <si>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</si>
  <si>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</si>
  <si>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</si>
  <si>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</si>
  <si>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</si>
  <si>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</si>
  <si>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</si>
  <si>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</si>
  <si>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</si>
  <si>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</si>
  <si>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</si>
  <si>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</si>
  <si>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</si>
  <si>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</si>
  <si>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</si>
  <si>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</si>
  <si>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</si>
  <si>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</si>
  <si>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</si>
  <si>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</si>
  <si>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</si>
  <si>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</si>
  <si>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</si>
  <si>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</si>
  <si>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</si>
  <si>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</si>
  <si>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</si>
  <si>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</si>
  <si>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</si>
  <si>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</si>
  <si>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</si>
  <si>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</si>
  <si>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</si>
  <si>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</si>
  <si>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</si>
  <si>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</si>
  <si>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</si>
  <si>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</si>
  <si>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</si>
  <si>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</si>
  <si>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</si>
  <si>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</si>
  <si>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</si>
  <si>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</si>
  <si>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</si>
  <si>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</si>
  <si>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</si>
  <si>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</si>
  <si>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</si>
  <si>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</si>
  <si>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</si>
  <si>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</si>
  <si>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</si>
  <si>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</si>
  <si>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</si>
  <si>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</si>
  <si>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</si>
  <si>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</si>
  <si>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</si>
  <si>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</si>
  <si>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</si>
  <si>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</si>
  <si>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</si>
  <si>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</si>
  <si>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</si>
  <si>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</si>
  <si>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</si>
  <si>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</si>
  <si>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</si>
  <si>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</si>
  <si>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</si>
  <si>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</si>
  <si>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</si>
  <si>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</si>
  <si>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</si>
  <si>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</si>
  <si>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</si>
  <si>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</si>
  <si>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</si>
  <si>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</si>
  <si>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</si>
  <si>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</si>
  <si>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</si>
  <si>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</si>
  <si>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</si>
  <si>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</si>
  <si>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</si>
  <si>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</si>
  <si>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</si>
  <si>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</si>
  <si>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</si>
  <si>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</si>
  <si>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</si>
  <si>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</si>
  <si>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</si>
  <si>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</si>
  <si>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</si>
  <si>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</si>
  <si>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</si>
  <si>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</si>
  <si>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</si>
  <si>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</si>
  <si>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</si>
  <si>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</si>
  <si>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</si>
  <si>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</si>
  <si>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</si>
  <si>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</si>
  <si>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</si>
  <si>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</si>
  <si>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</si>
  <si>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</si>
  <si>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</si>
  <si>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</si>
  <si>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</si>
  <si>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</si>
  <si>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</si>
  <si>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</si>
  <si>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</si>
  <si>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</si>
  <si>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</si>
  <si>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</si>
  <si>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</si>
  <si>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</si>
  <si>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</si>
  <si>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</si>
  <si>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</si>
  <si>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</si>
  <si>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</si>
  <si>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</si>
  <si>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</si>
  <si>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</si>
  <si>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</si>
  <si>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</si>
  <si>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</si>
  <si>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</si>
  <si>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</si>
  <si>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</si>
  <si>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</si>
  <si>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</si>
  <si>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</si>
  <si>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</si>
  <si>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</si>
  <si>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</si>
  <si>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</si>
  <si>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</si>
  <si>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</si>
  <si>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</si>
  <si>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</si>
  <si>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</si>
  <si>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</si>
  <si>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</si>
  <si>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</si>
  <si>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</si>
  <si>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</si>
  <si>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</si>
  <si>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</si>
  <si>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</si>
  <si>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</si>
  <si>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</si>
  <si>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</si>
  <si>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</si>
  <si>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</si>
  <si>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</si>
  <si>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</si>
  <si>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</si>
  <si>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</si>
  <si>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</si>
  <si>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</si>
  <si>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</si>
  <si>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</si>
  <si>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</si>
  <si>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</si>
  <si>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</si>
  <si>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</si>
  <si>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</si>
  <si>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</si>
  <si>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</si>
  <si>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</si>
  <si>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</si>
  <si>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</si>
  <si>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</si>
  <si>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</si>
  <si>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</si>
  <si>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</si>
  <si>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</si>
  <si>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</si>
  <si>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</si>
  <si>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</si>
  <si>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</si>
  <si>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</si>
  <si>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</si>
  <si>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</si>
  <si>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</si>
  <si>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</si>
  <si>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</si>
  <si>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</si>
  <si>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</si>
  <si>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</si>
  <si>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</si>
  <si>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</si>
  <si>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</si>
  <si>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</si>
  <si>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</si>
  <si>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</si>
  <si>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</si>
  <si>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</si>
  <si>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</si>
  <si>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</si>
  <si>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</si>
  <si>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</si>
  <si>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</si>
  <si>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</si>
  <si>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</si>
  <si>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</si>
  <si>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</si>
  <si>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</si>
  <si>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</si>
  <si>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</si>
  <si>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</si>
  <si>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</si>
  <si>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</si>
  <si>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</si>
  <si>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</si>
  <si>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</si>
  <si>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</si>
  <si>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</si>
  <si>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</si>
  <si>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</si>
  <si>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</si>
  <si>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</si>
  <si>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</si>
  <si>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</si>
  <si>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</si>
  <si>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</si>
  <si>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</si>
  <si>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</si>
  <si>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</si>
  <si>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</si>
  <si>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</si>
  <si>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</si>
  <si>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</si>
  <si>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</si>
  <si>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</si>
  <si>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</si>
  <si>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</si>
  <si>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</si>
  <si>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</si>
  <si>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</si>
  <si>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</si>
  <si>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</si>
  <si>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</si>
  <si>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</si>
  <si>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</si>
  <si>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</si>
  <si>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</si>
  <si>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</si>
  <si>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</si>
  <si>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</si>
  <si>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</si>
  <si>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</si>
  <si>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</si>
  <si>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</si>
  <si>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</si>
  <si>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</si>
  <si>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</si>
  <si>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</si>
  <si>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</si>
  <si>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</si>
  <si>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</si>
  <si>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</si>
  <si>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</si>
  <si>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</si>
  <si>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</si>
  <si>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</si>
  <si>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</si>
  <si>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</si>
  <si>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</si>
  <si>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</si>
  <si>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</si>
  <si>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</si>
  <si>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</si>
  <si>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</si>
  <si>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</si>
  <si>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</si>
  <si>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</si>
  <si>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</si>
  <si>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</si>
  <si>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</si>
  <si>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</si>
  <si>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</si>
  <si>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</si>
  <si>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</si>
  <si>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</si>
  <si>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</si>
  <si>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</si>
  <si>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</si>
  <si>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</si>
  <si>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</si>
  <si>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</si>
  <si>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</si>
  <si>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</si>
  <si>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</si>
  <si>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</si>
  <si>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</si>
  <si>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</si>
  <si>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</si>
  <si>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</si>
  <si>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</si>
  <si>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</si>
  <si>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</si>
  <si>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</si>
  <si>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</si>
  <si>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</si>
  <si>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</si>
  <si>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</si>
  <si>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</si>
  <si>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</si>
  <si>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</si>
  <si>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</si>
  <si>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</si>
  <si>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</si>
  <si>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</si>
  <si>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</si>
  <si>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</si>
  <si>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</si>
  <si>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</si>
  <si>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</si>
  <si>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</si>
  <si>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</si>
  <si>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</si>
  <si>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</si>
  <si>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</si>
  <si>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</si>
  <si>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</si>
  <si>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</si>
  <si>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</si>
  <si>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</si>
  <si>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</si>
  <si>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</si>
  <si>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</si>
  <si>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</si>
  <si>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</si>
  <si>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</si>
  <si>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</si>
  <si>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</si>
  <si>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</si>
  <si>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</si>
  <si>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</si>
  <si>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</si>
  <si>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</si>
  <si>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</si>
  <si>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</si>
  <si>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</si>
  <si>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</si>
  <si>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</si>
  <si>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</si>
  <si>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</si>
  <si>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</si>
  <si>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</si>
  <si>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</si>
  <si>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</si>
  <si>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</si>
  <si>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</si>
  <si>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</si>
  <si>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</si>
  <si>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</si>
  <si>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</si>
  <si>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</si>
  <si>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</si>
  <si>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</si>
  <si>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</si>
  <si>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</si>
  <si>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</si>
  <si>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</si>
  <si>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</si>
  <si>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</si>
  <si>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</si>
  <si>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</si>
  <si>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</si>
  <si>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</si>
  <si>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</si>
  <si>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</si>
  <si>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</si>
  <si>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</si>
  <si>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</si>
  <si>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</si>
  <si>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</si>
  <si>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</si>
  <si>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</si>
  <si>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</si>
  <si>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</si>
  <si>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</si>
  <si>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</si>
  <si>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</si>
  <si>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</si>
  <si>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</si>
  <si>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</si>
  <si>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</si>
  <si>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</si>
  <si>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</si>
  <si>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</si>
  <si>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</si>
  <si>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</si>
  <si>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</si>
  <si>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</si>
  <si>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</si>
  <si>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</si>
  <si>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</si>
  <si>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</si>
  <si>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</si>
  <si>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</si>
  <si>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</si>
  <si>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</si>
  <si>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</si>
  <si>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</si>
  <si>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</si>
  <si>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</si>
  <si>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</si>
  <si>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</si>
  <si>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</si>
  <si>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</si>
  <si>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</si>
  <si>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</si>
  <si>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</si>
  <si>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</si>
  <si>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</si>
  <si>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</si>
  <si>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</si>
  <si>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</si>
  <si>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</si>
  <si>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</si>
  <si>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</si>
  <si>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</si>
  <si>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</si>
  <si>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</si>
  <si>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</si>
  <si>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</si>
  <si>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</si>
  <si>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</si>
  <si>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</si>
  <si>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</si>
  <si>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</si>
  <si>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</si>
  <si>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</si>
  <si>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</si>
  <si>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</si>
  <si>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</si>
  <si>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</si>
  <si>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</si>
  <si>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</si>
  <si>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</si>
  <si>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</si>
  <si>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</si>
  <si>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</si>
  <si>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</si>
  <si>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</si>
  <si>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</si>
  <si>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</si>
  <si>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</si>
  <si>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</si>
  <si>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</si>
  <si>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</si>
  <si>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</si>
  <si>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</si>
  <si>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</si>
  <si>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</si>
  <si>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</si>
  <si>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</si>
  <si>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</si>
  <si>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</si>
  <si>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</si>
  <si>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</si>
  <si>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</si>
  <si>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</si>
  <si>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</si>
  <si>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</si>
  <si>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</si>
  <si>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</si>
  <si>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</si>
  <si>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</si>
  <si>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</si>
  <si>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</si>
  <si>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</si>
  <si>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</si>
  <si>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</si>
  <si>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</si>
  <si>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</si>
  <si>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</si>
  <si>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</si>
  <si>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</si>
  <si>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</si>
  <si>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</si>
  <si>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</si>
  <si>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</si>
  <si>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</si>
  <si>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</si>
  <si>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</si>
  <si>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</si>
  <si>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</si>
  <si>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</si>
  <si>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</si>
  <si>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</si>
  <si>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</si>
  <si>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</si>
  <si>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</si>
  <si>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</si>
  <si>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</si>
  <si>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</si>
  <si>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</si>
  <si>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</si>
  <si>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</si>
  <si>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</si>
  <si>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</si>
  <si>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</si>
  <si>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</si>
  <si>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</si>
  <si>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</si>
  <si>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</si>
  <si>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</si>
  <si>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</si>
  <si>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</si>
  <si>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</si>
  <si>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</si>
  <si>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</si>
  <si>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</si>
  <si>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</si>
  <si>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</si>
  <si>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</si>
  <si>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</si>
  <si>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</si>
  <si>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</si>
  <si>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</si>
  <si>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</si>
  <si>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</si>
  <si>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</si>
  <si>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</si>
  <si>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</si>
  <si>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</si>
  <si>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</si>
  <si>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</si>
  <si>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</si>
  <si>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</si>
  <si>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</si>
  <si>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</si>
  <si>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</si>
  <si>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</si>
  <si>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</si>
  <si>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</si>
  <si>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</si>
  <si>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</si>
  <si>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</si>
  <si>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</si>
  <si>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</si>
  <si>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</si>
  <si>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</si>
  <si>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</si>
  <si>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</si>
  <si>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</si>
  <si>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</si>
  <si>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</si>
  <si>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</si>
  <si>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</si>
  <si>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</si>
  <si>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</si>
  <si>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</si>
  <si>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</si>
  <si>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</si>
  <si>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</si>
  <si>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</si>
  <si>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</si>
  <si>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</si>
  <si>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</si>
  <si>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</si>
  <si>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</si>
  <si>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</si>
  <si>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</si>
  <si>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</si>
  <si>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</si>
  <si>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</si>
  <si>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</si>
  <si>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</si>
  <si>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</si>
  <si>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</si>
  <si>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</si>
  <si>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</si>
  <si>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</si>
  <si>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</si>
  <si>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</si>
  <si>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</si>
  <si>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</si>
  <si>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</si>
  <si>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</si>
  <si>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</si>
  <si>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</si>
  <si>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</si>
  <si>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</si>
  <si>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</si>
  <si>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</si>
  <si>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</si>
  <si>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</si>
  <si>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</si>
  <si>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</si>
  <si>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</si>
  <si>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</si>
  <si>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</si>
  <si>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</si>
  <si>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</si>
  <si>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</si>
  <si>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</si>
  <si>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</si>
  <si>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</si>
  <si>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</si>
  <si>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</si>
  <si>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</si>
  <si>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</si>
  <si>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</si>
  <si>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</si>
  <si>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</si>
  <si>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</si>
  <si>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</si>
  <si>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</si>
  <si>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</si>
  <si>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</si>
  <si>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</si>
  <si>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</si>
  <si>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</si>
  <si>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</si>
  <si>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</si>
  <si>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</si>
  <si>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</si>
  <si>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</si>
  <si>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</si>
  <si>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</si>
  <si>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</si>
  <si>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</si>
  <si>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</si>
  <si>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</si>
  <si>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</si>
  <si>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</si>
  <si>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</si>
  <si>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</si>
  <si>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</si>
  <si>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</si>
  <si>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</si>
  <si>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</si>
  <si>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</si>
  <si>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</si>
  <si>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</si>
  <si>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</si>
  <si>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</si>
  <si>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</si>
  <si>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</si>
  <si>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</si>
  <si>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</si>
  <si>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</si>
  <si>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</si>
  <si>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</si>
  <si>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</si>
  <si>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</si>
  <si>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</si>
  <si>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</si>
  <si>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</si>
  <si>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</si>
  <si>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</si>
  <si>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</si>
  <si>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</si>
  <si>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</si>
  <si>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</si>
  <si>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</si>
  <si>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</si>
  <si>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</si>
  <si>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</si>
  <si>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</si>
  <si>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</si>
  <si>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</si>
  <si>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</si>
  <si>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</si>
  <si>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</si>
  <si>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</si>
  <si>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</si>
  <si>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</si>
  <si>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</si>
  <si>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</si>
  <si>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</si>
  <si>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</si>
  <si>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</si>
  <si>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</si>
  <si>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</si>
  <si>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</si>
  <si>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</si>
  <si>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</si>
  <si>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</si>
  <si>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</si>
  <si>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</si>
  <si>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</si>
  <si>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</si>
  <si>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</si>
  <si>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</si>
  <si>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</si>
  <si>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</si>
  <si>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</si>
  <si>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</si>
  <si>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</si>
  <si>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</si>
  <si>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</si>
  <si>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</si>
  <si>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</si>
  <si>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</si>
  <si>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</si>
  <si>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</si>
  <si>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</si>
  <si>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</si>
  <si>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</si>
  <si>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</si>
  <si>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</si>
  <si>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</si>
  <si>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</si>
  <si>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</si>
  <si>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</si>
  <si>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</si>
  <si>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</si>
  <si>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</si>
  <si>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</si>
  <si>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</si>
  <si>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</si>
  <si>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</si>
  <si>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</si>
  <si>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</si>
  <si>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</si>
  <si>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</si>
  <si>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</si>
  <si>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</si>
  <si>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</si>
  <si>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</si>
  <si>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</si>
  <si>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</si>
  <si>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</si>
  <si>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</si>
  <si>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</si>
  <si>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</si>
  <si>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</si>
  <si>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</si>
  <si>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</si>
  <si>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</si>
  <si>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</si>
  <si>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</si>
  <si>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</si>
  <si>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</si>
  <si>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</si>
  <si>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</si>
  <si>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</si>
  <si>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</si>
  <si>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</si>
  <si>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</si>
  <si>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</si>
  <si>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</si>
  <si>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</si>
  <si>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</si>
  <si>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</si>
  <si>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</si>
  <si>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</si>
  <si>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</si>
  <si>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</si>
  <si>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</si>
  <si>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</si>
  <si>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</si>
  <si>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</si>
  <si>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</si>
  <si>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</si>
  <si>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</si>
  <si>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</si>
  <si>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</si>
  <si>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</si>
  <si>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</si>
  <si>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</si>
  <si>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</si>
  <si>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</si>
  <si>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</si>
  <si>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</si>
  <si>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</si>
  <si>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</si>
  <si>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</si>
  <si>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</si>
  <si>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</si>
  <si>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</si>
  <si>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</si>
  <si>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</si>
  <si>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</si>
  <si>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</si>
  <si>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</si>
  <si>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</si>
  <si>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</si>
  <si>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</si>
  <si>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</si>
  <si>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</si>
  <si>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</si>
  <si>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</si>
  <si>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</si>
  <si>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</si>
  <si>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</si>
  <si>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</si>
  <si>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</si>
  <si>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</si>
  <si>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</si>
  <si>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</si>
  <si>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</si>
  <si>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</si>
  <si>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</si>
  <si>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</si>
  <si>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</si>
  <si>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</si>
  <si>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</si>
  <si>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</si>
  <si>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</si>
  <si>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</si>
  <si>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</si>
  <si>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</si>
  <si>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</si>
  <si>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</si>
  <si>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</si>
  <si>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</si>
  <si>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</si>
  <si>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</si>
  <si>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</si>
  <si>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</si>
  <si>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</si>
  <si>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</si>
  <si>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</si>
  <si>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</si>
  <si>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</si>
  <si>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</si>
  <si>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</si>
  <si>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</si>
  <si>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</si>
  <si>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</si>
  <si>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</si>
  <si>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</si>
  <si>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</si>
  <si>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</si>
  <si>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</si>
  <si>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</si>
  <si>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</si>
  <si>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</si>
  <si>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</si>
  <si>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</si>
  <si>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</si>
  <si>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</si>
  <si>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</si>
  <si>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</si>
  <si>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</si>
  <si>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</si>
  <si>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</si>
  <si>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</si>
  <si>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</si>
  <si>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</si>
  <si>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</si>
  <si>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</si>
  <si>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</si>
  <si>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</si>
  <si>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</si>
  <si>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</si>
  <si>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</si>
  <si>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</si>
  <si>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</si>
  <si>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</si>
  <si>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</si>
  <si>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</si>
  <si>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</si>
  <si>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</si>
  <si>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</si>
  <si>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</si>
  <si>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</si>
  <si>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</si>
  <si>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</si>
  <si>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</si>
  <si>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</si>
  <si>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</si>
  <si>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</si>
  <si>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</si>
  <si>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</si>
  <si>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</si>
  <si>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</si>
  <si>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</si>
  <si>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</si>
  <si>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</si>
  <si>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</si>
  <si>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</si>
  <si>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</si>
  <si>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</si>
  <si>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</si>
  <si>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</si>
  <si>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</si>
  <si>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</si>
  <si>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</si>
  <si>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</si>
  <si>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</si>
  <si>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</si>
  <si>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</si>
  <si>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</si>
  <si>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</si>
  <si>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</si>
  <si>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</si>
  <si>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</si>
  <si>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</si>
  <si>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</si>
  <si>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</si>
  <si>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</si>
  <si>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</si>
  <si>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</si>
  <si>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</si>
  <si>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</si>
  <si>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</si>
  <si>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</si>
  <si>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</si>
  <si>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</si>
  <si>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</si>
  <si>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</si>
  <si>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</si>
  <si>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</si>
  <si>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</si>
  <si>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</si>
  <si>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</si>
  <si>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</si>
  <si>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</si>
  <si>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</si>
  <si>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</si>
  <si>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</si>
  <si>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</si>
  <si>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</si>
  <si>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</si>
  <si>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</si>
  <si>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</si>
  <si>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</si>
  <si>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</si>
  <si>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</si>
  <si>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</si>
  <si>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</si>
  <si>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</si>
  <si>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</si>
  <si>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</si>
  <si>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</si>
  <si>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</si>
  <si>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</si>
  <si>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</si>
  <si>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</si>
  <si>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</si>
  <si>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</si>
  <si>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</si>
  <si>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</si>
  <si>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</si>
  <si>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</si>
  <si>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</si>
  <si>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</si>
  <si>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</si>
  <si>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</si>
  <si>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</si>
  <si>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</si>
  <si>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</si>
  <si>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</si>
  <si>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</si>
  <si>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</si>
  <si>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</si>
  <si>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</si>
  <si>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</si>
  <si>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</si>
  <si>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</si>
  <si>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</si>
  <si>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</si>
  <si>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</si>
  <si>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</si>
  <si>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</si>
  <si>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</si>
  <si>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</si>
  <si>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</si>
  <si>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</si>
  <si>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</si>
  <si>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</si>
  <si>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</si>
  <si>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</si>
  <si>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</si>
  <si>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</si>
  <si>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</si>
  <si>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</si>
  <si>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</si>
  <si>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</si>
  <si>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</si>
  <si>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</si>
  <si>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</si>
  <si>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</si>
  <si>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</si>
  <si>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</si>
  <si>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</si>
  <si>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</si>
  <si>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</si>
  <si>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</si>
  <si>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</si>
  <si>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</si>
  <si>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</si>
  <si>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</si>
  <si>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</si>
  <si>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</si>
  <si>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</si>
  <si>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</si>
  <si>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</si>
  <si>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</si>
  <si>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</si>
  <si>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</si>
  <si>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</si>
  <si>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</si>
  <si>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</si>
  <si>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</si>
  <si>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</si>
  <si>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</si>
  <si>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</si>
  <si>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</si>
  <si>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</si>
  <si>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</si>
  <si>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</si>
  <si>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</si>
  <si>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</si>
  <si>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</si>
  <si>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</si>
  <si>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</si>
  <si>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</si>
  <si>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</si>
  <si>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</si>
  <si>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</si>
  <si>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</si>
  <si>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</si>
  <si>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</si>
  <si>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</si>
  <si>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</si>
  <si>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</si>
  <si>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</si>
  <si>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</si>
  <si>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</si>
  <si>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</si>
  <si>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</si>
  <si>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</si>
  <si>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</si>
  <si>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</si>
  <si>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</si>
  <si>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</si>
  <si>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</si>
  <si>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</si>
  <si>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</si>
  <si>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</si>
  <si>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</si>
  <si>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</si>
  <si>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</si>
  <si>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</si>
  <si>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</si>
  <si>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</si>
  <si>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</si>
  <si>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</si>
  <si>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</si>
  <si>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</si>
  <si>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</si>
  <si>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</si>
  <si>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</si>
  <si>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</si>
  <si>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</si>
  <si>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</si>
  <si>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</si>
  <si>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</si>
  <si>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</si>
  <si>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</si>
  <si>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</si>
  <si>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</si>
  <si>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</si>
  <si>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</si>
  <si>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</si>
  <si>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</si>
  <si>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</si>
  <si>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</si>
  <si>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</si>
  <si>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</si>
  <si>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</si>
  <si>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</si>
  <si>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</si>
  <si>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</si>
  <si>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</si>
  <si>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</si>
  <si>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</si>
  <si>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</si>
  <si>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</si>
  <si>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</si>
  <si>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</si>
  <si>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</si>
  <si>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</si>
  <si>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</si>
  <si>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</si>
  <si>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</si>
  <si>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</si>
  <si>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</si>
  <si>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</si>
  <si>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</si>
  <si>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</si>
  <si>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</si>
  <si>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</si>
  <si>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</si>
  <si>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</si>
  <si>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</si>
  <si>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</si>
  <si>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</si>
  <si>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</si>
  <si>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</si>
  <si>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</si>
  <si>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</si>
  <si>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</si>
  <si>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</si>
  <si>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</si>
  <si>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</si>
  <si>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</si>
  <si>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</si>
  <si>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</si>
  <si>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</si>
  <si>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</si>
  <si>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</si>
  <si>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</si>
  <si>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</si>
  <si>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</si>
  <si>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</si>
  <si>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</si>
  <si>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</si>
  <si>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</si>
  <si>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</si>
  <si>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</si>
  <si>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</si>
  <si>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</si>
  <si>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</si>
  <si>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</si>
  <si>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</si>
  <si>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</si>
  <si>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</si>
  <si>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</si>
  <si>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</si>
  <si>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</si>
  <si>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</si>
  <si>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</si>
  <si>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</si>
  <si>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</si>
  <si>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</si>
  <si>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</si>
  <si>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</si>
  <si>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</si>
  <si>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</si>
  <si>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</si>
  <si>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</si>
  <si>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</si>
  <si>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</si>
  <si>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</si>
  <si>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</si>
  <si>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</si>
  <si>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</si>
  <si>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</si>
  <si>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</si>
  <si>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</si>
  <si>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</si>
  <si>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</si>
  <si>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</si>
  <si>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</si>
  <si>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</si>
  <si>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</si>
  <si>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</si>
  <si>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</si>
  <si>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</si>
  <si>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</si>
  <si>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</si>
  <si>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</si>
  <si>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</si>
  <si>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</si>
  <si>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</si>
  <si>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</si>
  <si>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</si>
  <si>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</si>
  <si>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</si>
  <si>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</si>
  <si>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</si>
  <si>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</si>
  <si>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</si>
  <si>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</si>
  <si>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</si>
  <si>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</si>
  <si>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</si>
  <si>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</si>
  <si>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</si>
  <si>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</si>
  <si>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</si>
  <si>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</si>
  <si>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</si>
  <si>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</si>
  <si>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</si>
  <si>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</si>
  <si>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</si>
  <si>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</si>
  <si>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</si>
  <si>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</si>
  <si>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</si>
  <si>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</si>
  <si>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</si>
  <si>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</si>
  <si>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</si>
  <si>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</si>
  <si>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</si>
  <si>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</si>
  <si>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</si>
  <si>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</si>
  <si>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</si>
  <si>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</si>
  <si>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</si>
  <si>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</si>
  <si>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</si>
  <si>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</si>
  <si>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</si>
  <si>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</si>
  <si>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</si>
  <si>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</si>
  <si>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</si>
  <si>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</si>
  <si>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</si>
  <si>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</si>
  <si>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</si>
  <si>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</si>
  <si>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</si>
  <si>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</si>
  <si>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</si>
  <si>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</si>
  <si>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</si>
  <si>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</si>
  <si>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</si>
  <si>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</si>
  <si>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</si>
  <si>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</si>
  <si>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</si>
  <si>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</si>
  <si>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</si>
  <si>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</si>
  <si>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</si>
  <si>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</si>
  <si>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</si>
  <si>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</si>
  <si>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</si>
  <si>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</si>
  <si>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</si>
  <si>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</si>
  <si>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</si>
  <si>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</si>
  <si>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</si>
  <si>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</si>
  <si>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</si>
  <si>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</si>
  <si>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</si>
  <si>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</si>
  <si>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</si>
  <si>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</si>
  <si>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</si>
  <si>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</si>
  <si>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</si>
  <si>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</si>
  <si>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</si>
  <si>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</si>
  <si>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</si>
  <si>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</si>
  <si>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</si>
  <si>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</si>
  <si>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</si>
  <si>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</si>
  <si>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</si>
  <si>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</si>
  <si>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</si>
  <si>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</si>
  <si>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</si>
  <si>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</si>
  <si>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</si>
  <si>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</si>
  <si>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</si>
  <si>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</si>
  <si>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</si>
  <si>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</si>
  <si>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</si>
  <si>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</si>
  <si>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</si>
  <si>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</si>
  <si>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</si>
  <si>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</si>
  <si>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</si>
  <si>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</si>
  <si>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</si>
  <si>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</si>
  <si>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</si>
  <si>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</si>
  <si>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</si>
  <si>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</si>
  <si>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</si>
  <si>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</si>
  <si>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</si>
  <si>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</si>
  <si>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</si>
  <si>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</si>
  <si>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</si>
  <si>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</si>
  <si>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</si>
  <si>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</si>
  <si>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</si>
  <si>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</si>
  <si>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</si>
  <si>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</si>
  <si>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</si>
  <si>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</si>
  <si>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</si>
  <si>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</si>
  <si>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</si>
  <si>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</si>
  <si>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</si>
  <si>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</si>
  <si>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</si>
  <si>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</si>
  <si>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</si>
  <si>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</si>
  <si>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</si>
  <si>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</si>
  <si>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</si>
  <si>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</si>
  <si>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</si>
  <si>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</si>
  <si>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</si>
  <si>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</si>
  <si>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</si>
  <si>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</si>
  <si>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</si>
  <si>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</si>
  <si>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</si>
  <si>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</si>
  <si>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</si>
  <si>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</si>
  <si>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</si>
  <si>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</si>
  <si>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</si>
  <si>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</si>
  <si>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</si>
  <si>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</si>
  <si>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</si>
  <si>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</si>
  <si>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</si>
  <si>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</si>
  <si>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</si>
  <si>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</si>
  <si>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</si>
  <si>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</si>
  <si>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</si>
  <si>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</si>
  <si>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</si>
  <si>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</si>
  <si>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</si>
  <si>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</si>
  <si>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</si>
  <si>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</si>
  <si>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</si>
  <si>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</si>
  <si>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</si>
  <si>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</si>
  <si>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</si>
  <si>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</si>
  <si>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</si>
  <si>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</si>
  <si>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</si>
  <si>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</si>
  <si>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</si>
  <si>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</si>
  <si>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</si>
  <si>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</si>
  <si>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</si>
  <si>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</si>
  <si>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</si>
  <si>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</si>
  <si>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</si>
  <si>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</si>
  <si>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</si>
  <si>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</si>
  <si>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</si>
  <si>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</si>
  <si>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</si>
  <si>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</si>
  <si>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</si>
  <si>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</si>
  <si>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</si>
  <si>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</si>
  <si>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</si>
  <si>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</si>
  <si>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</si>
  <si>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</si>
  <si>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</si>
  <si>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</si>
  <si>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</si>
  <si>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</si>
  <si>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</si>
  <si>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</si>
  <si>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</si>
  <si>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</si>
  <si>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</si>
  <si>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</si>
  <si>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</si>
  <si>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</si>
  <si>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</si>
  <si>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</si>
  <si>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</si>
  <si>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</si>
  <si>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</si>
  <si>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</si>
  <si>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</si>
  <si>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</si>
  <si>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</si>
  <si>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</si>
  <si>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</si>
  <si>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</si>
  <si>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</si>
  <si>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</si>
  <si>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</si>
  <si>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</si>
  <si>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</si>
  <si>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</si>
  <si>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</si>
  <si>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</si>
  <si>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</si>
  <si>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</si>
  <si>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</si>
  <si>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</si>
  <si>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</si>
  <si>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</si>
  <si>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</si>
  <si>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</si>
  <si>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</si>
  <si>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</si>
  <si>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</si>
  <si>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</si>
  <si>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</si>
  <si>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</si>
  <si>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</si>
  <si>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</si>
  <si>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</si>
  <si>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</si>
  <si>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</si>
  <si>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</si>
  <si>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</si>
  <si>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</si>
  <si>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</si>
  <si>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</si>
  <si>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</si>
  <si>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</si>
  <si>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</si>
  <si>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</si>
  <si>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</si>
  <si>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</si>
  <si>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</si>
  <si>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</si>
  <si>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</si>
  <si>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</si>
  <si>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</si>
  <si>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</si>
  <si>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</si>
  <si>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</si>
  <si>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</si>
  <si>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</si>
  <si>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</si>
  <si>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</si>
  <si>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</si>
  <si>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</si>
  <si>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</si>
  <si>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</si>
  <si>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</si>
  <si>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</si>
  <si>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</si>
  <si>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</si>
  <si>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</si>
  <si>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</si>
  <si>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</si>
  <si>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</si>
  <si>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</si>
  <si>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</si>
  <si>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</si>
  <si>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</si>
  <si>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</si>
  <si>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</si>
  <si>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</si>
  <si>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</si>
  <si>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</si>
  <si>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</si>
  <si>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</si>
  <si>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</si>
  <si>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</si>
  <si>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</si>
  <si>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</si>
  <si>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</si>
  <si>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</si>
  <si>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</si>
  <si>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</si>
  <si>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</si>
  <si>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</si>
  <si>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</si>
  <si>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</si>
  <si>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</si>
  <si>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</si>
  <si>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</si>
  <si>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</si>
  <si>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</si>
  <si>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</si>
  <si>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</si>
  <si>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</si>
  <si>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</si>
  <si>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</si>
  <si>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</si>
  <si>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</si>
  <si>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</si>
  <si>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</si>
  <si>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</si>
  <si>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</si>
  <si>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</si>
  <si>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</si>
  <si>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</si>
  <si>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</si>
  <si>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</si>
  <si>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</si>
  <si>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</si>
  <si>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</si>
  <si>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</si>
  <si>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</si>
  <si>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</si>
  <si>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</si>
  <si>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</si>
  <si>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</si>
  <si>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</si>
  <si>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</si>
  <si>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</si>
  <si>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</si>
  <si>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</si>
  <si>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</si>
  <si>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</si>
  <si>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</si>
  <si>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</si>
  <si>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</si>
  <si>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</si>
  <si>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</si>
  <si>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</si>
  <si>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</si>
  <si>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</si>
  <si>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</si>
  <si>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</si>
  <si>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</si>
  <si>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</si>
  <si>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</si>
  <si>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</si>
  <si>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</si>
  <si>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</si>
  <si>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</si>
  <si>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</si>
  <si>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</si>
  <si>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</si>
  <si>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</si>
  <si>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</si>
  <si>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</si>
  <si>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</si>
  <si>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</si>
  <si>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</si>
  <si>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</si>
  <si>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</si>
  <si>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</si>
  <si>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</si>
  <si>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</si>
  <si>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</si>
  <si>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</si>
  <si>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</si>
  <si>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</si>
  <si>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</si>
  <si>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</si>
  <si>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</si>
  <si>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</si>
  <si>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</si>
  <si>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</si>
  <si>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</si>
  <si>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</si>
  <si>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</si>
  <si>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</si>
  <si>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</si>
  <si>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</si>
  <si>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</si>
  <si>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</si>
  <si>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</si>
  <si>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</si>
  <si>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</si>
  <si>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</si>
  <si>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</si>
  <si>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</si>
  <si>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</si>
  <si>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</si>
  <si>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</si>
  <si>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</si>
  <si>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</si>
  <si>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</si>
  <si>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</si>
  <si>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</si>
  <si>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</si>
  <si>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</si>
  <si>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</si>
  <si>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</si>
  <si>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</si>
  <si>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</si>
  <si>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</si>
  <si>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</si>
  <si>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</si>
  <si>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</si>
  <si>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</si>
  <si>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</si>
  <si>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</si>
  <si>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</si>
  <si>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</si>
  <si>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</si>
  <si>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</si>
  <si>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</si>
  <si>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</si>
  <si>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</si>
  <si>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</si>
  <si>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</si>
  <si>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</si>
  <si>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</si>
  <si>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</si>
  <si>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</si>
  <si>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</si>
  <si>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</si>
  <si>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</si>
  <si>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</si>
  <si>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</si>
  <si>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</si>
  <si>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</si>
  <si>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</si>
  <si>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</si>
  <si>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</si>
  <si>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</si>
  <si>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</si>
  <si>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</si>
  <si>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</si>
  <si>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</si>
  <si>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</si>
  <si>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</si>
  <si>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</si>
  <si>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</si>
  <si>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</si>
  <si>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</si>
  <si>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</si>
  <si>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</si>
  <si>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</si>
  <si>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</si>
  <si>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</si>
  <si>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</si>
  <si>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</si>
  <si>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</si>
  <si>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</si>
  <si>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</si>
  <si>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</si>
  <si>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</si>
  <si>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</si>
  <si>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</si>
  <si>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</si>
  <si>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</si>
  <si>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</si>
  <si>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</si>
  <si>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</si>
  <si>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</si>
  <si>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</si>
  <si>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</si>
  <si>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</si>
  <si>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</si>
  <si>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</si>
  <si>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</si>
  <si>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</si>
  <si>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</si>
  <si>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</si>
  <si>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</si>
  <si>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</si>
  <si>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</si>
  <si>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</si>
  <si>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</si>
  <si>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</si>
  <si>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</si>
  <si>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</si>
  <si>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</si>
  <si>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</si>
  <si>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</si>
  <si>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</si>
  <si>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</si>
  <si>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</si>
  <si>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</si>
  <si>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</si>
  <si>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</si>
  <si>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</si>
  <si>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</si>
  <si>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</si>
  <si>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</si>
  <si>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</si>
  <si>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</si>
  <si>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</si>
  <si>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</si>
  <si>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</si>
  <si>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</si>
  <si>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</si>
  <si>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</si>
  <si>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</si>
  <si>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</si>
  <si>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</si>
  <si>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</si>
  <si>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</si>
  <si>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</si>
  <si>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</si>
  <si>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</si>
  <si>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</si>
  <si>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</si>
  <si>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</si>
  <si>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</si>
  <si>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</si>
  <si>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</si>
  <si>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</si>
  <si>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</si>
  <si>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</si>
  <si>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</si>
  <si>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</si>
  <si>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</si>
  <si>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</si>
  <si>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</si>
  <si>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</si>
  <si>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</si>
  <si>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</si>
  <si>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</si>
  <si>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</si>
  <si>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</si>
  <si>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</si>
  <si>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</si>
  <si>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</si>
  <si>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</si>
  <si>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</si>
  <si>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</si>
  <si>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</si>
  <si>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</si>
  <si>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</si>
  <si>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</si>
  <si>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</si>
  <si>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</si>
  <si>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</si>
  <si>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</si>
  <si>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</si>
  <si>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</si>
  <si>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</si>
  <si>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</si>
  <si>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</si>
  <si>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</si>
  <si>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</si>
  <si>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</si>
  <si>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</si>
  <si>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</si>
  <si>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</si>
  <si>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</si>
  <si>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</si>
  <si>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</si>
  <si>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</si>
  <si>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</si>
  <si>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</si>
  <si>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</si>
  <si>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</si>
  <si>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</si>
  <si>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</si>
  <si>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</si>
  <si>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</si>
  <si>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</si>
  <si>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</si>
  <si>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</si>
  <si>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</si>
  <si>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</si>
  <si>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</si>
  <si>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</si>
  <si>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</si>
  <si>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</si>
  <si>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</si>
  <si>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</si>
  <si>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</si>
  <si>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</si>
  <si>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</si>
  <si>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</si>
  <si>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</si>
  <si>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</si>
  <si>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</si>
  <si>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</si>
  <si>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</si>
  <si>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</si>
  <si>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</si>
  <si>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</si>
  <si>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</si>
  <si>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</si>
  <si>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</si>
  <si>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</si>
  <si>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</si>
  <si>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</si>
  <si>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</si>
  <si>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</si>
  <si>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</si>
  <si>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</si>
  <si>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</si>
  <si>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</si>
  <si>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</si>
  <si>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</si>
  <si>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</si>
  <si>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</si>
  <si>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</si>
  <si>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</si>
  <si>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</si>
  <si>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</si>
  <si>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</si>
  <si>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</si>
  <si>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</si>
  <si>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</si>
  <si>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</si>
  <si>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</si>
  <si>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</si>
  <si>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</si>
  <si>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</si>
  <si>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</si>
  <si>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</si>
  <si>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</si>
  <si>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</si>
  <si>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</si>
  <si>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</si>
  <si>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</si>
  <si>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</si>
  <si>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</si>
  <si>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</si>
  <si>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</si>
  <si>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</si>
  <si>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</si>
  <si>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</si>
  <si>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</si>
  <si>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</si>
  <si>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</si>
  <si>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</si>
  <si>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</si>
  <si>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</si>
  <si>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</si>
  <si>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</si>
  <si>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</si>
  <si>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</si>
  <si>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</si>
  <si>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</si>
  <si>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</si>
  <si>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</si>
  <si>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</si>
  <si>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</si>
  <si>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</si>
  <si>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</si>
  <si>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</si>
  <si>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</si>
  <si>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</si>
  <si>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</si>
  <si>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</si>
  <si>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</si>
  <si>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</si>
  <si>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</si>
  <si>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</si>
  <si>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</si>
  <si>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</si>
  <si>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</si>
  <si>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</si>
  <si>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</si>
  <si>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</si>
  <si>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</si>
  <si>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</si>
  <si>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</si>
  <si>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</si>
  <si>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</si>
  <si>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</si>
  <si>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</si>
  <si>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</si>
  <si>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</si>
  <si>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</si>
  <si>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</si>
  <si>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</si>
  <si>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</si>
  <si>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</si>
  <si>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</si>
  <si>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</si>
  <si>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</si>
  <si>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</si>
  <si>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</si>
  <si>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</si>
  <si>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</si>
  <si>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</si>
  <si>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</si>
  <si>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</si>
  <si>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</si>
  <si>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</si>
  <si>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</si>
  <si>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</si>
  <si>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</si>
  <si>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</si>
  <si>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</si>
  <si>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</si>
  <si>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</si>
  <si>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</si>
  <si>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</si>
  <si>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</si>
  <si>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</si>
  <si>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</si>
  <si>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</si>
  <si>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</si>
  <si>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</si>
  <si>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</si>
  <si>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</si>
  <si>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</si>
  <si>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</si>
  <si>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</si>
  <si>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</si>
  <si>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</si>
  <si>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</si>
  <si>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</si>
  <si>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</si>
  <si>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</si>
  <si>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</si>
  <si>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</si>
  <si>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</si>
  <si>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</si>
  <si>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</si>
  <si>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</si>
  <si>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</si>
  <si>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</si>
  <si>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</si>
  <si>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</si>
  <si>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</si>
  <si>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</si>
  <si>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</si>
  <si>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</si>
  <si>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</si>
  <si>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</si>
  <si>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</si>
  <si>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</si>
  <si>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</si>
  <si>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</si>
  <si>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</si>
  <si>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</si>
  <si>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</si>
  <si>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</si>
  <si>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</si>
  <si>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</si>
  <si>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</si>
  <si>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</si>
  <si>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</si>
  <si>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</si>
  <si>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</si>
  <si>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</si>
  <si>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</si>
  <si>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</si>
  <si>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</si>
  <si>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</si>
  <si>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</si>
  <si>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</si>
  <si>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</si>
  <si>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</si>
  <si>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</si>
  <si>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</si>
  <si>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</si>
  <si>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</si>
  <si>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</si>
  <si>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</si>
  <si>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</si>
  <si>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</si>
  <si>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</si>
  <si>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</si>
  <si>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</si>
  <si>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</si>
  <si>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</si>
  <si>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</si>
  <si>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</si>
  <si>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</si>
  <si>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</si>
  <si>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</si>
  <si>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</si>
  <si>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</si>
  <si>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</si>
  <si>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</si>
  <si>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</si>
  <si>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</si>
  <si>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</si>
  <si>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</si>
  <si>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</si>
  <si>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</si>
  <si>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</si>
  <si>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</si>
  <si>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</si>
  <si>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</si>
  <si>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</si>
  <si>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</si>
  <si>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</si>
  <si>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</si>
  <si>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</si>
  <si>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</si>
  <si>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</si>
  <si>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</si>
  <si>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</si>
  <si>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</si>
  <si>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</si>
  <si>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</si>
  <si>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</si>
  <si>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</si>
  <si>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</si>
  <si>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</si>
  <si>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</si>
  <si>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</si>
  <si>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</si>
  <si>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</si>
  <si>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</si>
  <si>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</si>
  <si>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</si>
  <si>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</si>
  <si>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</si>
  <si>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</si>
  <si>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</si>
  <si>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</si>
  <si>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</si>
  <si>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</si>
  <si>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</si>
  <si>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</si>
  <si>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</si>
  <si>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</si>
  <si>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</si>
  <si>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</si>
  <si>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</si>
  <si>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</si>
  <si>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</si>
  <si>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</si>
  <si>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</si>
  <si>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</si>
  <si>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</si>
  <si>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</si>
  <si>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</si>
  <si>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</si>
  <si>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</si>
  <si>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</si>
  <si>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</si>
  <si>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</si>
  <si>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</si>
  <si>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</si>
  <si>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</si>
  <si>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</si>
  <si>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</si>
  <si>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</si>
  <si>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</si>
  <si>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</si>
  <si>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</si>
  <si>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</si>
  <si>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</si>
  <si>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</si>
  <si>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</si>
  <si>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</si>
  <si>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</si>
  <si>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</si>
  <si>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</si>
  <si>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</si>
  <si>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</si>
  <si>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</si>
  <si>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</si>
  <si>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</si>
  <si>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</si>
  <si>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</si>
  <si>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</si>
  <si>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</si>
  <si>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</si>
  <si>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</si>
  <si>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</si>
  <si>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</si>
  <si>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</si>
  <si>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</si>
  <si>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</si>
  <si>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</si>
  <si>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</si>
  <si>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</si>
  <si>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</si>
  <si>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</si>
  <si>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</si>
  <si>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</si>
  <si>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</si>
  <si>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</si>
  <si>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</si>
  <si>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</si>
  <si>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</si>
  <si>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</si>
  <si>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</si>
  <si>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</si>
  <si>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</si>
  <si>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</si>
  <si>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</si>
  <si>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</si>
  <si>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</si>
  <si>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</si>
  <si>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</si>
  <si>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</si>
  <si>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</si>
  <si>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</si>
  <si>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</si>
  <si>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</si>
  <si>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</si>
  <si>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</si>
  <si>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</si>
  <si>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</si>
  <si>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</si>
  <si>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</si>
  <si>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</si>
  <si>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</si>
  <si>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</si>
  <si>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</si>
  <si>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</si>
  <si>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</si>
  <si>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</si>
  <si>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</si>
  <si>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</si>
  <si>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</si>
  <si>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</si>
  <si>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</si>
  <si>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</si>
  <si>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</si>
  <si>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</si>
  <si>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</si>
  <si>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</si>
  <si>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</si>
  <si>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</si>
  <si>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</si>
  <si>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</si>
  <si>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</si>
  <si>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</si>
  <si>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</si>
  <si>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</si>
  <si>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</si>
  <si>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</si>
  <si>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</si>
  <si>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</si>
  <si>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</si>
  <si>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</si>
  <si>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</si>
  <si>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</si>
  <si>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</si>
  <si>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</si>
  <si>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</si>
  <si>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</si>
  <si>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</si>
  <si>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</si>
  <si>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</si>
  <si>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</si>
  <si>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</si>
  <si>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</si>
  <si>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</si>
  <si>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</si>
  <si>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</si>
  <si>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</si>
  <si>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</si>
  <si>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</si>
  <si>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</si>
  <si>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</si>
  <si>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</si>
  <si>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</si>
  <si>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</si>
  <si>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</si>
  <si>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</si>
  <si>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</si>
  <si>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</si>
  <si>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</si>
  <si>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</si>
  <si>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</si>
  <si>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</si>
  <si>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</si>
  <si>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</si>
  <si>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</si>
  <si>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</si>
  <si>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</si>
  <si>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</si>
  <si>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</si>
  <si>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</si>
  <si>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</si>
  <si>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</si>
  <si>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</si>
  <si>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</si>
  <si>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</si>
  <si>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</si>
  <si>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</si>
  <si>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</si>
  <si>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</si>
  <si>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</si>
  <si>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</si>
  <si>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</si>
  <si>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</si>
  <si>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</si>
  <si>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</si>
  <si>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</si>
  <si>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</si>
  <si>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</si>
  <si>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</si>
  <si>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</si>
  <si>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</si>
  <si>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</si>
  <si>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</si>
  <si>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</si>
  <si>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</si>
  <si>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</si>
  <si>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</si>
  <si>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</si>
  <si>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</si>
  <si>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</si>
  <si>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</si>
  <si>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</si>
  <si>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</si>
  <si>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</si>
  <si>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</si>
  <si>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</si>
  <si>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</si>
  <si>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</si>
  <si>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</si>
  <si>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</si>
  <si>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</si>
  <si>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</si>
  <si>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</si>
  <si>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</si>
  <si>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</si>
  <si>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</si>
  <si>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</si>
  <si>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</si>
  <si>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</si>
  <si>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</si>
  <si>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</si>
  <si>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</si>
  <si>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</si>
  <si>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</si>
  <si>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</si>
  <si>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</si>
  <si>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</si>
  <si>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</si>
  <si>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</si>
  <si>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</si>
  <si>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</si>
  <si>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</si>
  <si>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</si>
  <si>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</si>
  <si>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</si>
  <si>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</si>
  <si>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</si>
  <si>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</si>
  <si>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</si>
  <si>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</si>
  <si>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</si>
  <si>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</si>
  <si>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</si>
  <si>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</si>
  <si>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</si>
  <si>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</si>
  <si>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</si>
  <si>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</si>
  <si>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</si>
  <si>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</si>
  <si>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</si>
  <si>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</si>
  <si>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</si>
  <si>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</si>
  <si>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</si>
  <si>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</si>
  <si>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</si>
  <si>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</si>
  <si>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</si>
  <si>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</si>
  <si>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</si>
  <si>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</si>
  <si>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</si>
  <si>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</si>
  <si>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</si>
  <si>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</si>
  <si>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</si>
  <si>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</si>
  <si>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</si>
  <si>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</si>
  <si>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</si>
  <si>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</si>
  <si>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</si>
  <si>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</si>
  <si>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</si>
  <si>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</si>
  <si>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</si>
  <si>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</si>
  <si>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</si>
  <si>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</si>
  <si>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</si>
  <si>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</si>
  <si>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</si>
  <si>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</si>
  <si>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</si>
  <si>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</si>
  <si>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</si>
  <si>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</si>
  <si>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</si>
  <si>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</si>
  <si>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</si>
  <si>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</si>
  <si>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</si>
  <si>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</si>
  <si>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</si>
  <si>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</si>
  <si>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</si>
  <si>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</si>
  <si>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</si>
  <si>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</si>
  <si>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</si>
  <si>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</si>
  <si>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</si>
  <si>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</si>
  <si>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</si>
  <si>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</si>
  <si>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</si>
  <si>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</si>
  <si>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</si>
  <si>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</si>
  <si>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</si>
  <si>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</si>
  <si>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</si>
  <si>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</si>
  <si>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</si>
  <si>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</si>
  <si>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</si>
  <si>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</si>
  <si>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</si>
  <si>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</si>
  <si>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</si>
  <si>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</si>
  <si>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</si>
  <si>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</si>
  <si>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</si>
  <si>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</si>
  <si>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</si>
  <si>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</si>
  <si>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</si>
  <si>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</si>
  <si>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</si>
  <si>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</si>
  <si>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</si>
  <si>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</si>
  <si>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</si>
  <si>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</si>
  <si>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</si>
  <si>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</si>
  <si>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</si>
  <si>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</si>
  <si>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</si>
  <si>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</si>
  <si>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</si>
  <si>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</si>
  <si>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</si>
  <si>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</si>
  <si>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</si>
  <si>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</si>
  <si>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</si>
  <si>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</si>
  <si>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</si>
  <si>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</si>
  <si>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</si>
  <si>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</si>
  <si>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</si>
  <si>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</si>
  <si>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</si>
  <si>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</si>
  <si>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</si>
  <si>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</si>
  <si>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</si>
  <si>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</si>
  <si>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</si>
  <si>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</si>
  <si>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</si>
  <si>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</si>
  <si>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</si>
  <si>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</si>
  <si>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</si>
  <si>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</si>
  <si>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</si>
  <si>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</si>
  <si>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</si>
  <si>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</si>
  <si>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</si>
  <si>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</si>
  <si>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</si>
  <si>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</si>
  <si>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</si>
  <si>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</si>
  <si>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</si>
  <si>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</si>
  <si>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</si>
  <si>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</si>
  <si>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</si>
  <si>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</si>
  <si>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</si>
  <si>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</si>
  <si>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</si>
  <si>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</si>
  <si>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</si>
  <si>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</si>
  <si>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</si>
  <si>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</si>
  <si>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</si>
  <si>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</si>
  <si>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</si>
  <si>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</si>
  <si>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</si>
  <si>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</si>
  <si>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</si>
  <si>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</si>
  <si>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</si>
  <si>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</si>
  <si>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</si>
  <si>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</si>
  <si>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</si>
  <si>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</si>
  <si>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</si>
  <si>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</si>
  <si>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</si>
  <si>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</si>
  <si>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</si>
  <si>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</si>
  <si>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</si>
  <si>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</si>
  <si>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</si>
  <si>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</si>
  <si>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</si>
  <si>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</si>
  <si>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</si>
  <si>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</si>
  <si>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</si>
  <si>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</si>
  <si>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</si>
  <si>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</si>
  <si>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</si>
  <si>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</si>
  <si>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</si>
  <si>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</si>
  <si>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</si>
  <si>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</si>
  <si>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</si>
  <si>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</si>
  <si>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</si>
  <si>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</si>
  <si>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</si>
  <si>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</si>
  <si>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</si>
  <si>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</si>
  <si>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</si>
  <si>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</si>
  <si>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</si>
  <si>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</si>
  <si>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</si>
  <si>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</si>
  <si>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</si>
  <si>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</si>
  <si>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</si>
  <si>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</si>
  <si>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</si>
  <si>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</si>
  <si>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</si>
  <si>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</si>
  <si>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</si>
  <si>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</si>
  <si>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</si>
  <si>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</si>
  <si>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</si>
  <si>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</si>
  <si>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</si>
  <si>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</si>
  <si>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</si>
  <si>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</si>
  <si>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</si>
  <si>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</si>
  <si>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</si>
  <si>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</si>
  <si>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</si>
  <si>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</si>
  <si>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</si>
  <si>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</si>
  <si>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</si>
  <si>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</si>
  <si>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</si>
  <si>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</si>
  <si>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</si>
  <si>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</si>
  <si>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</si>
  <si>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</si>
  <si>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</si>
  <si>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</si>
  <si>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</si>
  <si>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</si>
  <si>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</si>
  <si>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</si>
  <si>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</si>
  <si>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</si>
  <si>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</si>
  <si>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</si>
  <si>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</si>
  <si>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</si>
  <si>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</si>
  <si>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</si>
  <si>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</si>
  <si>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</si>
  <si>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</si>
  <si>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</si>
  <si>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</si>
  <si>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</si>
  <si>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</si>
  <si>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</si>
  <si>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</si>
  <si>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</si>
  <si>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</si>
  <si>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</si>
  <si>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</si>
  <si>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</si>
  <si>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</si>
  <si>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</si>
  <si>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</si>
  <si>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</si>
  <si>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</si>
  <si>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</si>
  <si>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</si>
  <si>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</si>
  <si>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</si>
  <si>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</si>
  <si>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</si>
  <si>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</si>
  <si>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</si>
  <si>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</si>
  <si>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</si>
  <si>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</si>
  <si>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</si>
  <si>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</si>
  <si>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</si>
  <si>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</si>
  <si>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</si>
  <si>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</si>
  <si>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</si>
  <si>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</si>
  <si>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</si>
  <si>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</si>
  <si>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</si>
  <si>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</si>
  <si>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</si>
  <si>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</si>
  <si>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</si>
  <si>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</si>
  <si>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</si>
  <si>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</si>
  <si>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</si>
  <si>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</si>
  <si>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</si>
  <si>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</si>
  <si>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</si>
  <si>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</si>
  <si>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</si>
  <si>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</si>
  <si>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</si>
  <si>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</si>
  <si>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</si>
  <si>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</si>
  <si>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</si>
  <si>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</si>
  <si>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</si>
  <si>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</si>
  <si>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</si>
  <si>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</si>
  <si>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</si>
  <si>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</si>
  <si>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</si>
  <si>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</si>
  <si>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</si>
  <si>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</si>
  <si>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</si>
  <si>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</si>
  <si>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</si>
  <si>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</si>
  <si>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</si>
  <si>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</si>
  <si>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</si>
  <si>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</si>
  <si>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</si>
  <si>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</si>
  <si>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</si>
  <si>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</si>
  <si>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</si>
  <si>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</si>
  <si>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</si>
  <si>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</si>
  <si>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</si>
  <si>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</si>
  <si>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</si>
  <si>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</si>
  <si>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</si>
  <si>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</si>
  <si>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</si>
  <si>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</si>
  <si>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</si>
  <si>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</si>
  <si>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</si>
  <si>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</si>
  <si>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</si>
  <si>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</si>
  <si>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</si>
  <si>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</si>
  <si>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</si>
  <si>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</si>
  <si>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</si>
  <si>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</si>
  <si>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</si>
  <si>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</si>
  <si>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</si>
  <si>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</si>
  <si>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</si>
  <si>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</si>
  <si>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</si>
  <si>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</si>
  <si>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</si>
  <si>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</si>
  <si>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</si>
  <si>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</si>
  <si>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</si>
  <si>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</si>
  <si>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</si>
  <si>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</si>
  <si>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</si>
  <si>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</si>
  <si>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</si>
  <si>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</si>
  <si>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</si>
  <si>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</si>
  <si>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</si>
  <si>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</si>
  <si>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</si>
  <si>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</si>
  <si>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</si>
  <si>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</si>
  <si>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</si>
  <si>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</si>
  <si>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</si>
  <si>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</si>
  <si>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</si>
  <si>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</si>
  <si>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</si>
  <si>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</si>
  <si>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</si>
  <si>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</si>
  <si>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</si>
  <si>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</si>
  <si>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</si>
  <si>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</si>
  <si>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</si>
  <si>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</si>
  <si>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</si>
  <si>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</si>
  <si>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</si>
  <si>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</si>
  <si>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</si>
  <si>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</si>
  <si>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</si>
  <si>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</si>
  <si>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</si>
  <si>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</si>
  <si>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</si>
  <si>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</si>
  <si>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</si>
  <si>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</si>
  <si>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</si>
  <si>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</si>
  <si>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</si>
  <si>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</si>
  <si>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</si>
  <si>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</si>
  <si>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</si>
  <si>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</si>
  <si>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</si>
  <si>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</si>
  <si>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</si>
  <si>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</si>
  <si>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</si>
  <si>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</si>
  <si>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</si>
  <si>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</si>
  <si>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</si>
  <si>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</si>
  <si>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</si>
  <si>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</si>
  <si>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</si>
  <si>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</si>
  <si>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</si>
  <si>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</si>
  <si>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</si>
  <si>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</si>
  <si>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</si>
  <si>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</si>
  <si>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</si>
  <si>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</si>
  <si>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</si>
  <si>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</si>
  <si>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</si>
  <si>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</si>
  <si>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</si>
  <si>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</si>
  <si>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</si>
  <si>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</si>
  <si>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</si>
  <si>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</si>
  <si>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</si>
  <si>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</si>
  <si>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</si>
  <si>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</si>
  <si>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</si>
  <si>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</si>
  <si>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</si>
  <si>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</si>
  <si>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</si>
  <si>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</si>
  <si>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</si>
  <si>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</si>
  <si>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</si>
  <si>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</si>
  <si>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</si>
  <si>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</si>
  <si>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</si>
  <si>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</si>
  <si>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</si>
  <si>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</si>
  <si>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</si>
  <si>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</si>
  <si>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</si>
  <si>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</si>
  <si>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</si>
  <si>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</si>
  <si>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</si>
  <si>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</si>
  <si>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</si>
  <si>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</si>
  <si>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</si>
  <si>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</si>
  <si>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</si>
  <si>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</si>
  <si>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</si>
  <si>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</si>
  <si>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</si>
  <si>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</si>
  <si>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</si>
  <si>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</si>
  <si>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</si>
  <si>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</si>
  <si>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</si>
  <si>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</si>
  <si>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</si>
  <si>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</si>
  <si>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</si>
  <si>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</si>
  <si>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</si>
  <si>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</si>
  <si>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</si>
  <si>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</si>
  <si>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</si>
  <si>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</si>
  <si>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</si>
  <si>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</si>
  <si>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</si>
  <si>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</si>
  <si>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</si>
  <si>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</si>
  <si>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</si>
  <si>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</si>
  <si>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</si>
  <si>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</si>
  <si>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</si>
  <si>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</si>
  <si>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</si>
  <si>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</si>
  <si>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</si>
  <si>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</si>
  <si>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</si>
  <si>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</si>
  <si>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</si>
  <si>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</si>
  <si>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</si>
  <si>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</si>
  <si>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</si>
  <si>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</si>
  <si>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</si>
  <si>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</si>
  <si>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</si>
  <si>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</si>
  <si>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</si>
  <si>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</si>
  <si>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</si>
  <si>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</si>
  <si>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</si>
  <si>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</si>
  <si>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</si>
  <si>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</si>
  <si>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</si>
  <si>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</si>
  <si>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</si>
  <si>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</si>
  <si>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</si>
  <si>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</si>
  <si>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</si>
  <si>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</si>
  <si>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</si>
  <si>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</si>
  <si>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</si>
  <si>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</si>
  <si>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</si>
  <si>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</si>
  <si>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</si>
  <si>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</si>
  <si>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</si>
  <si>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</si>
  <si>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</si>
  <si>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</si>
  <si>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</si>
  <si>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</si>
  <si>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</si>
  <si>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</si>
  <si>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</si>
  <si>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</si>
  <si>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</si>
  <si>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</si>
  <si>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</si>
  <si>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</si>
  <si>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</si>
  <si>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</si>
  <si>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</si>
  <si>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</si>
  <si>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</si>
  <si>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</si>
  <si>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</si>
  <si>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</si>
  <si>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</si>
  <si>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</si>
  <si>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</si>
  <si>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</si>
  <si>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</si>
  <si>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</si>
  <si>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</si>
  <si>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</si>
  <si>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</si>
  <si>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</si>
  <si>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</si>
  <si>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</si>
  <si>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</si>
  <si>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</si>
  <si>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</si>
  <si>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</si>
  <si>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</si>
  <si>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</si>
  <si>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</si>
  <si>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</si>
  <si>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</si>
  <si>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</si>
  <si>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</si>
  <si>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</si>
  <si>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</si>
  <si>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</si>
  <si>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</si>
  <si>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</si>
  <si>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</si>
  <si>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</si>
  <si>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</si>
  <si>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</si>
  <si>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</si>
  <si>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</si>
  <si>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</si>
  <si>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</si>
  <si>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</si>
  <si>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</si>
  <si>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</si>
  <si>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</si>
  <si>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</si>
  <si>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</si>
  <si>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</si>
  <si>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</si>
  <si>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</si>
  <si>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</si>
  <si>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</si>
  <si>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</si>
  <si>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</si>
  <si>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</si>
  <si>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</si>
  <si>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</si>
  <si>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</si>
  <si>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</si>
  <si>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</si>
  <si>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</si>
  <si>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</si>
  <si>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</si>
  <si>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</si>
  <si>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</si>
  <si>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</si>
  <si>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</si>
  <si>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</si>
  <si>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</si>
  <si>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</si>
  <si>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</si>
  <si>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</si>
  <si>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</si>
  <si>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</si>
  <si>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</si>
  <si>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</si>
  <si>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</si>
  <si>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</si>
  <si>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</si>
  <si>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</si>
  <si>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</si>
  <si>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</si>
  <si>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</si>
  <si>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</si>
  <si>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</si>
  <si>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</si>
  <si>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</si>
  <si>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</si>
  <si>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</si>
  <si>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</si>
  <si>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</si>
  <si>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</si>
  <si>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</si>
  <si>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</si>
  <si>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</si>
  <si>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</si>
  <si>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</si>
  <si>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</si>
  <si>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</si>
  <si>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</si>
  <si>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</si>
  <si>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</si>
  <si>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</si>
  <si>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</si>
  <si>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</si>
  <si>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</si>
  <si>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</si>
  <si>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</si>
  <si>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</si>
  <si>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</si>
  <si>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</si>
  <si>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</si>
  <si>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</si>
  <si>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</si>
  <si>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</si>
  <si>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</si>
  <si>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</si>
  <si>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</si>
  <si>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</si>
  <si>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</si>
  <si>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</si>
  <si>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</si>
  <si>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</si>
  <si>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</si>
  <si>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</si>
  <si>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</si>
  <si>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</si>
  <si>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</si>
  <si>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</si>
  <si>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</si>
  <si>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</si>
  <si>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</si>
  <si>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</si>
  <si>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</si>
  <si>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</si>
  <si>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</si>
  <si>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</si>
  <si>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</si>
  <si>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</si>
  <si>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</si>
  <si>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</si>
  <si>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</si>
  <si>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</si>
  <si>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</si>
  <si>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</si>
  <si>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</si>
  <si>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</si>
  <si>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</si>
  <si>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</si>
  <si>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</si>
  <si>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</si>
  <si>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</si>
  <si>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</si>
  <si>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</si>
  <si>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</si>
  <si>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</si>
  <si>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</si>
  <si>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</si>
  <si>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</si>
  <si>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</si>
  <si>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</si>
  <si>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</si>
  <si>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</si>
  <si>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</si>
  <si>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</si>
  <si>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</si>
  <si>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</si>
  <si>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</si>
  <si>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</si>
  <si>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</si>
  <si>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</si>
  <si>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</si>
  <si>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</si>
  <si>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</si>
  <si>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</si>
  <si>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</si>
  <si>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</si>
  <si>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</si>
  <si>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</si>
  <si>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</si>
  <si>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</si>
  <si>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</si>
  <si>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</si>
  <si>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</si>
  <si>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</si>
  <si>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</si>
  <si>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</si>
  <si>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</si>
  <si>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</si>
  <si>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</si>
  <si>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</si>
  <si>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</si>
  <si>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</si>
  <si>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</si>
  <si>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</si>
  <si>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</si>
  <si>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</si>
  <si>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</si>
  <si>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</si>
  <si>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</si>
  <si>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</si>
  <si>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</si>
  <si>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</si>
  <si>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</si>
  <si>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</si>
  <si>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</si>
  <si>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</si>
  <si>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</si>
  <si>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</si>
  <si>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</si>
  <si>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</si>
  <si>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</si>
  <si>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</si>
  <si>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</si>
  <si>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</si>
  <si>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</si>
  <si>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</si>
  <si>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</si>
  <si>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</si>
  <si>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</si>
  <si>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</si>
  <si>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</si>
  <si>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</si>
  <si>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</si>
  <si>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</si>
  <si>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</si>
  <si>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</si>
  <si>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</si>
  <si>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</si>
  <si>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</si>
  <si>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</si>
  <si>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</si>
  <si>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</si>
  <si>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</si>
  <si>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</si>
  <si>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</si>
  <si>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</si>
  <si>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</si>
  <si>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</si>
  <si>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</si>
  <si>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</si>
  <si>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</si>
  <si>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</si>
  <si>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</si>
  <si>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</si>
  <si>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</si>
  <si>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</si>
  <si>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</si>
  <si>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</si>
  <si>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</si>
  <si>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</si>
  <si>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</si>
  <si>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</si>
  <si>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</si>
  <si>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</si>
  <si>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</si>
  <si>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</si>
  <si>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</si>
  <si>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</si>
  <si>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</si>
  <si>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</si>
  <si>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</si>
  <si>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</si>
  <si>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</si>
  <si>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</si>
  <si>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</si>
  <si>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</si>
  <si>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</si>
  <si>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</si>
  <si>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</si>
  <si>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</si>
  <si>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</si>
  <si>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</si>
  <si>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</si>
  <si>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</si>
  <si>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</si>
  <si>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</si>
  <si>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</si>
  <si>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</si>
  <si>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</si>
  <si>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</si>
  <si>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</si>
  <si>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</si>
  <si>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</si>
  <si>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</si>
  <si>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</si>
  <si>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</si>
  <si>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</si>
  <si>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</si>
  <si>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</si>
  <si>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</si>
  <si>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</si>
  <si>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</si>
  <si>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</si>
  <si>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</si>
  <si>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</si>
  <si>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</si>
  <si>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</si>
  <si>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</si>
  <si>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</si>
  <si>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</si>
  <si>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</si>
  <si>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</si>
  <si>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</si>
  <si>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</si>
  <si>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</si>
  <si>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</si>
  <si>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</si>
  <si>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</si>
  <si>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</si>
  <si>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</si>
  <si>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</si>
  <si>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</si>
  <si>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</si>
  <si>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</si>
  <si>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</si>
  <si>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</si>
  <si>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</si>
  <si>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</si>
  <si>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</si>
  <si>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</si>
  <si>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</si>
  <si>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</si>
  <si>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</si>
  <si>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</si>
  <si>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</si>
  <si>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</si>
  <si>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</si>
  <si>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</si>
  <si>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</si>
  <si>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</si>
  <si>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</si>
  <si>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</si>
  <si>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</si>
  <si>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</si>
  <si>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</si>
  <si>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</si>
  <si>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</si>
  <si>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</si>
  <si>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</si>
  <si>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</si>
  <si>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</si>
  <si>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</si>
  <si>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</si>
  <si>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</si>
  <si>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</si>
  <si>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</si>
  <si>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</si>
  <si>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</si>
  <si>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</si>
  <si>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</si>
  <si>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</si>
  <si>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</si>
  <si>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</si>
  <si>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</si>
  <si>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</si>
  <si>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</si>
  <si>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</si>
  <si>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</si>
  <si>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</si>
  <si>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</si>
  <si>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</si>
  <si>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</si>
  <si>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</si>
  <si>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</si>
  <si>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</si>
  <si>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</si>
  <si>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</si>
  <si>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</si>
  <si>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</si>
  <si>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</si>
  <si>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</si>
  <si>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</si>
  <si>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</si>
  <si>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</si>
  <si>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</si>
  <si>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</si>
  <si>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</si>
  <si>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</si>
  <si>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</si>
  <si>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</si>
  <si>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</si>
  <si>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</si>
  <si>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</si>
  <si>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</si>
  <si>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</si>
  <si>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</si>
  <si>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</si>
  <si>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</si>
  <si>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</si>
  <si>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</si>
  <si>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</si>
  <si>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</si>
  <si>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</si>
  <si>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</si>
  <si>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</si>
  <si>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</si>
  <si>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</si>
  <si>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</si>
  <si>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</si>
  <si>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</si>
  <si>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</si>
  <si>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</si>
  <si>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</si>
  <si>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</si>
  <si>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</si>
  <si>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</si>
  <si>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</si>
  <si>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</si>
  <si>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</si>
  <si>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</si>
  <si>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</si>
  <si>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房屋登记面积汇总表</t>
    <phoneticPr fontId="3" type="noConversion"/>
  </si>
  <si>
    <t xml:space="preserve">      我公司坐落于京地出【合】字（2010）第0141号地块上的楼房，已办理初始登记及正在办理的楼栋房屋登记面积汇总如下并对数据的真实性负责</t>
  </si>
  <si>
    <t>拆分价值</t>
    <phoneticPr fontId="134" type="noConversion"/>
  </si>
  <si>
    <t>序号</t>
  </si>
  <si>
    <t>坐落</t>
  </si>
  <si>
    <t>房屋登记面积（㎡）</t>
    <phoneticPr fontId="3" type="noConversion"/>
  </si>
  <si>
    <t>地上面积（㎡）</t>
    <phoneticPr fontId="3" type="noConversion"/>
  </si>
  <si>
    <r>
      <t>地下面积</t>
    </r>
    <r>
      <rPr>
        <sz val="10"/>
        <color theme="1"/>
        <rFont val="宋体"/>
        <family val="3"/>
        <charset val="134"/>
        <scheme val="minor"/>
      </rPr>
      <t>（㎡）</t>
    </r>
    <phoneticPr fontId="3" type="noConversion"/>
  </si>
  <si>
    <t>不动产登记证号</t>
    <phoneticPr fontId="3" type="noConversion"/>
  </si>
  <si>
    <t>建安单价</t>
    <phoneticPr fontId="134" type="noConversion"/>
  </si>
  <si>
    <t>建安总额</t>
    <phoneticPr fontId="134" type="noConversion"/>
  </si>
  <si>
    <t>土地价值</t>
    <phoneticPr fontId="134" type="noConversion"/>
  </si>
  <si>
    <t>建筑物</t>
    <phoneticPr fontId="134" type="noConversion"/>
  </si>
  <si>
    <t>房地产</t>
    <phoneticPr fontId="134" type="noConversion"/>
  </si>
  <si>
    <t>单价</t>
    <phoneticPr fontId="134" type="noConversion"/>
  </si>
  <si>
    <t>昌平区顺沙路58号院1号</t>
  </si>
  <si>
    <t>京（2020）昌不动产权第0000459号</t>
    <phoneticPr fontId="3" type="noConversion"/>
  </si>
  <si>
    <t>昌平区顺沙路58号院2号</t>
  </si>
  <si>
    <t>京（2020）昌不动产权第0000460号</t>
    <phoneticPr fontId="3" type="noConversion"/>
  </si>
  <si>
    <t>昌平区顺沙路58号院3号</t>
  </si>
  <si>
    <t>京（2020）昌不动产权第0000461号</t>
    <phoneticPr fontId="3" type="noConversion"/>
  </si>
  <si>
    <t>昌平区顺沙路58号院4号</t>
  </si>
  <si>
    <t>京（2020）昌不动产权第0000462号</t>
    <phoneticPr fontId="3" type="noConversion"/>
  </si>
  <si>
    <t>昌平区顺沙路58号院5号</t>
  </si>
  <si>
    <t>京（2020）昌不动产权第0000463号</t>
    <phoneticPr fontId="3" type="noConversion"/>
  </si>
  <si>
    <t>昌平区顺沙路58号院6号</t>
  </si>
  <si>
    <t>京（2020）昌不动产权第0000464号</t>
    <phoneticPr fontId="3" type="noConversion"/>
  </si>
  <si>
    <t>昌平区顺沙路58号院7号</t>
  </si>
  <si>
    <t>京（2020）昌不动产权第0000465号</t>
    <phoneticPr fontId="3" type="noConversion"/>
  </si>
  <si>
    <t>昌平区顺沙路58号院8号</t>
  </si>
  <si>
    <t>京（2020）昌不动产权第0000467号</t>
    <phoneticPr fontId="3" type="noConversion"/>
  </si>
  <si>
    <t>昌平区顺沙路58号院9号</t>
  </si>
  <si>
    <t>京（2020）昌不动产权第0000469号</t>
    <phoneticPr fontId="3" type="noConversion"/>
  </si>
  <si>
    <t>昌平区顺沙路58号院10号</t>
  </si>
  <si>
    <t>京（2020）昌不动产权第0000470号</t>
    <phoneticPr fontId="3" type="noConversion"/>
  </si>
  <si>
    <t>昌平区顺沙路58号院11号</t>
  </si>
  <si>
    <t>京（2020）昌不动产权第0000471号</t>
    <phoneticPr fontId="3" type="noConversion"/>
  </si>
  <si>
    <t>昌平区顺沙路58号院12号</t>
  </si>
  <si>
    <t>京（2020）昌不动产权第0000473号</t>
    <phoneticPr fontId="3" type="noConversion"/>
  </si>
  <si>
    <t>昌平区顺沙路58号院13号</t>
  </si>
  <si>
    <t>京（2020）昌不动产权第0000474号</t>
    <phoneticPr fontId="3" type="noConversion"/>
  </si>
  <si>
    <t>昌平区顺沙路58号院14号</t>
  </si>
  <si>
    <t>京（2020）昌不动产权第0000475号</t>
    <phoneticPr fontId="3" type="noConversion"/>
  </si>
  <si>
    <t>昌平区顺沙路58号院15号</t>
  </si>
  <si>
    <t>京（2020）昌不动产权第0000476号</t>
    <phoneticPr fontId="3" type="noConversion"/>
  </si>
  <si>
    <t>昌平区顺沙路58号院16号</t>
  </si>
  <si>
    <t>京（2020）昌不动产权第0000478号</t>
    <phoneticPr fontId="3" type="noConversion"/>
  </si>
  <si>
    <t>昌平区顺沙路58号院17号</t>
  </si>
  <si>
    <t>京（2020）昌不动产权第0001336号</t>
    <phoneticPr fontId="3" type="noConversion"/>
  </si>
  <si>
    <t>昌平区顺沙路58号院18号</t>
  </si>
  <si>
    <t>京（2020）昌不动产权第0001333号</t>
    <phoneticPr fontId="3" type="noConversion"/>
  </si>
  <si>
    <t>昌平区顺沙路58号院19号</t>
  </si>
  <si>
    <t>京（2020）昌不动产权第0001327号</t>
    <phoneticPr fontId="3" type="noConversion"/>
  </si>
  <si>
    <t>昌平区顺沙路58号院B101
至B121、B1001至B1029号</t>
  </si>
  <si>
    <t>合计</t>
  </si>
  <si>
    <r>
      <t xml:space="preserve">   </t>
    </r>
    <r>
      <rPr>
        <b/>
        <sz val="10"/>
        <rFont val="宋体"/>
        <family val="3"/>
        <charset val="134"/>
      </rPr>
      <t>注：详见房屋登记表，房屋登记面积包括登记簿中记载且颁发所有权证部分建筑面积和登记簿中记载不颁发所有权证部分建筑面积。</t>
    </r>
  </si>
  <si>
    <t>土地出让金</t>
    <phoneticPr fontId="134" type="noConversion"/>
  </si>
  <si>
    <t>其余成本</t>
    <phoneticPr fontId="134" type="noConversion"/>
  </si>
  <si>
    <t>单方建安</t>
    <phoneticPr fontId="134" type="noConversion"/>
  </si>
  <si>
    <t>建安成本</t>
    <phoneticPr fontId="134" type="noConversion"/>
  </si>
  <si>
    <t>财务费用</t>
    <phoneticPr fontId="134" type="noConversion"/>
  </si>
  <si>
    <t>4、18、19装修费</t>
    <phoneticPr fontId="134" type="noConversion"/>
  </si>
  <si>
    <r>
      <rPr>
        <sz val="11"/>
        <color theme="1"/>
        <rFont val="宋体"/>
        <family val="2"/>
        <charset val="134"/>
      </rPr>
      <t>建筑类型</t>
    </r>
    <phoneticPr fontId="247" type="noConversion"/>
  </si>
  <si>
    <t xml:space="preserve"> </t>
  </si>
  <si>
    <r>
      <rPr>
        <i/>
        <sz val="9"/>
        <color theme="1"/>
        <rFont val="宋体"/>
        <family val="3"/>
        <charset val="134"/>
      </rPr>
      <t>地上</t>
    </r>
    <phoneticPr fontId="247" type="noConversion"/>
  </si>
  <si>
    <r>
      <rPr>
        <i/>
        <sz val="9"/>
        <color theme="1"/>
        <rFont val="宋体"/>
        <family val="3"/>
        <charset val="134"/>
      </rPr>
      <t>地下</t>
    </r>
    <phoneticPr fontId="247" type="noConversion"/>
  </si>
  <si>
    <r>
      <rPr>
        <sz val="11"/>
        <color theme="1"/>
        <rFont val="宋体"/>
        <family val="2"/>
        <charset val="134"/>
      </rPr>
      <t>建筑面积</t>
    </r>
    <phoneticPr fontId="247" type="noConversion"/>
  </si>
  <si>
    <r>
      <rPr>
        <sz val="11"/>
        <color theme="1"/>
        <rFont val="宋体"/>
        <family val="2"/>
        <charset val="134"/>
      </rPr>
      <t>总</t>
    </r>
    <phoneticPr fontId="247" type="noConversion"/>
  </si>
  <si>
    <r>
      <rPr>
        <sz val="11"/>
        <color theme="1"/>
        <rFont val="宋体"/>
        <family val="2"/>
        <charset val="134"/>
      </rPr>
      <t>建安造价</t>
    </r>
    <phoneticPr fontId="247" type="noConversion"/>
  </si>
  <si>
    <t>总造价</t>
    <phoneticPr fontId="247" type="noConversion"/>
  </si>
  <si>
    <r>
      <rPr>
        <sz val="11"/>
        <color theme="1"/>
        <rFont val="宋体"/>
        <family val="2"/>
        <charset val="134"/>
      </rPr>
      <t>主体（含屋面、外装）</t>
    </r>
    <phoneticPr fontId="247" type="noConversion"/>
  </si>
  <si>
    <t>主体结构</t>
    <phoneticPr fontId="247" type="noConversion"/>
  </si>
  <si>
    <t>外装材料</t>
    <phoneticPr fontId="247" type="noConversion"/>
  </si>
  <si>
    <r>
      <rPr>
        <sz val="11"/>
        <color theme="1"/>
        <rFont val="宋体"/>
        <family val="2"/>
        <charset val="134"/>
      </rPr>
      <t>装修</t>
    </r>
    <phoneticPr fontId="247" type="noConversion"/>
  </si>
  <si>
    <r>
      <rPr>
        <sz val="11"/>
        <color theme="1"/>
        <rFont val="宋体"/>
        <family val="2"/>
        <charset val="134"/>
      </rPr>
      <t>机电设备</t>
    </r>
    <phoneticPr fontId="247" type="noConversion"/>
  </si>
  <si>
    <t>人工</t>
    <phoneticPr fontId="134" type="noConversion"/>
  </si>
  <si>
    <t>占比</t>
    <phoneticPr fontId="247" type="noConversion"/>
  </si>
  <si>
    <t>主体</t>
    <phoneticPr fontId="247" type="noConversion"/>
  </si>
  <si>
    <t>装修</t>
    <phoneticPr fontId="247" type="noConversion"/>
  </si>
  <si>
    <t>设备</t>
    <phoneticPr fontId="247" type="noConversion"/>
  </si>
  <si>
    <t>人工</t>
    <phoneticPr fontId="247" type="noConversion"/>
  </si>
  <si>
    <t>地下环形车道及设备用房</t>
    <phoneticPr fontId="3" type="noConversion"/>
  </si>
  <si>
    <t>地上</t>
  </si>
  <si>
    <t>地下</t>
  </si>
  <si>
    <t>否</t>
  </si>
  <si>
    <t>是</t>
  </si>
  <si>
    <t>成新度</t>
  </si>
  <si>
    <t>收益法</t>
  </si>
  <si>
    <t>地块名称</t>
  </si>
  <si>
    <t>地块编号</t>
  </si>
  <si>
    <t>区县</t>
  </si>
  <si>
    <t>板块</t>
  </si>
  <si>
    <t>土地位置</t>
  </si>
  <si>
    <t>用地性质</t>
  </si>
  <si>
    <t>建设用地分类</t>
  </si>
  <si>
    <t>详细规划</t>
  </si>
  <si>
    <t>公告时间</t>
  </si>
  <si>
    <t>起始时间</t>
  </si>
  <si>
    <t>截止时间</t>
  </si>
  <si>
    <t>成交时间</t>
  </si>
  <si>
    <t>公告编号</t>
  </si>
  <si>
    <t>建设用地面积(㎡)</t>
  </si>
  <si>
    <t>规划建筑面积(㎡)</t>
  </si>
  <si>
    <t>成交价(万元)</t>
  </si>
  <si>
    <t>容积率</t>
  </si>
  <si>
    <t>容积率上限</t>
  </si>
  <si>
    <t>出让方式</t>
  </si>
  <si>
    <t>土地级别</t>
    <phoneticPr fontId="134" type="noConversion"/>
  </si>
  <si>
    <t>案例土地级别对应修正系数</t>
    <phoneticPr fontId="134" type="noConversion"/>
  </si>
  <si>
    <t>案例土地级别对应容积率1修正系数</t>
    <phoneticPr fontId="134" type="noConversion"/>
  </si>
  <si>
    <t>成交土地单价(元/㎡)</t>
  </si>
  <si>
    <t>折算案例当前土地级别容积率1的楼面价</t>
    <phoneticPr fontId="134" type="noConversion"/>
  </si>
  <si>
    <t>折算估价对象土地级别容积率1的地面价</t>
    <phoneticPr fontId="134" type="noConversion"/>
  </si>
  <si>
    <t>成交每亩价(万元/亩)</t>
  </si>
  <si>
    <t>推出楼面价(元/㎡)</t>
  </si>
  <si>
    <t>成交楼面价(元/㎡)</t>
  </si>
  <si>
    <t>溢价率(%)</t>
  </si>
  <si>
    <t>出让年限(年)</t>
  </si>
  <si>
    <t>开工进度</t>
  </si>
  <si>
    <t>受让单位</t>
  </si>
  <si>
    <t>拿地企业</t>
  </si>
  <si>
    <t>企业性质</t>
  </si>
  <si>
    <t>是否城投企业</t>
  </si>
  <si>
    <t>北京市延庆区八达岭经济开发区光谷三街南侧YQ02-0102-6028-2地块F3其他类多功能用地</t>
  </si>
  <si>
    <t>京土储挂(延)[2024]001号</t>
  </si>
  <si>
    <t xml:space="preserve"> 延庆区 </t>
  </si>
  <si>
    <t xml:space="preserve"> 康庄 </t>
  </si>
  <si>
    <t xml:space="preserve"> 延庆区康庄镇 </t>
  </si>
  <si>
    <t xml:space="preserve"> 商业/办公用地 </t>
  </si>
  <si>
    <t xml:space="preserve"> B2商务设施用地 </t>
  </si>
  <si>
    <t xml:space="preserve"> F3其他类多功能用地 </t>
  </si>
  <si>
    <t xml:space="preserve"> 京土储挂(延)[2024]001号 </t>
  </si>
  <si>
    <t xml:space="preserve"> 不大于2.3不小于2 </t>
  </si>
  <si>
    <t xml:space="preserve"> 挂牌 </t>
  </si>
  <si>
    <t xml:space="preserve"> 商业 40 年 办公 50 年 </t>
  </si>
  <si>
    <t xml:space="preserve"> 已开工 </t>
  </si>
  <si>
    <t xml:space="preserve"> 北京中发展领航科技有限公司  </t>
  </si>
  <si>
    <t xml:space="preserve"> 北京建工,中关村发展,北京城建集团 </t>
  </si>
  <si>
    <t xml:space="preserve"> 地方国有企业，地方国有企业，地方国有企业 </t>
  </si>
  <si>
    <t xml:space="preserve"> 城投企业，城投企业，城投企业 </t>
  </si>
  <si>
    <t>北京市朝阳区大屯地区0205-659地块及周边储备用地B4综合性商业金融服务业用地</t>
  </si>
  <si>
    <t>京土储挂(朝)[2023]074号</t>
  </si>
  <si>
    <t xml:space="preserve"> 朝阳区 </t>
  </si>
  <si>
    <t xml:space="preserve"> 奥运场馆周边 </t>
  </si>
  <si>
    <t xml:space="preserve"> 朝阳区惠新西街立交桥东北角 </t>
  </si>
  <si>
    <t xml:space="preserve"> B21金融保险用地、B1商业设施用地 </t>
  </si>
  <si>
    <t xml:space="preserve"> B4综合性商业金融服务业用地 </t>
  </si>
  <si>
    <t xml:space="preserve"> 京土储挂(朝)[2023]074号 </t>
  </si>
  <si>
    <t xml:space="preserve"> 安徽省高速地产集团有限公司  </t>
  </si>
  <si>
    <t xml:space="preserve"> 高速地产集团 </t>
  </si>
  <si>
    <t xml:space="preserve"> 地方国有企业 </t>
  </si>
  <si>
    <t xml:space="preserve"> -- </t>
  </si>
  <si>
    <t>北京市海淀区学院路北端A、B、C、J地块B4综合性商业金融服务业用地、 B23研发设计用地</t>
  </si>
  <si>
    <t>京土储挂(海)[2023]073号</t>
  </si>
  <si>
    <t xml:space="preserve"> 海淀区 </t>
  </si>
  <si>
    <t xml:space="preserve"> 学清路 </t>
  </si>
  <si>
    <t xml:space="preserve"> 海淀区学院路地区 </t>
  </si>
  <si>
    <t xml:space="preserve"> B4综合性商业金融服务业用地、B23研发设计用地 </t>
  </si>
  <si>
    <t xml:space="preserve"> 京土储挂(海)[2023]073号 </t>
  </si>
  <si>
    <t xml:space="preserve"> 商业 40 年; 办公 50 年; 公服(科研) 50 年 </t>
  </si>
  <si>
    <t xml:space="preserve"> 腾讯科技(北京)有限公司  </t>
  </si>
  <si>
    <t xml:space="preserve"> 腾讯科技（北京）有限公司 </t>
  </si>
  <si>
    <t>北京市石景山区中关村科技园区石景山园北I区1605-650地块B23研发设计用地</t>
  </si>
  <si>
    <t>京土储挂(石)[2023]072号</t>
  </si>
  <si>
    <t xml:space="preserve"> 石景山区 </t>
  </si>
  <si>
    <t xml:space="preserve"> 温泉 </t>
  </si>
  <si>
    <t xml:space="preserve"> 石景山区苹果园地区 </t>
  </si>
  <si>
    <t xml:space="preserve"> B23研发设计用地 </t>
  </si>
  <si>
    <t xml:space="preserve"> 京土储挂(石)[2023]072号 </t>
  </si>
  <si>
    <t xml:space="preserve"> 北京保恒置业发展有限公司  </t>
  </si>
  <si>
    <t xml:space="preserve"> 石景山国资投资 </t>
  </si>
  <si>
    <t xml:space="preserve"> 城投企业 </t>
  </si>
  <si>
    <t>北京丽泽金融商务区北区A地块建设及综合治理项目FT00-0609-0037(2)地块B4综合性商业金融服务业用地</t>
  </si>
  <si>
    <t>京土储挂(丰)[2023]067号</t>
  </si>
  <si>
    <t xml:space="preserve"> 丰台区 </t>
  </si>
  <si>
    <t xml:space="preserve"> 六里桥 </t>
  </si>
  <si>
    <t xml:space="preserve"> 丰台区太平桥街道 </t>
  </si>
  <si>
    <t xml:space="preserve"> 京土储挂(丰)[2023]067号 </t>
  </si>
  <si>
    <t xml:space="preserve"> 小于等于7 </t>
  </si>
  <si>
    <t xml:space="preserve"> 商业40年 办公50年 </t>
  </si>
  <si>
    <t xml:space="preserve"> 中国南水北调集团综合服务有限公司  </t>
  </si>
  <si>
    <t xml:space="preserve"> 中国南水北调集团有限公司 </t>
  </si>
  <si>
    <t>北京市延庆区八达岭经济开发区光谷三街南侧YQ02-0102-6028-1-1地块F3其他类多功能用地</t>
  </si>
  <si>
    <t>京土储挂(延)[2023]047号</t>
  </si>
  <si>
    <t xml:space="preserve"> B商业服务业设施用地 </t>
  </si>
  <si>
    <t xml:space="preserve"> 京土储挂(延)[2023]047号 </t>
  </si>
  <si>
    <t xml:space="preserve"> 商业40年办公50年 </t>
  </si>
  <si>
    <t xml:space="preserve"> 北京图精科技有限公司  </t>
  </si>
  <si>
    <t xml:space="preserve"> 北京图精科技有限公司 </t>
  </si>
  <si>
    <t>北京城市副中心0201街区玉桥家园中心FZX-0201-0096、0102地块F3其他类多功能用地国有建设用地使用权出让公告</t>
  </si>
  <si>
    <t>京土储挂(通)[2023]042号</t>
  </si>
  <si>
    <t xml:space="preserve"> 通州区 </t>
  </si>
  <si>
    <t xml:space="preserve"> 北苑街道、玉桥街道 </t>
  </si>
  <si>
    <t xml:space="preserve"> 城市副中心0201街区 </t>
  </si>
  <si>
    <t xml:space="preserve"> 京土储挂(通)[2023]042号 </t>
  </si>
  <si>
    <t xml:space="preserve"> 商业40年办公50年公服50年 </t>
  </si>
  <si>
    <t xml:space="preserve"> 北京通州投资发展有限公司  </t>
  </si>
  <si>
    <t xml:space="preserve"> 北投集团 </t>
  </si>
  <si>
    <t>北京市海淀区西北旺镇永丰产业基地(新)HD00-0403-004地块F3其他类多功能用地</t>
  </si>
  <si>
    <t>京土储挂(海)[2023]039号</t>
  </si>
  <si>
    <t xml:space="preserve"> 海淀区西北旺镇永丰产业基地 </t>
  </si>
  <si>
    <t xml:space="preserve"> 京土储挂(海)[2023]039号 </t>
  </si>
  <si>
    <t xml:space="preserve"> 北京泽御置业有限公司  </t>
  </si>
  <si>
    <t xml:space="preserve"> 北京市海淀区玉渊潭农工商总公司 </t>
  </si>
  <si>
    <t>北京城市副中心0403街区FZX-0403-0146、0148地块F3 其他类多功能用地</t>
  </si>
  <si>
    <t>京土储挂(通)〔2023〕032号</t>
  </si>
  <si>
    <t xml:space="preserve"> 城市副中心0403街区 </t>
  </si>
  <si>
    <t xml:space="preserve"> F3 其他类多功能用地 </t>
  </si>
  <si>
    <t xml:space="preserve"> 京土储挂(通)〔2023〕032号 </t>
  </si>
  <si>
    <t xml:space="preserve"> 0146容积率3.82、0148容积率2.75 </t>
  </si>
  <si>
    <t xml:space="preserve"> 居住70年、商业40年、办公50年 </t>
  </si>
  <si>
    <t>北京市朝阳区太阳宫乡0301-613地块B4综合性商业金融服务业用地</t>
  </si>
  <si>
    <t>京土储挂(朝)[2023]031号</t>
  </si>
  <si>
    <t xml:space="preserve"> 太阳宫 </t>
  </si>
  <si>
    <t xml:space="preserve"> 朝阳区太阳宫乡 </t>
  </si>
  <si>
    <t xml:space="preserve"> 京土储挂(朝)[2023]031号 </t>
  </si>
  <si>
    <t xml:space="preserve"> 北京懋源鸿竺房地产开发有限公司  </t>
  </si>
  <si>
    <t xml:space="preserve"> 北京懋源 </t>
  </si>
  <si>
    <t xml:space="preserve"> 民营企业 </t>
  </si>
  <si>
    <t>北京市丰台区丽泽金融商务区FT00-0612-0016等地块F3其他类多功能用地、S32公交场站设施用地</t>
  </si>
  <si>
    <t>京土储挂(丰)[2023]014号</t>
  </si>
  <si>
    <t xml:space="preserve"> 菜户营、西罗园 </t>
  </si>
  <si>
    <t xml:space="preserve"> S3交通枢纽用地、B商业服务业设施用地、S4交通场站用地 </t>
  </si>
  <si>
    <t xml:space="preserve"> F3其他类多功能用地、S32公交场站设施用地 </t>
  </si>
  <si>
    <t xml:space="preserve"> 京土储挂(丰)[2023]014号 </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</si>
  <si>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</si>
  <si>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 </t>
  </si>
  <si>
    <t xml:space="preserve"> --，--，地方国有企业 </t>
  </si>
  <si>
    <t xml:space="preserve"> --，--，城投企业 </t>
  </si>
  <si>
    <t>北京市房山区窦店镇高端制造业基地06街区01地块FS00-DD06-0018、0019、0023、0024地块F3其他类多功能用地</t>
  </si>
  <si>
    <t>京土储挂(房)[2023]013号</t>
  </si>
  <si>
    <t xml:space="preserve"> 房山区 </t>
  </si>
  <si>
    <t xml:space="preserve"> 窦店 </t>
  </si>
  <si>
    <t xml:space="preserve"> 房山区窦店镇、良乡镇 </t>
  </si>
  <si>
    <t xml:space="preserve"> 京土储挂(房)[2023]013号 </t>
  </si>
  <si>
    <t xml:space="preserve"> fs00-dd06-0018、0019容积率1.6;0023、0024容积率2.5 </t>
  </si>
  <si>
    <t xml:space="preserve"> 北京京东方医院有限公司  </t>
  </si>
  <si>
    <t xml:space="preserve"> 京东方科技 </t>
  </si>
  <si>
    <t>北京市通州区永顺镇0401街区 46号地块(西马庄收储) B4综合性商业金融服务业用地</t>
  </si>
  <si>
    <t>京土储挂(通)〔2023〕004号</t>
  </si>
  <si>
    <t xml:space="preserve"> 定福庄、管庄 </t>
  </si>
  <si>
    <t xml:space="preserve"> 通州区永顺镇 </t>
  </si>
  <si>
    <t xml:space="preserve"> 京土储挂(通)〔2023〕004号 </t>
  </si>
  <si>
    <t xml:space="preserve"> ≤2.8 </t>
  </si>
  <si>
    <t xml:space="preserve"> 商业 40 年、办公 50 年 </t>
  </si>
  <si>
    <t xml:space="preserve"> 北京易创通景信息科技有限公司  </t>
  </si>
  <si>
    <t xml:space="preserve"> 国韬科技文化发展（珠海）有限公司 </t>
  </si>
  <si>
    <t>大兴区西红门镇集体经营性建设用地2号地2-002A地块</t>
  </si>
  <si>
    <t>京规自集使挂(兴)[2023]002号</t>
  </si>
  <si>
    <t xml:space="preserve"> 大兴区 </t>
  </si>
  <si>
    <t xml:space="preserve"> 西红门 </t>
  </si>
  <si>
    <t xml:space="preserve"> 西红门镇 </t>
  </si>
  <si>
    <t xml:space="preserve"> F81集体产业用地 </t>
  </si>
  <si>
    <t xml:space="preserve"> 京规自集使挂(兴)[2023]002号 </t>
  </si>
  <si>
    <t xml:space="preserve"> 电建智汇(北京)运营管理有限公司  </t>
  </si>
  <si>
    <t xml:space="preserve"> 中国电建集团贵阳勘测设计研究院有限公司,中国电建集团中南勘测设计研究院有限公司,中信股份,中国电建 </t>
  </si>
  <si>
    <t xml:space="preserve"> --，--，中央国有企业，中央国有企业 </t>
  </si>
  <si>
    <t>北京市朝阳区朝阳站交通枢纽南侧建设用地一体化项目0313-5597、5598、5599地块B4综合性商业金融服务业用地</t>
  </si>
  <si>
    <t>京土储挂(朝)[2023]001号</t>
  </si>
  <si>
    <t xml:space="preserve"> 姚家园 </t>
  </si>
  <si>
    <t xml:space="preserve"> 朝阳区东风乡 </t>
  </si>
  <si>
    <t xml:space="preserve"> 京土储挂(朝)[2023]001号 </t>
  </si>
  <si>
    <t xml:space="preserve"> 北京顺进商务咨询有限公司  </t>
  </si>
  <si>
    <t xml:space="preserve"> 华润置地 </t>
  </si>
  <si>
    <t xml:space="preserve"> 中央国有企业 </t>
  </si>
  <si>
    <t>北京大兴国际机场临空经济区DX12-0105-6103地块S5加油加气站(加氢站)用地</t>
  </si>
  <si>
    <t>京土储挂(兴临空)[2022]072号</t>
  </si>
  <si>
    <t xml:space="preserve"> 榆垡 </t>
  </si>
  <si>
    <t xml:space="preserve"> 大兴区礼贤镇 </t>
  </si>
  <si>
    <t xml:space="preserve"> B41加油加气站用地 </t>
  </si>
  <si>
    <t xml:space="preserve"> S5加油加气站(加氢站)用地 </t>
  </si>
  <si>
    <t xml:space="preserve"> 京土储挂(兴临空)[2022]072号 </t>
  </si>
  <si>
    <t xml:space="preserve"> ≤0.4 </t>
  </si>
  <si>
    <t xml:space="preserve"> 商业40年 </t>
  </si>
  <si>
    <t xml:space="preserve"> 空气(北京)氢能科技有限公司  </t>
  </si>
  <si>
    <t>北京市平谷区兴谷新消费综合体项目商业地块PG00-0106-0106地块B1商业用地</t>
  </si>
  <si>
    <t>京土储挂(平)[2022]071号</t>
  </si>
  <si>
    <t xml:space="preserve"> 平谷区 </t>
  </si>
  <si>
    <t xml:space="preserve"> 兴谷街道 </t>
  </si>
  <si>
    <t xml:space="preserve"> 平谷区兴谷街道 </t>
  </si>
  <si>
    <t xml:space="preserve"> B1商业设施用地 </t>
  </si>
  <si>
    <t xml:space="preserve"> B1商业用地 </t>
  </si>
  <si>
    <t xml:space="preserve"> 京土储挂(平)[2022]071号 </t>
  </si>
  <si>
    <t xml:space="preserve"> 北京市平谷区联扶实业管理有限公司  </t>
  </si>
  <si>
    <t xml:space="preserve"> 北京市平谷区联扶实业管理有限公司 </t>
  </si>
  <si>
    <t>北京市石景山区中关村科技园石景山园北Ⅱ区西井地块土地一级开发项目1606-605地块B23研发设计用地</t>
  </si>
  <si>
    <t>京土储挂(石)[2022]070号</t>
  </si>
  <si>
    <t xml:space="preserve"> 苹果园、八角、金顶街 </t>
  </si>
  <si>
    <t xml:space="preserve"> 京土储挂(石)[2022]070号 </t>
  </si>
  <si>
    <t xml:space="preserve"> 50年 </t>
  </si>
  <si>
    <t xml:space="preserve"> 北京中关村工业互联网产业发展有限公司  </t>
  </si>
  <si>
    <t xml:space="preserve"> 中关村发展,石景山国资投资 </t>
  </si>
  <si>
    <t xml:space="preserve"> 地方国有企业，地方国有企业 </t>
  </si>
  <si>
    <t xml:space="preserve"> 城投企业，城投企业 </t>
  </si>
  <si>
    <t>北京市海淀区西北旺镇永丰产业基地(新)HD00-0403-009地块F3其他类多功能用地</t>
  </si>
  <si>
    <t>京土储挂(海)[2022]063号</t>
  </si>
  <si>
    <t xml:space="preserve"> 海淀区永丰产业基地 </t>
  </si>
  <si>
    <t xml:space="preserve"> 京土储挂(海)[2022]063号 </t>
  </si>
  <si>
    <t xml:space="preserve"> 北京永丰数字融汇科技有限责任公司  </t>
  </si>
  <si>
    <t xml:space="preserve"> 北京实创科技园 </t>
  </si>
  <si>
    <t>北京市海淀区西北旺镇永丰产业基地(新)HD00-0403-001地块F3其他类多功能用地</t>
  </si>
  <si>
    <t>京土储挂(海)[2022]062号</t>
  </si>
  <si>
    <t xml:space="preserve"> 京土储挂(海)[2022]062号 </t>
  </si>
  <si>
    <t xml:space="preserve"> 北京永丰数字先行科技有限责任公司  </t>
  </si>
  <si>
    <t>北京市丰台区丽泽金融商务区D-01地块B4综合性商业金融服务业用地</t>
  </si>
  <si>
    <t>京土储挂(丰)[2022]043号</t>
  </si>
  <si>
    <t xml:space="preserve"> 京土储挂(丰)[2022]043号 </t>
  </si>
  <si>
    <t xml:space="preserve"> ≤6.33 </t>
  </si>
  <si>
    <t xml:space="preserve"> 北京福榕置业有限公司  </t>
  </si>
  <si>
    <t xml:space="preserve"> 福建国资,福建高速,福建投资开发 </t>
  </si>
  <si>
    <t>北京市通州经济开发区西区南扩区 三、五、六期棚户区改造项目 FZX-1102-6002地块 F3其他类多功能用地</t>
  </si>
  <si>
    <t>京土储挂(通)〔2022〕041号</t>
  </si>
  <si>
    <t xml:space="preserve"> 张家湾 </t>
  </si>
  <si>
    <t xml:space="preserve"> 通州区张家湾镇 </t>
  </si>
  <si>
    <t xml:space="preserve"> 京土储挂(通)〔2022〕041号 </t>
  </si>
  <si>
    <t xml:space="preserve"> ≤2.2 </t>
  </si>
  <si>
    <t xml:space="preserve"> 商业40年、办公50年 </t>
  </si>
  <si>
    <t xml:space="preserve"> 北京未来科创建筑有限公司  </t>
  </si>
  <si>
    <t xml:space="preserve"> 北京未来科创建筑有限公司 </t>
  </si>
  <si>
    <t>北京市通州经济开发区西区南扩区三、五、六期棚户区改造项目FZX-1102-6219地块F3其他类多功能用地</t>
  </si>
  <si>
    <t>京土储挂(通)〔2022〕042号</t>
  </si>
  <si>
    <t xml:space="preserve"> 京土储挂(通)〔2022〕042号 </t>
  </si>
  <si>
    <t xml:space="preserve"> 北京市工程咨询有限公司  </t>
  </si>
  <si>
    <t>北京城市副中心1202街区FZX-1202-0001地块 F3其他类多功能用地</t>
  </si>
  <si>
    <t>京土储挂(通)〔2022〕040号</t>
  </si>
  <si>
    <t xml:space="preserve"> 梨园 </t>
  </si>
  <si>
    <t xml:space="preserve"> 北京城市副中心12组团 </t>
  </si>
  <si>
    <t xml:space="preserve"> 京土储挂(通)〔2022〕040号 </t>
  </si>
  <si>
    <t xml:space="preserve"> 商业 40 年、 办公 50 年 </t>
  </si>
  <si>
    <t xml:space="preserve"> 北京首旅城市副中心投资有限公司  </t>
  </si>
  <si>
    <t xml:space="preserve"> 北京首旅集团 </t>
  </si>
  <si>
    <t>北京经济技术开发区亦庄新城0303街区C14C-3地块F3其他类多功能用地</t>
  </si>
  <si>
    <t>京土储挂(开)[2022]039号</t>
  </si>
  <si>
    <t xml:space="preserve"> 台湖 </t>
  </si>
  <si>
    <t xml:space="preserve"> 北京经济技术开发区亦庄新城0303街区C14C-3地块 </t>
  </si>
  <si>
    <t xml:space="preserve"> 京土储挂(开)[2022]039号 </t>
  </si>
  <si>
    <t xml:space="preserve"> ≤5.0 </t>
  </si>
  <si>
    <t xml:space="preserve"> 商业40 年、办公 50 年 </t>
  </si>
  <si>
    <t xml:space="preserve"> 北京京东昆岳科技产业创新发展有限公司  </t>
  </si>
  <si>
    <t xml:space="preserve"> 北京京东昆岳科技产业创新发展有限公司 </t>
  </si>
  <si>
    <t>北京大兴国际机场临空经济区 DX12-0105-6006、6009 地块F3其他类多功能用地</t>
  </si>
  <si>
    <t>京土储挂(兴临空)[2022]020号</t>
  </si>
  <si>
    <t xml:space="preserve"> 礼贤 </t>
  </si>
  <si>
    <t xml:space="preserve"> 京土储挂(兴临空)[2022]020号 </t>
  </si>
  <si>
    <t xml:space="preserve"> 北京新航城建设实业发展有限公司  </t>
  </si>
  <si>
    <t xml:space="preserve"> 北京新航城 </t>
  </si>
  <si>
    <t>北京大兴国际机场临空经济区(北京部分)0205街区DX09-0103-0205地块B4综合性商业金融服务业用地</t>
  </si>
  <si>
    <t>京土储挂(兴临空)[2022]019号</t>
  </si>
  <si>
    <t xml:space="preserve"> 大兴区榆垡镇 </t>
  </si>
  <si>
    <t xml:space="preserve"> B1商业设施用地、B21金融保险用地 </t>
  </si>
  <si>
    <t xml:space="preserve"> 京土储挂(兴临空)[2022]019号 </t>
  </si>
  <si>
    <t xml:space="preserve"> 40年 </t>
  </si>
  <si>
    <t xml:space="preserve"> 已竣工 </t>
  </si>
  <si>
    <t>北京经济技术开发区亦庄新城0902街区JG01-07地块F3其他类多功能用地</t>
  </si>
  <si>
    <t>京土整储挂(开)[2021]099号</t>
  </si>
  <si>
    <t xml:space="preserve"> 旧宫 </t>
  </si>
  <si>
    <t xml:space="preserve"> 北京经济技术开发区亦庄新城0902街区JG01-07 </t>
  </si>
  <si>
    <t xml:space="preserve"> 京土整储挂(开)[2021]099号 </t>
  </si>
  <si>
    <t xml:space="preserve"> 中国太平洋人寿保险股份有限公司  </t>
  </si>
  <si>
    <t xml:space="preserve"> 太平洋人寿 </t>
  </si>
  <si>
    <t>北京市怀柔区怀北、雁栖镇HR00-0211-6031地块〔城市客厅B地块(北侧地块)〕F3其他类多功能用地(怀柔科学城核心区及周边土地一级开发项目)</t>
  </si>
  <si>
    <t>京土整储挂(怀)[2021]097号</t>
  </si>
  <si>
    <t xml:space="preserve"> 怀柔区 </t>
  </si>
  <si>
    <t xml:space="preserve"> 怀北、怀柔 </t>
  </si>
  <si>
    <t xml:space="preserve"> 怀柔区怀北镇、雁栖镇 </t>
  </si>
  <si>
    <t xml:space="preserve"> 京土整储挂(怀)[2021]097号 </t>
  </si>
  <si>
    <t xml:space="preserve"> 北京怀柔科学城城开三部开发建设有限公司  </t>
  </si>
  <si>
    <t>北京市怀柔区北房镇、怀北镇HR00-0211-6027、6028、6029、6030地块(城市客厅C地块)F3其他类多功能用地(怀柔科学城核心区及周边土地一级开发项目)</t>
  </si>
  <si>
    <t>京土整储挂(怀)[2021]098号</t>
  </si>
  <si>
    <t xml:space="preserve"> 京土整储挂(怀)[2021]098号 </t>
  </si>
  <si>
    <t xml:space="preserve"> 北京怀柔科学城城开四部开发建设有限公司  </t>
  </si>
  <si>
    <t xml:space="preserve"> 怀柔科学城 </t>
  </si>
  <si>
    <t>北京城市副中心0101街区FZX-0101-0902地块F3其他类多功能用地</t>
  </si>
  <si>
    <t>京土整储挂(通)[2021]096号</t>
  </si>
  <si>
    <t xml:space="preserve"> 潞城 </t>
  </si>
  <si>
    <t xml:space="preserve"> 北京城市副中心01组团 </t>
  </si>
  <si>
    <t xml:space="preserve"> 京土整储挂(通)[2021]096号 </t>
  </si>
  <si>
    <t xml:space="preserve"> 商业40年,办公50年 </t>
  </si>
  <si>
    <t xml:space="preserve"> 华夏银行股份有限公司  </t>
  </si>
  <si>
    <t>北京市大兴区黄村镇DX00-0201-6001地块B14旅馆用地</t>
  </si>
  <si>
    <t>京土整储挂(兴)[2021]089号</t>
  </si>
  <si>
    <t xml:space="preserve"> 林校路街道 </t>
  </si>
  <si>
    <t xml:space="preserve"> 大兴区黄村镇 </t>
  </si>
  <si>
    <t xml:space="preserve"> B14旅馆用地 </t>
  </si>
  <si>
    <t xml:space="preserve"> 京土整储挂(兴)[2021]089号 </t>
  </si>
  <si>
    <t xml:space="preserve"> 北京大兴宾馆有限责任公司  </t>
  </si>
  <si>
    <t xml:space="preserve"> 北京兴创投资 </t>
  </si>
  <si>
    <t>北京市海淀区西北旺镇永丰产业基地(新)HD00-0403-024地块F3其他类多功能用地</t>
  </si>
  <si>
    <t>京土整储挂(海)[2021] 082号</t>
  </si>
  <si>
    <t xml:space="preserve"> 海淀区永丰产业基地(新)一级开发组团J地块内 </t>
  </si>
  <si>
    <t xml:space="preserve"> 京土整储挂(海)[2021] 082号 </t>
  </si>
  <si>
    <t xml:space="preserve"> 北京永丰数字共享科技有限责任公司  </t>
  </si>
  <si>
    <t>北京市海淀区西北旺镇永丰产业基地(新)HD00-0403-011地块F3其他类多功能用地</t>
  </si>
  <si>
    <t>京土整储挂(海)[2021] 081号</t>
  </si>
  <si>
    <t xml:space="preserve"> 京土整储挂(海)[2021] 081号 </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</si>
  <si>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</si>
  <si>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</si>
  <si>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</si>
  <si>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 </t>
  </si>
  <si>
    <t xml:space="preserve"> 北京市基础设施投资有限公司 、北京首都旅游集团有限责任公司 、北京城建集团有限责任公司  </t>
  </si>
  <si>
    <t xml:space="preserve"> 北京城建集团 </t>
  </si>
  <si>
    <t>北京市石景山区首钢园区东南区土地一级开发项目1612-774地块B4综合性商业金融服务业用地</t>
  </si>
  <si>
    <t>京土整储挂(石)[2021] 079号</t>
  </si>
  <si>
    <t xml:space="preserve"> 石景山区古城南街东侧 </t>
  </si>
  <si>
    <t xml:space="preserve"> 京土整储挂(石)[2021] 079号 </t>
  </si>
  <si>
    <t xml:space="preserve"> 北京首鹰置业有限公司  </t>
  </si>
  <si>
    <t xml:space="preserve"> 北京首鹰置业有限公司 </t>
  </si>
  <si>
    <t>北京市东城区广渠门外大街马圈土地一级开发项目0407-001地块F3其他类多功能用地</t>
  </si>
  <si>
    <t>京土整储挂(东)[2021] 076号</t>
  </si>
  <si>
    <t xml:space="preserve"> 东城区 </t>
  </si>
  <si>
    <t xml:space="preserve"> 劲松 </t>
  </si>
  <si>
    <t xml:space="preserve"> 东城区广渠门外大街22号 </t>
  </si>
  <si>
    <t xml:space="preserve"> F3(其他多功能用地) </t>
  </si>
  <si>
    <t xml:space="preserve"> 京土整储挂(东)[2021] 076号 </t>
  </si>
  <si>
    <t xml:space="preserve"> 福建隆恩建材贸易有限公司  </t>
  </si>
  <si>
    <t>北京市海淀区西北旺镇永丰产业基地(新)HD00-0403-003地块F3其他类多功能用地</t>
  </si>
  <si>
    <t>京土整储挂(海)[2021] 080号</t>
  </si>
  <si>
    <t xml:space="preserve"> 京土整储挂(海)[2021] 080号 </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</si>
  <si>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</si>
  <si>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</si>
  <si>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</si>
  <si>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 </t>
  </si>
  <si>
    <t xml:space="preserve"> B2商务用地 </t>
  </si>
  <si>
    <t xml:space="preserve"> 京土整储挂(通)[2021]032号 </t>
  </si>
  <si>
    <t xml:space="preserve"> ≤3.1 </t>
  </si>
  <si>
    <t xml:space="preserve"> 北京城市副中心投资建设集团有限公司  </t>
  </si>
  <si>
    <t>正常</t>
  </si>
  <si>
    <t>商务金融</t>
    <phoneticPr fontId="3" type="noConversion"/>
  </si>
  <si>
    <t>旅馆用地</t>
    <phoneticPr fontId="3" type="noConversion"/>
  </si>
  <si>
    <r>
      <t>F3</t>
    </r>
    <r>
      <rPr>
        <sz val="11"/>
        <rFont val="宋体"/>
        <family val="3"/>
        <charset val="134"/>
      </rPr>
      <t>其他类多功能用地</t>
    </r>
    <phoneticPr fontId="3" type="noConversion"/>
  </si>
  <si>
    <t>较规则</t>
    <phoneticPr fontId="3" type="noConversion"/>
  </si>
  <si>
    <t>较适宜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</si>
  <si>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</si>
  <si>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</si>
  <si>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</si>
  <si>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</si>
  <si>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</si>
  <si>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</si>
  <si>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商务金融</t>
  </si>
  <si>
    <t>F3其他类多功能用地</t>
  </si>
  <si>
    <t>较差</t>
  </si>
  <si>
    <t>一般</t>
  </si>
  <si>
    <t>七通</t>
  </si>
  <si>
    <t>较规则</t>
  </si>
  <si>
    <t>较适宜</t>
  </si>
  <si>
    <t>较好</t>
  </si>
  <si>
    <t>六通</t>
  </si>
  <si>
    <t>三通</t>
  </si>
  <si>
    <t>未包含在土地购买价格中</t>
  </si>
  <si>
    <t>全部缴纳</t>
  </si>
  <si>
    <t>已包含在土地取得成本中</t>
  </si>
  <si>
    <t>钢混</t>
  </si>
  <si>
    <t>非生产用房</t>
  </si>
  <si>
    <t>押一</t>
  </si>
  <si>
    <t>成本法</t>
  </si>
  <si>
    <t>现房</t>
  </si>
  <si>
    <t>项目局部</t>
  </si>
  <si>
    <t>单位面积地价</t>
  </si>
  <si>
    <t>商务金融用地</t>
  </si>
  <si>
    <t>自定义容积率</t>
  </si>
  <si>
    <t>不临65条商业街</t>
  </si>
  <si>
    <t>通路</t>
  </si>
  <si>
    <t>通电</t>
  </si>
  <si>
    <t>通讯</t>
  </si>
  <si>
    <t>通上水</t>
  </si>
  <si>
    <t>通下水</t>
  </si>
  <si>
    <t>燃气</t>
  </si>
  <si>
    <t>与级别开发程度不一致</t>
  </si>
  <si>
    <t>中心城区以外</t>
  </si>
  <si>
    <t>挂牌</t>
    <phoneticPr fontId="3" type="noConversion"/>
  </si>
  <si>
    <t>独栋别墅</t>
    <phoneticPr fontId="3" type="noConversion"/>
  </si>
  <si>
    <t>钢混</t>
    <phoneticPr fontId="3" type="noConversion"/>
  </si>
  <si>
    <t>超高档</t>
    <phoneticPr fontId="3" type="noConversion"/>
  </si>
  <si>
    <t>高档</t>
    <phoneticPr fontId="3" type="noConversion"/>
  </si>
  <si>
    <t>豪华装修</t>
    <phoneticPr fontId="3" type="noConversion"/>
  </si>
  <si>
    <t>精装修</t>
    <phoneticPr fontId="3" type="noConversion"/>
  </si>
  <si>
    <t>专业</t>
    <phoneticPr fontId="3" type="noConversion"/>
  </si>
  <si>
    <t>复式</t>
    <phoneticPr fontId="3" type="noConversion"/>
  </si>
  <si>
    <t>精装修</t>
  </si>
  <si>
    <t>普装</t>
  </si>
  <si>
    <t>简装</t>
  </si>
  <si>
    <t>毛坯</t>
  </si>
  <si>
    <t>单套模式</t>
  </si>
  <si>
    <t>租金</t>
  </si>
  <si>
    <t>纳帕溪谷</t>
    <phoneticPr fontId="3" type="noConversion"/>
  </si>
  <si>
    <t>珠江壹仟栋</t>
    <phoneticPr fontId="3" type="noConversion"/>
  </si>
  <si>
    <t>京基鹭府</t>
  </si>
  <si>
    <t>住宅</t>
  </si>
  <si>
    <t>住宅</t>
    <phoneticPr fontId="24" type="noConversion"/>
  </si>
  <si>
    <t>挂牌</t>
  </si>
  <si>
    <t>独栋别墅</t>
  </si>
  <si>
    <t>超高档</t>
  </si>
  <si>
    <t>豪华装修</t>
  </si>
  <si>
    <t>专业</t>
  </si>
  <si>
    <t>复式</t>
  </si>
  <si>
    <t>高档</t>
  </si>
  <si>
    <t>楼面单价</t>
  </si>
  <si>
    <t>企业</t>
  </si>
  <si>
    <t>北京市</t>
  </si>
  <si>
    <r>
      <t>（规划）建筑面积（m</t>
    </r>
    <r>
      <rPr>
        <b/>
        <vertAlign val="superscript"/>
        <sz val="8"/>
        <rFont val="微软雅黑"/>
        <family val="2"/>
        <charset val="134"/>
      </rPr>
      <t>2</t>
    </r>
    <r>
      <rPr>
        <b/>
        <sz val="11"/>
        <rFont val="微软雅黑"/>
        <family val="2"/>
        <charset val="134"/>
      </rPr>
      <t>）</t>
    </r>
    <phoneticPr fontId="134" type="noConversion"/>
  </si>
  <si>
    <r>
      <t>（分摊）土地面积（m</t>
    </r>
    <r>
      <rPr>
        <b/>
        <vertAlign val="superscript"/>
        <sz val="8"/>
        <rFont val="微软雅黑"/>
        <family val="2"/>
        <charset val="134"/>
      </rPr>
      <t>2</t>
    </r>
    <r>
      <rPr>
        <b/>
        <sz val="11"/>
        <rFont val="微软雅黑"/>
        <family val="2"/>
        <charset val="134"/>
      </rPr>
      <t>）</t>
    </r>
    <phoneticPr fontId="134" type="noConversion"/>
  </si>
  <si>
    <t>房屋登记面积（㎡）</t>
  </si>
  <si>
    <t>地上面积（㎡）</t>
  </si>
  <si>
    <t>地下面积（㎡）</t>
  </si>
  <si>
    <t>不动产登记证号</t>
  </si>
  <si>
    <t>京（2020）昌不动产权第0000459号</t>
  </si>
  <si>
    <t>京（2020）昌不动产权第0000460号</t>
  </si>
  <si>
    <t>京（2020）昌不动产权第0000461号</t>
  </si>
  <si>
    <t>京（2020）昌不动产权第0000462号</t>
  </si>
  <si>
    <t>京（2020）昌不动产权第0000463号</t>
  </si>
  <si>
    <t>京（2020）昌不动产权第0000464号</t>
  </si>
  <si>
    <t>京（2020）昌不动产权第0000465号</t>
  </si>
  <si>
    <t>京（2020）昌不动产权第0000467号</t>
  </si>
  <si>
    <t>京（2020）昌不动产权第0000469号</t>
  </si>
  <si>
    <t>京（2020）昌不动产权第0000470号</t>
  </si>
  <si>
    <t>京（2020）昌不动产权第0000471号</t>
  </si>
  <si>
    <t>京（2020）昌不动产权第0000473号</t>
  </si>
  <si>
    <t>京（2020）昌不动产权第0000474号</t>
  </si>
  <si>
    <t>京（2020）昌不动产权第0000475号</t>
  </si>
  <si>
    <t>京（2020）昌不动产权第0000476号</t>
  </si>
  <si>
    <t>京（2020）昌不动产权第0000478号</t>
  </si>
  <si>
    <t>京（2020）昌不动产权第0001336号</t>
  </si>
  <si>
    <t>京（2020）昌不动产权第0001333号</t>
  </si>
  <si>
    <t>京（2020）昌不动产权第0001327号</t>
  </si>
  <si>
    <t>抵押情况</t>
    <phoneticPr fontId="134" type="noConversion"/>
  </si>
  <si>
    <t>查封情况</t>
    <phoneticPr fontId="134" type="noConversion"/>
  </si>
  <si>
    <t>无</t>
  </si>
  <si>
    <t>无</t>
    <phoneticPr fontId="134" type="noConversion"/>
  </si>
  <si>
    <t>有</t>
    <phoneticPr fontId="134" type="noConversion"/>
  </si>
  <si>
    <r>
      <t>查询时间：2</t>
    </r>
    <r>
      <rPr>
        <sz val="11"/>
        <color theme="1"/>
        <rFont val="宋体"/>
        <family val="3"/>
        <charset val="134"/>
        <scheme val="minor"/>
      </rPr>
      <t>024年12月31日</t>
    </r>
    <phoneticPr fontId="134" type="noConversion"/>
  </si>
  <si>
    <t>11号楼</t>
  </si>
  <si>
    <t>11号楼</t>
    <phoneticPr fontId="7" type="noConversion"/>
  </si>
  <si>
    <r>
      <t>11</t>
    </r>
    <r>
      <rPr>
        <b/>
        <sz val="11"/>
        <color theme="1"/>
        <rFont val="宋体"/>
        <family val="3"/>
        <charset val="134"/>
      </rPr>
      <t>号</t>
    </r>
    <phoneticPr fontId="134" type="noConversion"/>
  </si>
  <si>
    <r>
      <t>12</t>
    </r>
    <r>
      <rPr>
        <b/>
        <sz val="11"/>
        <color theme="1"/>
        <rFont val="宋体"/>
        <family val="3"/>
        <charset val="134"/>
      </rPr>
      <t>号</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</si>
</sst>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theme="1"/>
      <name val="宋体"/>
      <family val="2"/>
      <charset val="134"/>
    </font>
    <font>
      <i/>
      <sz val="9"/>
      <color theme="1"/>
      <name val="Arial"/>
      <family val="2"/>
    </font>
    <font>
      <i/>
      <sz val="9"/>
      <color theme="1"/>
      <name val="宋体"/>
      <family val="3"/>
      <charset val="134"/>
    </font>
    <font>
      <sz val="12"/>
      <color theme="1"/>
      <name val="宋体"/>
      <family val="2"/>
      <scheme val="minor"/>
    </font>
    <font>
      <sz val="9"/>
      <name val="华文细黑"/>
      <family val="3"/>
      <charset val="134"/>
    </font>
    <font>
      <b/>
      <sz val="11"/>
      <name val="微软雅黑"/>
      <family val="2"/>
      <charset val="134"/>
    </font>
    <font>
      <b/>
      <vertAlign val="superscript"/>
      <sz val="8"/>
      <name val="微软雅黑"/>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9" fontId="95" fillId="0" borderId="0" applyFont="0" applyFill="0" applyBorder="0" applyAlignment="0" applyProtection="0">
      <alignment vertical="center"/>
    </xf>
    <xf numFmtId="0" fontId="273" fillId="0" borderId="0"/>
  </cellStyleXfs>
  <cellXfs count="35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9" fillId="0" borderId="0" xfId="19" applyFont="1" applyAlignment="1">
      <alignment horizontal="left" vertical="center"/>
    </xf>
    <xf numFmtId="0" fontId="19" fillId="0" borderId="0" xfId="19" applyFont="1" applyAlignment="1">
      <alignment horizontal="left" vertical="center" wrapText="1"/>
    </xf>
    <xf numFmtId="0" fontId="19" fillId="0" borderId="1" xfId="19" applyFont="1" applyBorder="1" applyAlignment="1">
      <alignment horizontal="left" vertical="center"/>
    </xf>
    <xf numFmtId="0" fontId="19" fillId="0" borderId="1" xfId="19" applyFont="1" applyBorder="1" applyAlignment="1">
      <alignment horizontal="left" vertical="center" wrapText="1"/>
    </xf>
    <xf numFmtId="0" fontId="95" fillId="0" borderId="1" xfId="10" applyBorder="1" applyAlignment="1">
      <alignment horizontal="left" vertical="center"/>
    </xf>
    <xf numFmtId="0" fontId="19" fillId="5" borderId="1" xfId="19" applyFont="1" applyFill="1" applyBorder="1" applyAlignment="1">
      <alignment horizontal="left" vertical="center"/>
    </xf>
    <xf numFmtId="0" fontId="19" fillId="5" borderId="0" xfId="19" applyFont="1" applyFill="1" applyAlignment="1">
      <alignment horizontal="left" vertical="center"/>
    </xf>
    <xf numFmtId="0" fontId="19" fillId="0" borderId="1" xfId="19" applyFont="1" applyBorder="1" applyAlignment="1">
      <alignment horizontal="left" vertical="top" wrapText="1"/>
    </xf>
    <xf numFmtId="0" fontId="98" fillId="0" borderId="0" xfId="10" applyFont="1" applyAlignment="1">
      <alignment horizontal="left" vertical="center" wrapText="1"/>
    </xf>
    <xf numFmtId="0" fontId="98" fillId="0" borderId="1" xfId="10" applyFont="1" applyBorder="1" applyAlignment="1">
      <alignment horizontal="left" vertical="center" wrapText="1"/>
    </xf>
    <xf numFmtId="0" fontId="98" fillId="0" borderId="1" xfId="10" applyFont="1" applyBorder="1" applyAlignment="1">
      <alignment vertical="center" wrapText="1"/>
    </xf>
    <xf numFmtId="0" fontId="114" fillId="0" borderId="1" xfId="10" applyFont="1" applyBorder="1" applyAlignment="1">
      <alignment horizontal="left" vertical="center" wrapText="1"/>
    </xf>
    <xf numFmtId="0" fontId="271" fillId="0" borderId="1" xfId="10" applyFont="1" applyBorder="1" applyAlignment="1">
      <alignment horizontal="right" vertical="center" wrapText="1"/>
    </xf>
    <xf numFmtId="0" fontId="98" fillId="22" borderId="1" xfId="10" applyFont="1" applyFill="1" applyBorder="1" applyAlignment="1">
      <alignment horizontal="left" vertical="center" wrapText="1"/>
    </xf>
    <xf numFmtId="0" fontId="98" fillId="23" borderId="1" xfId="10" applyFont="1" applyFill="1" applyBorder="1" applyAlignment="1">
      <alignment vertical="center" wrapText="1"/>
    </xf>
    <xf numFmtId="0" fontId="98" fillId="23" borderId="1" xfId="10" applyFont="1" applyFill="1" applyBorder="1" applyAlignment="1">
      <alignment horizontal="left" vertical="center" wrapText="1"/>
    </xf>
    <xf numFmtId="0" fontId="265" fillId="0" borderId="1" xfId="10" applyFont="1" applyBorder="1" applyAlignment="1">
      <alignment horizontal="right" vertical="center" wrapText="1"/>
    </xf>
    <xf numFmtId="0" fontId="98" fillId="24" borderId="1" xfId="10" applyFont="1" applyFill="1" applyBorder="1" applyAlignment="1">
      <alignment horizontal="left" vertical="center" wrapText="1"/>
    </xf>
    <xf numFmtId="0" fontId="114" fillId="24" borderId="1" xfId="10" applyFont="1" applyFill="1" applyBorder="1" applyAlignment="1">
      <alignment horizontal="left" vertical="center" wrapText="1"/>
    </xf>
    <xf numFmtId="181" fontId="98" fillId="0" borderId="1" xfId="20" applyNumberFormat="1" applyFont="1" applyBorder="1" applyAlignment="1">
      <alignment horizontal="left" vertical="center" wrapText="1"/>
    </xf>
    <xf numFmtId="0" fontId="77" fillId="0" borderId="1" xfId="0" applyFont="1" applyBorder="1" applyAlignment="1" applyProtection="1">
      <alignment horizontal="center" vertical="center" wrapText="1"/>
      <protection locked="0"/>
    </xf>
    <xf numFmtId="0" fontId="265" fillId="0" borderId="1" xfId="21" applyFont="1" applyBorder="1" applyAlignment="1">
      <alignment horizontal="left" vertical="center" wrapText="1"/>
    </xf>
    <xf numFmtId="0" fontId="265" fillId="14" borderId="1" xfId="21" applyFont="1" applyFill="1" applyBorder="1" applyAlignment="1">
      <alignment horizontal="left" vertical="center" wrapText="1"/>
    </xf>
    <xf numFmtId="0" fontId="274" fillId="14" borderId="1" xfId="21" applyFont="1" applyFill="1" applyBorder="1" applyAlignment="1">
      <alignment horizontal="left" vertical="center" wrapText="1"/>
    </xf>
    <xf numFmtId="0" fontId="265" fillId="9" borderId="1" xfId="21" applyFont="1" applyFill="1" applyBorder="1" applyAlignment="1">
      <alignment horizontal="left" vertical="center" wrapText="1"/>
    </xf>
    <xf numFmtId="0" fontId="265" fillId="0" borderId="0" xfId="21" applyFont="1" applyAlignment="1">
      <alignment horizontal="left" vertical="center" wrapText="1"/>
    </xf>
    <xf numFmtId="0" fontId="265" fillId="0" borderId="1" xfId="21" applyFont="1" applyBorder="1" applyAlignment="1">
      <alignment horizontal="left" vertical="center"/>
    </xf>
    <xf numFmtId="14" fontId="265" fillId="0" borderId="1" xfId="21" applyNumberFormat="1" applyFont="1" applyBorder="1" applyAlignment="1">
      <alignment horizontal="left" vertical="center"/>
    </xf>
    <xf numFmtId="0" fontId="265" fillId="14" borderId="1" xfId="21" applyFont="1" applyFill="1" applyBorder="1" applyAlignment="1">
      <alignment horizontal="left" vertical="center"/>
    </xf>
    <xf numFmtId="0" fontId="274" fillId="14" borderId="1" xfId="21" applyFont="1" applyFill="1" applyBorder="1" applyAlignment="1">
      <alignment horizontal="left" vertical="center"/>
    </xf>
    <xf numFmtId="0" fontId="265" fillId="9" borderId="1" xfId="21" applyFont="1" applyFill="1" applyBorder="1" applyAlignment="1">
      <alignment horizontal="left" vertical="center"/>
    </xf>
    <xf numFmtId="0" fontId="265" fillId="0" borderId="0" xfId="21" applyFont="1" applyAlignment="1">
      <alignment horizontal="left" vertical="center"/>
    </xf>
    <xf numFmtId="0" fontId="265" fillId="25" borderId="1" xfId="21" applyFont="1" applyFill="1" applyBorder="1" applyAlignment="1">
      <alignment horizontal="left" vertical="center" wrapText="1"/>
    </xf>
    <xf numFmtId="0" fontId="265" fillId="25" borderId="1" xfId="21" applyFont="1" applyFill="1" applyBorder="1" applyAlignment="1">
      <alignment horizontal="left" vertical="center"/>
    </xf>
    <xf numFmtId="14" fontId="265" fillId="25" borderId="1" xfId="21" applyNumberFormat="1" applyFont="1" applyFill="1" applyBorder="1" applyAlignment="1">
      <alignment horizontal="left" vertical="center"/>
    </xf>
    <xf numFmtId="0" fontId="265" fillId="25" borderId="0" xfId="21" applyFont="1" applyFill="1" applyAlignment="1">
      <alignment horizontal="left" vertical="center"/>
    </xf>
    <xf numFmtId="0" fontId="265" fillId="7" borderId="1" xfId="21" applyFont="1" applyFill="1" applyBorder="1" applyAlignment="1">
      <alignment horizontal="left" vertical="center" wrapText="1"/>
    </xf>
    <xf numFmtId="0" fontId="265" fillId="7" borderId="1" xfId="21" applyFont="1" applyFill="1" applyBorder="1" applyAlignment="1">
      <alignment horizontal="left" vertical="center"/>
    </xf>
    <xf numFmtId="14" fontId="265" fillId="7" borderId="1" xfId="21" applyNumberFormat="1" applyFont="1" applyFill="1" applyBorder="1" applyAlignment="1">
      <alignment horizontal="left" vertical="center"/>
    </xf>
    <xf numFmtId="0" fontId="265" fillId="7" borderId="0" xfId="21" applyFont="1" applyFill="1" applyAlignment="1">
      <alignment horizontal="left" vertical="center"/>
    </xf>
    <xf numFmtId="0" fontId="265" fillId="14" borderId="0" xfId="21" applyFont="1" applyFill="1" applyAlignment="1">
      <alignment horizontal="left" vertical="center"/>
    </xf>
    <xf numFmtId="0" fontId="274" fillId="14" borderId="0" xfId="21" applyFont="1" applyFill="1" applyAlignment="1">
      <alignment horizontal="left" vertical="center"/>
    </xf>
    <xf numFmtId="0" fontId="265" fillId="9" borderId="0" xfId="21" applyFont="1" applyFill="1" applyAlignment="1">
      <alignment horizontal="left" vertical="center"/>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177" fontId="47" fillId="18" borderId="1" xfId="1" applyNumberFormat="1" applyFont="1" applyFill="1" applyBorder="1" applyAlignment="1" applyProtection="1">
      <alignment horizontal="center" vertical="center"/>
      <protection locked="0"/>
    </xf>
    <xf numFmtId="9" fontId="47" fillId="18" borderId="5" xfId="0" applyNumberFormat="1" applyFont="1" applyFill="1" applyBorder="1" applyAlignment="1" applyProtection="1">
      <alignment horizontal="center" vertical="center"/>
      <protection locked="0"/>
    </xf>
    <xf numFmtId="179" fontId="44" fillId="18" borderId="23" xfId="0" applyNumberFormat="1"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5" fillId="5" borderId="0" xfId="10" applyFill="1" applyAlignment="1">
      <alignment horizontal="left" vertical="center"/>
    </xf>
    <xf numFmtId="0" fontId="95" fillId="0" borderId="0" xfId="10" applyAlignment="1">
      <alignment horizontal="left" vertical="center"/>
    </xf>
    <xf numFmtId="0" fontId="204" fillId="0" borderId="1" xfId="12" applyFont="1" applyBorder="1" applyAlignment="1" applyProtection="1">
      <alignment horizontal="left"/>
      <protection locked="0"/>
    </xf>
    <xf numFmtId="0" fontId="275" fillId="6" borderId="1" xfId="12" applyFont="1" applyFill="1" applyBorder="1" applyAlignment="1">
      <alignment horizontal="left" vertical="center" wrapText="1"/>
    </xf>
    <xf numFmtId="0" fontId="275" fillId="12" borderId="0" xfId="12" applyFont="1" applyFill="1" applyAlignment="1" applyProtection="1">
      <alignment horizontal="left" vertical="center" wrapText="1"/>
      <protection locked="0"/>
    </xf>
    <xf numFmtId="14" fontId="275" fillId="6" borderId="1" xfId="12" applyNumberFormat="1" applyFont="1" applyFill="1" applyBorder="1"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8" fillId="0" borderId="1" xfId="10" applyFont="1" applyBorder="1" applyAlignment="1">
      <alignment horizontal="left" vertical="center" wrapText="1"/>
    </xf>
    <xf numFmtId="0" fontId="19" fillId="0" borderId="0" xfId="19" applyFont="1" applyAlignment="1">
      <alignment horizontal="left" vertical="center"/>
    </xf>
    <xf numFmtId="0" fontId="19" fillId="0" borderId="35" xfId="19" applyFont="1" applyBorder="1" applyAlignment="1">
      <alignment horizontal="left" vertical="center"/>
    </xf>
    <xf numFmtId="0" fontId="19" fillId="0" borderId="0" xfId="19" applyFont="1" applyAlignment="1">
      <alignment horizontal="left" vertical="center" wrapText="1"/>
    </xf>
    <xf numFmtId="0" fontId="19" fillId="0" borderId="35" xfId="19" applyFont="1" applyBorder="1" applyAlignment="1">
      <alignment horizontal="left" vertical="center" wrapText="1"/>
    </xf>
    <xf numFmtId="0" fontId="19" fillId="0" borderId="1" xfId="19" applyFont="1" applyBorder="1" applyAlignment="1">
      <alignment horizontal="left" vertical="center"/>
    </xf>
    <xf numFmtId="0" fontId="98" fillId="0" borderId="0" xfId="10" applyFont="1" applyAlignment="1">
      <alignment horizontal="left" vertical="center" wrapText="1"/>
    </xf>
    <xf numFmtId="0" fontId="98" fillId="0" borderId="1" xfId="10" applyFont="1" applyBorder="1" applyAlignment="1">
      <alignment horizontal="center" vertical="center" wrapText="1"/>
    </xf>
    <xf numFmtId="0" fontId="114" fillId="22" borderId="1" xfId="10" applyFont="1" applyFill="1" applyBorder="1" applyAlignment="1">
      <alignment horizontal="left" vertical="center" wrapText="1"/>
    </xf>
    <xf numFmtId="0" fontId="98" fillId="22" borderId="1" xfId="10" applyFont="1" applyFill="1" applyBorder="1" applyAlignment="1">
      <alignment horizontal="left" vertical="center" wrapText="1"/>
    </xf>
    <xf numFmtId="0" fontId="98" fillId="24" borderId="1" xfId="10" applyFont="1" applyFill="1" applyBorder="1" applyAlignment="1">
      <alignment horizontal="left" vertical="center" wrapText="1"/>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2">
    <cellStyle name="百分比" xfId="17" builtinId="5"/>
    <cellStyle name="百分比 2" xfId="14" xr:uid="{00000000-0005-0000-0000-000001000000}"/>
    <cellStyle name="百分比 3" xfId="20" xr:uid="{00000000-0005-0000-0000-000002000000}"/>
    <cellStyle name="常规" xfId="0" builtinId="0"/>
    <cellStyle name="常规 10" xfId="19" xr:uid="{00000000-0005-0000-0000-000004000000}"/>
    <cellStyle name="常规 11" xfId="18" xr:uid="{00000000-0005-0000-0000-000005000000}"/>
    <cellStyle name="常规 12" xfId="21" xr:uid="{00000000-0005-0000-0000-000006000000}"/>
    <cellStyle name="常规 16" xfId="10" xr:uid="{00000000-0005-0000-0000-000007000000}"/>
    <cellStyle name="常规 2" xfId="1" xr:uid="{00000000-0005-0000-0000-000008000000}"/>
    <cellStyle name="常规 2 2" xfId="8" xr:uid="{00000000-0005-0000-0000-000009000000}"/>
    <cellStyle name="常规 2 2 2 2 3" xfId="15" xr:uid="{00000000-0005-0000-0000-00000A000000}"/>
    <cellStyle name="常规 3" xfId="2" xr:uid="{00000000-0005-0000-0000-00000B000000}"/>
    <cellStyle name="常规 3 2" xfId="3" xr:uid="{00000000-0005-0000-0000-00000C000000}"/>
    <cellStyle name="常规 4" xfId="4" xr:uid="{00000000-0005-0000-0000-00000D000000}"/>
    <cellStyle name="常规 5" xfId="5" xr:uid="{00000000-0005-0000-0000-00000E000000}"/>
    <cellStyle name="常规 6" xfId="6" xr:uid="{00000000-0005-0000-0000-00000F000000}"/>
    <cellStyle name="常规 6 2" xfId="9" xr:uid="{00000000-0005-0000-0000-000010000000}"/>
    <cellStyle name="常规 6 2 2" xfId="16" xr:uid="{00000000-0005-0000-0000-000011000000}"/>
    <cellStyle name="常规 6 2 3" xfId="13" xr:uid="{00000000-0005-0000-0000-000012000000}"/>
    <cellStyle name="常规 7" xfId="7" xr:uid="{00000000-0005-0000-0000-000013000000}"/>
    <cellStyle name="常规 8" xfId="11" xr:uid="{00000000-0005-0000-0000-000014000000}"/>
    <cellStyle name="常规 9" xfId="12" xr:uid="{00000000-0005-0000-0000-000015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47625</xdr:colOff>
      <xdr:row>43</xdr:row>
      <xdr:rowOff>142875</xdr:rowOff>
    </xdr:from>
    <xdr:to>
      <xdr:col>21</xdr:col>
      <xdr:colOff>379524</xdr:colOff>
      <xdr:row>53</xdr:row>
      <xdr:rowOff>152180</xdr:rowOff>
    </xdr:to>
    <xdr:pic>
      <xdr:nvPicPr>
        <xdr:cNvPr id="2" name="图片 1">
          <a:extLst>
            <a:ext uri="{FF2B5EF4-FFF2-40B4-BE49-F238E27FC236}">
              <a16:creationId xmlns:a16="http://schemas.microsoft.com/office/drawing/2014/main" id="{96508339-17BF-48AA-9377-C80596C262A4}"/>
            </a:ext>
          </a:extLst>
        </xdr:cNvPr>
        <xdr:cNvPicPr>
          <a:picLocks noChangeAspect="1"/>
        </xdr:cNvPicPr>
      </xdr:nvPicPr>
      <xdr:blipFill>
        <a:blip xmlns:r="http://schemas.openxmlformats.org/officeDocument/2006/relationships" r:embed="rId1"/>
        <a:stretch>
          <a:fillRect/>
        </a:stretch>
      </xdr:blipFill>
      <xdr:spPr>
        <a:xfrm>
          <a:off x="7134225" y="7267575"/>
          <a:ext cx="11809524" cy="1761905"/>
        </a:xfrm>
        <a:prstGeom prst="rect">
          <a:avLst/>
        </a:prstGeom>
      </xdr:spPr>
    </xdr:pic>
    <xdr:clientData/>
  </xdr:twoCellAnchor>
  <xdr:twoCellAnchor editAs="oneCell">
    <xdr:from>
      <xdr:col>6</xdr:col>
      <xdr:colOff>76200</xdr:colOff>
      <xdr:row>39</xdr:row>
      <xdr:rowOff>57150</xdr:rowOff>
    </xdr:from>
    <xdr:to>
      <xdr:col>10</xdr:col>
      <xdr:colOff>285368</xdr:colOff>
      <xdr:row>44</xdr:row>
      <xdr:rowOff>76092</xdr:rowOff>
    </xdr:to>
    <xdr:pic>
      <xdr:nvPicPr>
        <xdr:cNvPr id="3" name="图片 2">
          <a:extLst>
            <a:ext uri="{FF2B5EF4-FFF2-40B4-BE49-F238E27FC236}">
              <a16:creationId xmlns:a16="http://schemas.microsoft.com/office/drawing/2014/main" id="{1353B1B9-8966-4409-A06F-19A51558CF16}"/>
            </a:ext>
          </a:extLst>
        </xdr:cNvPr>
        <xdr:cNvPicPr>
          <a:picLocks noChangeAspect="1"/>
        </xdr:cNvPicPr>
      </xdr:nvPicPr>
      <xdr:blipFill>
        <a:blip xmlns:r="http://schemas.openxmlformats.org/officeDocument/2006/relationships" r:embed="rId2"/>
        <a:stretch>
          <a:fillRect/>
        </a:stretch>
      </xdr:blipFill>
      <xdr:spPr>
        <a:xfrm>
          <a:off x="7162800" y="6515100"/>
          <a:ext cx="3057143" cy="8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13</xdr:col>
      <xdr:colOff>65330</xdr:colOff>
      <xdr:row>73</xdr:row>
      <xdr:rowOff>104094</xdr:rowOff>
    </xdr:to>
    <xdr:pic>
      <xdr:nvPicPr>
        <xdr:cNvPr id="2" name="图片 1">
          <a:extLst>
            <a:ext uri="{FF2B5EF4-FFF2-40B4-BE49-F238E27FC236}">
              <a16:creationId xmlns:a16="http://schemas.microsoft.com/office/drawing/2014/main" id="{DE1549DC-CA5D-419B-BCD7-E751D72CAF4D}"/>
            </a:ext>
          </a:extLst>
        </xdr:cNvPr>
        <xdr:cNvPicPr>
          <a:picLocks noChangeAspect="1"/>
        </xdr:cNvPicPr>
      </xdr:nvPicPr>
      <xdr:blipFill>
        <a:blip xmlns:r="http://schemas.openxmlformats.org/officeDocument/2006/relationships" r:embed="rId1"/>
        <a:stretch>
          <a:fillRect/>
        </a:stretch>
      </xdr:blipFill>
      <xdr:spPr>
        <a:xfrm>
          <a:off x="0" y="13115925"/>
          <a:ext cx="10761905" cy="5447619"/>
        </a:xfrm>
        <a:prstGeom prst="rect">
          <a:avLst/>
        </a:prstGeom>
      </xdr:spPr>
    </xdr:pic>
    <xdr:clientData/>
  </xdr:twoCellAnchor>
  <xdr:twoCellAnchor>
    <xdr:from>
      <xdr:col>6</xdr:col>
      <xdr:colOff>990600</xdr:colOff>
      <xdr:row>57</xdr:row>
      <xdr:rowOff>47625</xdr:rowOff>
    </xdr:from>
    <xdr:to>
      <xdr:col>7</xdr:col>
      <xdr:colOff>0</xdr:colOff>
      <xdr:row>59</xdr:row>
      <xdr:rowOff>28575</xdr:rowOff>
    </xdr:to>
    <xdr:sp macro="" textlink="">
      <xdr:nvSpPr>
        <xdr:cNvPr id="3" name="六角星 4">
          <a:extLst>
            <a:ext uri="{FF2B5EF4-FFF2-40B4-BE49-F238E27FC236}">
              <a16:creationId xmlns:a16="http://schemas.microsoft.com/office/drawing/2014/main" id="{C0F98794-D527-4619-8A39-5061EB3D731B}"/>
            </a:ext>
          </a:extLst>
        </xdr:cNvPr>
        <xdr:cNvSpPr/>
      </xdr:nvSpPr>
      <xdr:spPr>
        <a:xfrm>
          <a:off x="6381750" y="15916275"/>
          <a:ext cx="285750" cy="304800"/>
        </a:xfrm>
        <a:prstGeom prst="star6">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342900</xdr:colOff>
      <xdr:row>57</xdr:row>
      <xdr:rowOff>47625</xdr:rowOff>
    </xdr:from>
    <xdr:to>
      <xdr:col>6</xdr:col>
      <xdr:colOff>628650</xdr:colOff>
      <xdr:row>59</xdr:row>
      <xdr:rowOff>28575</xdr:rowOff>
    </xdr:to>
    <xdr:sp macro="" textlink="">
      <xdr:nvSpPr>
        <xdr:cNvPr id="4" name="六角星 5">
          <a:extLst>
            <a:ext uri="{FF2B5EF4-FFF2-40B4-BE49-F238E27FC236}">
              <a16:creationId xmlns:a16="http://schemas.microsoft.com/office/drawing/2014/main" id="{7556AD7D-93C6-4ACA-AD1E-F1CC7914AF20}"/>
            </a:ext>
          </a:extLst>
        </xdr:cNvPr>
        <xdr:cNvSpPr/>
      </xdr:nvSpPr>
      <xdr:spPr>
        <a:xfrm>
          <a:off x="5734050" y="15916275"/>
          <a:ext cx="285750" cy="304800"/>
        </a:xfrm>
        <a:prstGeom prst="star6">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952500</xdr:colOff>
      <xdr:row>59</xdr:row>
      <xdr:rowOff>28575</xdr:rowOff>
    </xdr:from>
    <xdr:to>
      <xdr:col>6</xdr:col>
      <xdr:colOff>1238250</xdr:colOff>
      <xdr:row>61</xdr:row>
      <xdr:rowOff>9525</xdr:rowOff>
    </xdr:to>
    <xdr:sp macro="" textlink="">
      <xdr:nvSpPr>
        <xdr:cNvPr id="5" name="六角星 6">
          <a:extLst>
            <a:ext uri="{FF2B5EF4-FFF2-40B4-BE49-F238E27FC236}">
              <a16:creationId xmlns:a16="http://schemas.microsoft.com/office/drawing/2014/main" id="{C9815CD6-C30A-4EB1-BEA8-FA9B5769FCC6}"/>
            </a:ext>
          </a:extLst>
        </xdr:cNvPr>
        <xdr:cNvSpPr/>
      </xdr:nvSpPr>
      <xdr:spPr>
        <a:xfrm>
          <a:off x="6343650" y="16221075"/>
          <a:ext cx="285750" cy="304800"/>
        </a:xfrm>
        <a:prstGeom prst="star6">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76200</xdr:colOff>
      <xdr:row>49</xdr:row>
      <xdr:rowOff>28575</xdr:rowOff>
    </xdr:from>
    <xdr:to>
      <xdr:col>2</xdr:col>
      <xdr:colOff>361950</xdr:colOff>
      <xdr:row>51</xdr:row>
      <xdr:rowOff>9525</xdr:rowOff>
    </xdr:to>
    <xdr:sp macro="" textlink="">
      <xdr:nvSpPr>
        <xdr:cNvPr id="6" name="六角星 7">
          <a:extLst>
            <a:ext uri="{FF2B5EF4-FFF2-40B4-BE49-F238E27FC236}">
              <a16:creationId xmlns:a16="http://schemas.microsoft.com/office/drawing/2014/main" id="{20D62F29-1F28-4DCF-860D-49CFF84E488F}"/>
            </a:ext>
          </a:extLst>
        </xdr:cNvPr>
        <xdr:cNvSpPr/>
      </xdr:nvSpPr>
      <xdr:spPr>
        <a:xfrm>
          <a:off x="4800600" y="14601825"/>
          <a:ext cx="285750" cy="304800"/>
        </a:xfrm>
        <a:prstGeom prst="star6">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73</xdr:row>
      <xdr:rowOff>19050</xdr:rowOff>
    </xdr:from>
    <xdr:to>
      <xdr:col>11</xdr:col>
      <xdr:colOff>657611</xdr:colOff>
      <xdr:row>109</xdr:row>
      <xdr:rowOff>27548</xdr:rowOff>
    </xdr:to>
    <xdr:pic>
      <xdr:nvPicPr>
        <xdr:cNvPr id="7" name="图片 6">
          <a:extLst>
            <a:ext uri="{FF2B5EF4-FFF2-40B4-BE49-F238E27FC236}">
              <a16:creationId xmlns:a16="http://schemas.microsoft.com/office/drawing/2014/main" id="{38B6AD56-C08C-4335-9AE4-02CB5E6940AD}"/>
            </a:ext>
          </a:extLst>
        </xdr:cNvPr>
        <xdr:cNvPicPr>
          <a:picLocks noChangeAspect="1"/>
        </xdr:cNvPicPr>
      </xdr:nvPicPr>
      <xdr:blipFill>
        <a:blip xmlns:r="http://schemas.openxmlformats.org/officeDocument/2006/relationships" r:embed="rId2"/>
        <a:stretch>
          <a:fillRect/>
        </a:stretch>
      </xdr:blipFill>
      <xdr:spPr>
        <a:xfrm>
          <a:off x="0" y="18478500"/>
          <a:ext cx="8658611" cy="5837798"/>
        </a:xfrm>
        <a:prstGeom prst="rect">
          <a:avLst/>
        </a:prstGeom>
      </xdr:spPr>
    </xdr:pic>
    <xdr:clientData/>
  </xdr:twoCellAnchor>
  <xdr:twoCellAnchor editAs="oneCell">
    <xdr:from>
      <xdr:col>0</xdr:col>
      <xdr:colOff>0</xdr:colOff>
      <xdr:row>108</xdr:row>
      <xdr:rowOff>17501</xdr:rowOff>
    </xdr:from>
    <xdr:to>
      <xdr:col>11</xdr:col>
      <xdr:colOff>476250</xdr:colOff>
      <xdr:row>143</xdr:row>
      <xdr:rowOff>65647</xdr:rowOff>
    </xdr:to>
    <xdr:pic>
      <xdr:nvPicPr>
        <xdr:cNvPr id="8" name="图片 7">
          <a:extLst>
            <a:ext uri="{FF2B5EF4-FFF2-40B4-BE49-F238E27FC236}">
              <a16:creationId xmlns:a16="http://schemas.microsoft.com/office/drawing/2014/main" id="{4749C3BC-9725-44E6-93A4-78C9FF14E50D}"/>
            </a:ext>
          </a:extLst>
        </xdr:cNvPr>
        <xdr:cNvPicPr>
          <a:picLocks noChangeAspect="1"/>
        </xdr:cNvPicPr>
      </xdr:nvPicPr>
      <xdr:blipFill>
        <a:blip xmlns:r="http://schemas.openxmlformats.org/officeDocument/2006/relationships" r:embed="rId3"/>
        <a:stretch>
          <a:fillRect/>
        </a:stretch>
      </xdr:blipFill>
      <xdr:spPr>
        <a:xfrm>
          <a:off x="0" y="24144326"/>
          <a:ext cx="8477250" cy="5715521"/>
        </a:xfrm>
        <a:prstGeom prst="rect">
          <a:avLst/>
        </a:prstGeom>
      </xdr:spPr>
    </xdr:pic>
    <xdr:clientData/>
  </xdr:twoCellAnchor>
  <xdr:twoCellAnchor editAs="oneCell">
    <xdr:from>
      <xdr:col>0</xdr:col>
      <xdr:colOff>0</xdr:colOff>
      <xdr:row>144</xdr:row>
      <xdr:rowOff>152399</xdr:rowOff>
    </xdr:from>
    <xdr:to>
      <xdr:col>11</xdr:col>
      <xdr:colOff>615228</xdr:colOff>
      <xdr:row>180</xdr:row>
      <xdr:rowOff>132322</xdr:rowOff>
    </xdr:to>
    <xdr:pic>
      <xdr:nvPicPr>
        <xdr:cNvPr id="9" name="图片 8">
          <a:extLst>
            <a:ext uri="{FF2B5EF4-FFF2-40B4-BE49-F238E27FC236}">
              <a16:creationId xmlns:a16="http://schemas.microsoft.com/office/drawing/2014/main" id="{D9D900FE-8561-46F9-9157-DA6DE02740FB}"/>
            </a:ext>
          </a:extLst>
        </xdr:cNvPr>
        <xdr:cNvPicPr>
          <a:picLocks noChangeAspect="1"/>
        </xdr:cNvPicPr>
      </xdr:nvPicPr>
      <xdr:blipFill>
        <a:blip xmlns:r="http://schemas.openxmlformats.org/officeDocument/2006/relationships" r:embed="rId4"/>
        <a:stretch>
          <a:fillRect/>
        </a:stretch>
      </xdr:blipFill>
      <xdr:spPr>
        <a:xfrm>
          <a:off x="0" y="30108524"/>
          <a:ext cx="8616228" cy="58092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551437</xdr:colOff>
      <xdr:row>39</xdr:row>
      <xdr:rowOff>123825</xdr:rowOff>
    </xdr:to>
    <xdr:pic>
      <xdr:nvPicPr>
        <xdr:cNvPr id="2" name="图片 1">
          <a:extLst>
            <a:ext uri="{FF2B5EF4-FFF2-40B4-BE49-F238E27FC236}">
              <a16:creationId xmlns:a16="http://schemas.microsoft.com/office/drawing/2014/main" id="{64C0FE69-928C-4EF8-90BF-B282EC0B18F3}"/>
            </a:ext>
          </a:extLst>
        </xdr:cNvPr>
        <xdr:cNvPicPr>
          <a:picLocks noChangeAspect="1"/>
        </xdr:cNvPicPr>
      </xdr:nvPicPr>
      <xdr:blipFill>
        <a:blip xmlns:r="http://schemas.openxmlformats.org/officeDocument/2006/relationships" r:embed="rId1"/>
        <a:stretch>
          <a:fillRect/>
        </a:stretch>
      </xdr:blipFill>
      <xdr:spPr>
        <a:xfrm>
          <a:off x="1" y="0"/>
          <a:ext cx="7409436" cy="6810375"/>
        </a:xfrm>
        <a:prstGeom prst="rect">
          <a:avLst/>
        </a:prstGeom>
      </xdr:spPr>
    </xdr:pic>
    <xdr:clientData/>
  </xdr:twoCellAnchor>
  <xdr:twoCellAnchor editAs="oneCell">
    <xdr:from>
      <xdr:col>0</xdr:col>
      <xdr:colOff>0</xdr:colOff>
      <xdr:row>39</xdr:row>
      <xdr:rowOff>133350</xdr:rowOff>
    </xdr:from>
    <xdr:to>
      <xdr:col>10</xdr:col>
      <xdr:colOff>590550</xdr:colOff>
      <xdr:row>77</xdr:row>
      <xdr:rowOff>150734</xdr:rowOff>
    </xdr:to>
    <xdr:pic>
      <xdr:nvPicPr>
        <xdr:cNvPr id="3" name="图片 2">
          <a:extLst>
            <a:ext uri="{FF2B5EF4-FFF2-40B4-BE49-F238E27FC236}">
              <a16:creationId xmlns:a16="http://schemas.microsoft.com/office/drawing/2014/main" id="{B6DDD5AA-BCD9-472A-849C-CFC78B2E2244}"/>
            </a:ext>
          </a:extLst>
        </xdr:cNvPr>
        <xdr:cNvPicPr>
          <a:picLocks noChangeAspect="1"/>
        </xdr:cNvPicPr>
      </xdr:nvPicPr>
      <xdr:blipFill rotWithShape="1">
        <a:blip xmlns:r="http://schemas.openxmlformats.org/officeDocument/2006/relationships" r:embed="rId2"/>
        <a:srcRect l="2769"/>
        <a:stretch/>
      </xdr:blipFill>
      <xdr:spPr>
        <a:xfrm>
          <a:off x="0" y="6819900"/>
          <a:ext cx="7448550" cy="6532484"/>
        </a:xfrm>
        <a:prstGeom prst="rect">
          <a:avLst/>
        </a:prstGeom>
      </xdr:spPr>
    </xdr:pic>
    <xdr:clientData/>
  </xdr:twoCellAnchor>
  <xdr:twoCellAnchor editAs="oneCell">
    <xdr:from>
      <xdr:col>0</xdr:col>
      <xdr:colOff>0</xdr:colOff>
      <xdr:row>115</xdr:row>
      <xdr:rowOff>38100</xdr:rowOff>
    </xdr:from>
    <xdr:to>
      <xdr:col>14</xdr:col>
      <xdr:colOff>170228</xdr:colOff>
      <xdr:row>144</xdr:row>
      <xdr:rowOff>56526</xdr:rowOff>
    </xdr:to>
    <xdr:pic>
      <xdr:nvPicPr>
        <xdr:cNvPr id="4" name="图片 3">
          <a:extLst>
            <a:ext uri="{FF2B5EF4-FFF2-40B4-BE49-F238E27FC236}">
              <a16:creationId xmlns:a16="http://schemas.microsoft.com/office/drawing/2014/main" id="{A267C0D2-3E18-4635-AE87-DCAEA8F3C060}"/>
            </a:ext>
          </a:extLst>
        </xdr:cNvPr>
        <xdr:cNvPicPr>
          <a:picLocks noChangeAspect="1"/>
        </xdr:cNvPicPr>
      </xdr:nvPicPr>
      <xdr:blipFill>
        <a:blip xmlns:r="http://schemas.openxmlformats.org/officeDocument/2006/relationships" r:embed="rId3"/>
        <a:stretch>
          <a:fillRect/>
        </a:stretch>
      </xdr:blipFill>
      <xdr:spPr>
        <a:xfrm>
          <a:off x="0" y="19754850"/>
          <a:ext cx="9771428" cy="4990476"/>
        </a:xfrm>
        <a:prstGeom prst="rect">
          <a:avLst/>
        </a:prstGeom>
      </xdr:spPr>
    </xdr:pic>
    <xdr:clientData/>
  </xdr:twoCellAnchor>
  <xdr:twoCellAnchor editAs="oneCell">
    <xdr:from>
      <xdr:col>0</xdr:col>
      <xdr:colOff>0</xdr:colOff>
      <xdr:row>144</xdr:row>
      <xdr:rowOff>85725</xdr:rowOff>
    </xdr:from>
    <xdr:to>
      <xdr:col>14</xdr:col>
      <xdr:colOff>113086</xdr:colOff>
      <xdr:row>173</xdr:row>
      <xdr:rowOff>142246</xdr:rowOff>
    </xdr:to>
    <xdr:pic>
      <xdr:nvPicPr>
        <xdr:cNvPr id="5" name="图片 4">
          <a:extLst>
            <a:ext uri="{FF2B5EF4-FFF2-40B4-BE49-F238E27FC236}">
              <a16:creationId xmlns:a16="http://schemas.microsoft.com/office/drawing/2014/main" id="{3AC729D1-3390-46BF-8460-14201E8234A0}"/>
            </a:ext>
          </a:extLst>
        </xdr:cNvPr>
        <xdr:cNvPicPr>
          <a:picLocks noChangeAspect="1"/>
        </xdr:cNvPicPr>
      </xdr:nvPicPr>
      <xdr:blipFill>
        <a:blip xmlns:r="http://schemas.openxmlformats.org/officeDocument/2006/relationships" r:embed="rId4"/>
        <a:stretch>
          <a:fillRect/>
        </a:stretch>
      </xdr:blipFill>
      <xdr:spPr>
        <a:xfrm>
          <a:off x="0" y="24774525"/>
          <a:ext cx="9714286" cy="5028571"/>
        </a:xfrm>
        <a:prstGeom prst="rect">
          <a:avLst/>
        </a:prstGeom>
      </xdr:spPr>
    </xdr:pic>
    <xdr:clientData/>
  </xdr:twoCellAnchor>
  <xdr:twoCellAnchor editAs="oneCell">
    <xdr:from>
      <xdr:col>0</xdr:col>
      <xdr:colOff>0</xdr:colOff>
      <xdr:row>173</xdr:row>
      <xdr:rowOff>76200</xdr:rowOff>
    </xdr:from>
    <xdr:to>
      <xdr:col>13</xdr:col>
      <xdr:colOff>636981</xdr:colOff>
      <xdr:row>202</xdr:row>
      <xdr:rowOff>123198</xdr:rowOff>
    </xdr:to>
    <xdr:pic>
      <xdr:nvPicPr>
        <xdr:cNvPr id="6" name="图片 5">
          <a:extLst>
            <a:ext uri="{FF2B5EF4-FFF2-40B4-BE49-F238E27FC236}">
              <a16:creationId xmlns:a16="http://schemas.microsoft.com/office/drawing/2014/main" id="{C7BB5016-5D07-421B-A9DE-52DA2B99EF1A}"/>
            </a:ext>
          </a:extLst>
        </xdr:cNvPr>
        <xdr:cNvPicPr>
          <a:picLocks noChangeAspect="1"/>
        </xdr:cNvPicPr>
      </xdr:nvPicPr>
      <xdr:blipFill>
        <a:blip xmlns:r="http://schemas.openxmlformats.org/officeDocument/2006/relationships" r:embed="rId5"/>
        <a:stretch>
          <a:fillRect/>
        </a:stretch>
      </xdr:blipFill>
      <xdr:spPr>
        <a:xfrm>
          <a:off x="0" y="29737050"/>
          <a:ext cx="9552381" cy="5019048"/>
        </a:xfrm>
        <a:prstGeom prst="rect">
          <a:avLst/>
        </a:prstGeom>
      </xdr:spPr>
    </xdr:pic>
    <xdr:clientData/>
  </xdr:twoCellAnchor>
  <xdr:twoCellAnchor editAs="oneCell">
    <xdr:from>
      <xdr:col>0</xdr:col>
      <xdr:colOff>0</xdr:colOff>
      <xdr:row>78</xdr:row>
      <xdr:rowOff>0</xdr:rowOff>
    </xdr:from>
    <xdr:to>
      <xdr:col>13</xdr:col>
      <xdr:colOff>522695</xdr:colOff>
      <xdr:row>115</xdr:row>
      <xdr:rowOff>170636</xdr:rowOff>
    </xdr:to>
    <xdr:pic>
      <xdr:nvPicPr>
        <xdr:cNvPr id="7" name="图片 6">
          <a:extLst>
            <a:ext uri="{FF2B5EF4-FFF2-40B4-BE49-F238E27FC236}">
              <a16:creationId xmlns:a16="http://schemas.microsoft.com/office/drawing/2014/main" id="{92526E12-7FF7-4A19-A566-5730510E2693}"/>
            </a:ext>
          </a:extLst>
        </xdr:cNvPr>
        <xdr:cNvPicPr>
          <a:picLocks noChangeAspect="1"/>
        </xdr:cNvPicPr>
      </xdr:nvPicPr>
      <xdr:blipFill>
        <a:blip xmlns:r="http://schemas.openxmlformats.org/officeDocument/2006/relationships" r:embed="rId6"/>
        <a:stretch>
          <a:fillRect/>
        </a:stretch>
      </xdr:blipFill>
      <xdr:spPr>
        <a:xfrm>
          <a:off x="0" y="13373100"/>
          <a:ext cx="9438095" cy="6514286"/>
        </a:xfrm>
        <a:prstGeom prst="rect">
          <a:avLst/>
        </a:prstGeom>
      </xdr:spPr>
    </xdr:pic>
    <xdr:clientData/>
  </xdr:twoCellAnchor>
  <xdr:twoCellAnchor>
    <xdr:from>
      <xdr:col>0</xdr:col>
      <xdr:colOff>0</xdr:colOff>
      <xdr:row>0</xdr:row>
      <xdr:rowOff>0</xdr:rowOff>
    </xdr:from>
    <xdr:to>
      <xdr:col>10</xdr:col>
      <xdr:colOff>142875</xdr:colOff>
      <xdr:row>7</xdr:row>
      <xdr:rowOff>57150</xdr:rowOff>
    </xdr:to>
    <xdr:sp macro="" textlink="">
      <xdr:nvSpPr>
        <xdr:cNvPr id="8" name="流程图: 过程 7">
          <a:extLst>
            <a:ext uri="{FF2B5EF4-FFF2-40B4-BE49-F238E27FC236}">
              <a16:creationId xmlns:a16="http://schemas.microsoft.com/office/drawing/2014/main" id="{5B5A84E1-AE89-4020-B5B9-C38D20F55897}"/>
            </a:ext>
          </a:extLst>
        </xdr:cNvPr>
        <xdr:cNvSpPr/>
      </xdr:nvSpPr>
      <xdr:spPr>
        <a:xfrm>
          <a:off x="0" y="0"/>
          <a:ext cx="7000875" cy="1257300"/>
        </a:xfrm>
        <a:prstGeom prst="flowChartProcess">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38100</xdr:colOff>
      <xdr:row>16</xdr:row>
      <xdr:rowOff>104775</xdr:rowOff>
    </xdr:from>
    <xdr:to>
      <xdr:col>10</xdr:col>
      <xdr:colOff>180975</xdr:colOff>
      <xdr:row>24</xdr:row>
      <xdr:rowOff>76200</xdr:rowOff>
    </xdr:to>
    <xdr:sp macro="" textlink="">
      <xdr:nvSpPr>
        <xdr:cNvPr id="9" name="矩形 8">
          <a:extLst>
            <a:ext uri="{FF2B5EF4-FFF2-40B4-BE49-F238E27FC236}">
              <a16:creationId xmlns:a16="http://schemas.microsoft.com/office/drawing/2014/main" id="{EE4ADF14-61F9-4A7E-B67A-932CE69348AD}"/>
            </a:ext>
          </a:extLst>
        </xdr:cNvPr>
        <xdr:cNvSpPr/>
      </xdr:nvSpPr>
      <xdr:spPr>
        <a:xfrm>
          <a:off x="38100" y="2847975"/>
          <a:ext cx="7000875" cy="13430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38100</xdr:colOff>
      <xdr:row>24</xdr:row>
      <xdr:rowOff>76200</xdr:rowOff>
    </xdr:from>
    <xdr:to>
      <xdr:col>10</xdr:col>
      <xdr:colOff>180976</xdr:colOff>
      <xdr:row>32</xdr:row>
      <xdr:rowOff>95250</xdr:rowOff>
    </xdr:to>
    <xdr:sp macro="" textlink="">
      <xdr:nvSpPr>
        <xdr:cNvPr id="10" name="矩形 9">
          <a:extLst>
            <a:ext uri="{FF2B5EF4-FFF2-40B4-BE49-F238E27FC236}">
              <a16:creationId xmlns:a16="http://schemas.microsoft.com/office/drawing/2014/main" id="{ECC6BFEF-1EB3-406E-8B5E-B9E6D32F3A4B}"/>
            </a:ext>
          </a:extLst>
        </xdr:cNvPr>
        <xdr:cNvSpPr/>
      </xdr:nvSpPr>
      <xdr:spPr>
        <a:xfrm>
          <a:off x="38100" y="4191000"/>
          <a:ext cx="7000876" cy="13906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024\2024-1-0268&#21271;&#20140;&#24066;&#26124;&#24179;&#21306;&#39034;&#27801;&#36335;58&#21495;&#38498;1&#21495;-1&#33267;2&#23618;101&#31561;18&#24162;&#21150;&#20844;&#12289;&#36710;&#24211;&#12289;&#24211;&#25151;&#21450;&#35774;&#22791;&#29992;&#25151;&#25151;&#22320;&#20135;&#25269;&#25276;&#20215;&#20540;&#35780;&#20272;\P04\&#26368;&#32456;\&#20013;&#22269;&#38498;&#23376;12&#21495;&#27004;.xlsx" TargetMode="External"/><Relationship Id="rId1" Type="http://schemas.openxmlformats.org/officeDocument/2006/relationships/externalLinkPath" Target="&#20013;&#22269;&#38498;&#23376;12&#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Sheet1"/>
      <sheetName val="Sheet3"/>
      <sheetName val="定义"/>
      <sheetName val="常用公式"/>
      <sheetName val="项目基本情况"/>
      <sheetName val="数据-基础表"/>
      <sheetName val="数据-汇总表"/>
      <sheetName val="数据-取费表"/>
      <sheetName val="估价对象房地状况"/>
      <sheetName val="系统读取表"/>
      <sheetName val="结果表"/>
      <sheetName val="土地案例"/>
      <sheetName val="成本法"/>
      <sheetName val="成本法 (元)"/>
      <sheetName val="假设开发法"/>
      <sheetName val="收益法"/>
      <sheetName val="收益法 (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比较法-住宅"/>
      <sheetName val="基准地价修正"/>
      <sheetName val="Sheet2"/>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9">
          <cell r="G19">
            <v>3092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估价对象为北京市房地产，为所有。根据《国有土地使用证》[]，估价对象（分摊）出让国有建设用地使用权面积为891.05平方米，建筑面积为1232.79平方米。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估价对象为北京市房地产,属开发建设的，该项目尚在开发建设中。根据《国有土地使用证》[]，估价对象（分摊）出让国有建设用地使用权面积为891.05平方米，规划建筑面积为1232.79平方米。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2024年4月1日（评估专业人员实地查勘之日）</v>
      </c>
    </row>
    <row r="13" spans="1:2">
      <c r="A13" s="1118" t="s">
        <v>529</v>
      </c>
      <c r="B13" s="1119" t="str">
        <f>'预评函-1'!A18</f>
        <v>本次估价的“房地产价值”是指在正常市场情况下，在价值时点2024年4月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3092</v>
      </c>
    </row>
    <row r="21" spans="1:2">
      <c r="A21" s="1118" t="s">
        <v>537</v>
      </c>
      <c r="B21" s="1119">
        <f ca="1">'预评函-2'!D7</f>
        <v>25078</v>
      </c>
    </row>
    <row r="22" spans="1:2">
      <c r="A22" s="1118" t="s">
        <v>538</v>
      </c>
      <c r="B22" s="1119" t="str">
        <f ca="1">'预评函-2'!D6</f>
        <v>叁仟零玖拾贰万元整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3092</v>
      </c>
    </row>
    <row r="31" spans="1:2">
      <c r="A31" s="1118" t="s">
        <v>576</v>
      </c>
      <c r="B31" s="1119">
        <f ca="1">'预评函-2'!D15</f>
        <v>25078</v>
      </c>
    </row>
    <row r="32" spans="1:2">
      <c r="A32" s="1118" t="s">
        <v>543</v>
      </c>
      <c r="B32" s="1119" t="str">
        <f ca="1">'预评函-2'!D14</f>
        <v>叁仟零玖拾贰万元整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1232.79</v>
      </c>
    </row>
    <row r="44" spans="1:2">
      <c r="A44" s="1118" t="s">
        <v>575</v>
      </c>
      <c r="B44" s="1119" t="str">
        <f>'预评函-3'!C2</f>
        <v>(分摊)土地面积</v>
      </c>
    </row>
    <row r="45" spans="1:2">
      <c r="A45" s="1118" t="s">
        <v>547</v>
      </c>
      <c r="B45" s="1119">
        <f>'预评函-3'!C4</f>
        <v>891.05</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51"/>
  <sheetViews>
    <sheetView workbookViewId="0">
      <selection activeCell="I18" sqref="I18"/>
    </sheetView>
  </sheetViews>
  <sheetFormatPr defaultRowHeight="12"/>
  <cols>
    <col min="1" max="1" width="4.75" style="3141" bestFit="1" customWidth="1"/>
    <col min="2" max="2" width="21.375" style="3141" bestFit="1" customWidth="1"/>
    <col min="3" max="3" width="11.375" style="3141" bestFit="1" customWidth="1"/>
    <col min="4" max="5" width="13.125" style="3141" bestFit="1" customWidth="1"/>
    <col min="6" max="6" width="29.25" style="3141" bestFit="1" customWidth="1"/>
    <col min="7" max="7" width="8" style="3141" bestFit="1" customWidth="1"/>
    <col min="8" max="8" width="9.375" style="3141" bestFit="1" customWidth="1"/>
    <col min="9" max="9" width="11" style="3141" customWidth="1"/>
    <col min="10" max="10" width="9" style="3141" bestFit="1" customWidth="1"/>
    <col min="11" max="12" width="7.125" style="3141" bestFit="1" customWidth="1"/>
    <col min="13" max="256" width="11" style="3141" customWidth="1"/>
    <col min="257" max="257" width="3.375" style="3141" customWidth="1"/>
    <col min="258" max="258" width="28.125" style="3141" customWidth="1"/>
    <col min="259" max="259" width="13" style="3141" bestFit="1" customWidth="1"/>
    <col min="260" max="261" width="19" style="3141" customWidth="1"/>
    <col min="262" max="262" width="33.875" style="3141" customWidth="1"/>
    <col min="263" max="512" width="11" style="3141" customWidth="1"/>
    <col min="513" max="513" width="3.375" style="3141" customWidth="1"/>
    <col min="514" max="514" width="28.125" style="3141" customWidth="1"/>
    <col min="515" max="515" width="13" style="3141" bestFit="1" customWidth="1"/>
    <col min="516" max="517" width="19" style="3141" customWidth="1"/>
    <col min="518" max="518" width="33.875" style="3141" customWidth="1"/>
    <col min="519" max="768" width="11" style="3141" customWidth="1"/>
    <col min="769" max="769" width="3.375" style="3141" customWidth="1"/>
    <col min="770" max="770" width="28.125" style="3141" customWidth="1"/>
    <col min="771" max="771" width="13" style="3141" bestFit="1" customWidth="1"/>
    <col min="772" max="773" width="19" style="3141" customWidth="1"/>
    <col min="774" max="774" width="33.875" style="3141" customWidth="1"/>
    <col min="775" max="1024" width="11" style="3141" customWidth="1"/>
    <col min="1025" max="1025" width="3.375" style="3141" customWidth="1"/>
    <col min="1026" max="1026" width="28.125" style="3141" customWidth="1"/>
    <col min="1027" max="1027" width="13" style="3141" bestFit="1" customWidth="1"/>
    <col min="1028" max="1029" width="19" style="3141" customWidth="1"/>
    <col min="1030" max="1030" width="33.875" style="3141" customWidth="1"/>
    <col min="1031" max="1280" width="11" style="3141" customWidth="1"/>
    <col min="1281" max="1281" width="3.375" style="3141" customWidth="1"/>
    <col min="1282" max="1282" width="28.125" style="3141" customWidth="1"/>
    <col min="1283" max="1283" width="13" style="3141" bestFit="1" customWidth="1"/>
    <col min="1284" max="1285" width="19" style="3141" customWidth="1"/>
    <col min="1286" max="1286" width="33.875" style="3141" customWidth="1"/>
    <col min="1287" max="1536" width="11" style="3141" customWidth="1"/>
    <col min="1537" max="1537" width="3.375" style="3141" customWidth="1"/>
    <col min="1538" max="1538" width="28.125" style="3141" customWidth="1"/>
    <col min="1539" max="1539" width="13" style="3141" bestFit="1" customWidth="1"/>
    <col min="1540" max="1541" width="19" style="3141" customWidth="1"/>
    <col min="1542" max="1542" width="33.875" style="3141" customWidth="1"/>
    <col min="1543" max="1792" width="11" style="3141" customWidth="1"/>
    <col min="1793" max="1793" width="3.375" style="3141" customWidth="1"/>
    <col min="1794" max="1794" width="28.125" style="3141" customWidth="1"/>
    <col min="1795" max="1795" width="13" style="3141" bestFit="1" customWidth="1"/>
    <col min="1796" max="1797" width="19" style="3141" customWidth="1"/>
    <col min="1798" max="1798" width="33.875" style="3141" customWidth="1"/>
    <col min="1799" max="2048" width="11" style="3141" customWidth="1"/>
    <col min="2049" max="2049" width="3.375" style="3141" customWidth="1"/>
    <col min="2050" max="2050" width="28.125" style="3141" customWidth="1"/>
    <col min="2051" max="2051" width="13" style="3141" bestFit="1" customWidth="1"/>
    <col min="2052" max="2053" width="19" style="3141" customWidth="1"/>
    <col min="2054" max="2054" width="33.875" style="3141" customWidth="1"/>
    <col min="2055" max="2304" width="11" style="3141" customWidth="1"/>
    <col min="2305" max="2305" width="3.375" style="3141" customWidth="1"/>
    <col min="2306" max="2306" width="28.125" style="3141" customWidth="1"/>
    <col min="2307" max="2307" width="13" style="3141" bestFit="1" customWidth="1"/>
    <col min="2308" max="2309" width="19" style="3141" customWidth="1"/>
    <col min="2310" max="2310" width="33.875" style="3141" customWidth="1"/>
    <col min="2311" max="2560" width="11" style="3141" customWidth="1"/>
    <col min="2561" max="2561" width="3.375" style="3141" customWidth="1"/>
    <col min="2562" max="2562" width="28.125" style="3141" customWidth="1"/>
    <col min="2563" max="2563" width="13" style="3141" bestFit="1" customWidth="1"/>
    <col min="2564" max="2565" width="19" style="3141" customWidth="1"/>
    <col min="2566" max="2566" width="33.875" style="3141" customWidth="1"/>
    <col min="2567" max="2816" width="11" style="3141" customWidth="1"/>
    <col min="2817" max="2817" width="3.375" style="3141" customWidth="1"/>
    <col min="2818" max="2818" width="28.125" style="3141" customWidth="1"/>
    <col min="2819" max="2819" width="13" style="3141" bestFit="1" customWidth="1"/>
    <col min="2820" max="2821" width="19" style="3141" customWidth="1"/>
    <col min="2822" max="2822" width="33.875" style="3141" customWidth="1"/>
    <col min="2823" max="3072" width="11" style="3141" customWidth="1"/>
    <col min="3073" max="3073" width="3.375" style="3141" customWidth="1"/>
    <col min="3074" max="3074" width="28.125" style="3141" customWidth="1"/>
    <col min="3075" max="3075" width="13" style="3141" bestFit="1" customWidth="1"/>
    <col min="3076" max="3077" width="19" style="3141" customWidth="1"/>
    <col min="3078" max="3078" width="33.875" style="3141" customWidth="1"/>
    <col min="3079" max="3328" width="11" style="3141" customWidth="1"/>
    <col min="3329" max="3329" width="3.375" style="3141" customWidth="1"/>
    <col min="3330" max="3330" width="28.125" style="3141" customWidth="1"/>
    <col min="3331" max="3331" width="13" style="3141" bestFit="1" customWidth="1"/>
    <col min="3332" max="3333" width="19" style="3141" customWidth="1"/>
    <col min="3334" max="3334" width="33.875" style="3141" customWidth="1"/>
    <col min="3335" max="3584" width="11" style="3141" customWidth="1"/>
    <col min="3585" max="3585" width="3.375" style="3141" customWidth="1"/>
    <col min="3586" max="3586" width="28.125" style="3141" customWidth="1"/>
    <col min="3587" max="3587" width="13" style="3141" bestFit="1" customWidth="1"/>
    <col min="3588" max="3589" width="19" style="3141" customWidth="1"/>
    <col min="3590" max="3590" width="33.875" style="3141" customWidth="1"/>
    <col min="3591" max="3840" width="11" style="3141" customWidth="1"/>
    <col min="3841" max="3841" width="3.375" style="3141" customWidth="1"/>
    <col min="3842" max="3842" width="28.125" style="3141" customWidth="1"/>
    <col min="3843" max="3843" width="13" style="3141" bestFit="1" customWidth="1"/>
    <col min="3844" max="3845" width="19" style="3141" customWidth="1"/>
    <col min="3846" max="3846" width="33.875" style="3141" customWidth="1"/>
    <col min="3847" max="4096" width="11" style="3141" customWidth="1"/>
    <col min="4097" max="4097" width="3.375" style="3141" customWidth="1"/>
    <col min="4098" max="4098" width="28.125" style="3141" customWidth="1"/>
    <col min="4099" max="4099" width="13" style="3141" bestFit="1" customWidth="1"/>
    <col min="4100" max="4101" width="19" style="3141" customWidth="1"/>
    <col min="4102" max="4102" width="33.875" style="3141" customWidth="1"/>
    <col min="4103" max="4352" width="11" style="3141" customWidth="1"/>
    <col min="4353" max="4353" width="3.375" style="3141" customWidth="1"/>
    <col min="4354" max="4354" width="28.125" style="3141" customWidth="1"/>
    <col min="4355" max="4355" width="13" style="3141" bestFit="1" customWidth="1"/>
    <col min="4356" max="4357" width="19" style="3141" customWidth="1"/>
    <col min="4358" max="4358" width="33.875" style="3141" customWidth="1"/>
    <col min="4359" max="4608" width="11" style="3141" customWidth="1"/>
    <col min="4609" max="4609" width="3.375" style="3141" customWidth="1"/>
    <col min="4610" max="4610" width="28.125" style="3141" customWidth="1"/>
    <col min="4611" max="4611" width="13" style="3141" bestFit="1" customWidth="1"/>
    <col min="4612" max="4613" width="19" style="3141" customWidth="1"/>
    <col min="4614" max="4614" width="33.875" style="3141" customWidth="1"/>
    <col min="4615" max="4864" width="11" style="3141" customWidth="1"/>
    <col min="4865" max="4865" width="3.375" style="3141" customWidth="1"/>
    <col min="4866" max="4866" width="28.125" style="3141" customWidth="1"/>
    <col min="4867" max="4867" width="13" style="3141" bestFit="1" customWidth="1"/>
    <col min="4868" max="4869" width="19" style="3141" customWidth="1"/>
    <col min="4870" max="4870" width="33.875" style="3141" customWidth="1"/>
    <col min="4871" max="5120" width="11" style="3141" customWidth="1"/>
    <col min="5121" max="5121" width="3.375" style="3141" customWidth="1"/>
    <col min="5122" max="5122" width="28.125" style="3141" customWidth="1"/>
    <col min="5123" max="5123" width="13" style="3141" bestFit="1" customWidth="1"/>
    <col min="5124" max="5125" width="19" style="3141" customWidth="1"/>
    <col min="5126" max="5126" width="33.875" style="3141" customWidth="1"/>
    <col min="5127" max="5376" width="11" style="3141" customWidth="1"/>
    <col min="5377" max="5377" width="3.375" style="3141" customWidth="1"/>
    <col min="5378" max="5378" width="28.125" style="3141" customWidth="1"/>
    <col min="5379" max="5379" width="13" style="3141" bestFit="1" customWidth="1"/>
    <col min="5380" max="5381" width="19" style="3141" customWidth="1"/>
    <col min="5382" max="5382" width="33.875" style="3141" customWidth="1"/>
    <col min="5383" max="5632" width="11" style="3141" customWidth="1"/>
    <col min="5633" max="5633" width="3.375" style="3141" customWidth="1"/>
    <col min="5634" max="5634" width="28.125" style="3141" customWidth="1"/>
    <col min="5635" max="5635" width="13" style="3141" bestFit="1" customWidth="1"/>
    <col min="5636" max="5637" width="19" style="3141" customWidth="1"/>
    <col min="5638" max="5638" width="33.875" style="3141" customWidth="1"/>
    <col min="5639" max="5888" width="11" style="3141" customWidth="1"/>
    <col min="5889" max="5889" width="3.375" style="3141" customWidth="1"/>
    <col min="5890" max="5890" width="28.125" style="3141" customWidth="1"/>
    <col min="5891" max="5891" width="13" style="3141" bestFit="1" customWidth="1"/>
    <col min="5892" max="5893" width="19" style="3141" customWidth="1"/>
    <col min="5894" max="5894" width="33.875" style="3141" customWidth="1"/>
    <col min="5895" max="6144" width="11" style="3141" customWidth="1"/>
    <col min="6145" max="6145" width="3.375" style="3141" customWidth="1"/>
    <col min="6146" max="6146" width="28.125" style="3141" customWidth="1"/>
    <col min="6147" max="6147" width="13" style="3141" bestFit="1" customWidth="1"/>
    <col min="6148" max="6149" width="19" style="3141" customWidth="1"/>
    <col min="6150" max="6150" width="33.875" style="3141" customWidth="1"/>
    <col min="6151" max="6400" width="11" style="3141" customWidth="1"/>
    <col min="6401" max="6401" width="3.375" style="3141" customWidth="1"/>
    <col min="6402" max="6402" width="28.125" style="3141" customWidth="1"/>
    <col min="6403" max="6403" width="13" style="3141" bestFit="1" customWidth="1"/>
    <col min="6404" max="6405" width="19" style="3141" customWidth="1"/>
    <col min="6406" max="6406" width="33.875" style="3141" customWidth="1"/>
    <col min="6407" max="6656" width="11" style="3141" customWidth="1"/>
    <col min="6657" max="6657" width="3.375" style="3141" customWidth="1"/>
    <col min="6658" max="6658" width="28.125" style="3141" customWidth="1"/>
    <col min="6659" max="6659" width="13" style="3141" bestFit="1" customWidth="1"/>
    <col min="6660" max="6661" width="19" style="3141" customWidth="1"/>
    <col min="6662" max="6662" width="33.875" style="3141" customWidth="1"/>
    <col min="6663" max="6912" width="11" style="3141" customWidth="1"/>
    <col min="6913" max="6913" width="3.375" style="3141" customWidth="1"/>
    <col min="6914" max="6914" width="28.125" style="3141" customWidth="1"/>
    <col min="6915" max="6915" width="13" style="3141" bestFit="1" customWidth="1"/>
    <col min="6916" max="6917" width="19" style="3141" customWidth="1"/>
    <col min="6918" max="6918" width="33.875" style="3141" customWidth="1"/>
    <col min="6919" max="7168" width="11" style="3141" customWidth="1"/>
    <col min="7169" max="7169" width="3.375" style="3141" customWidth="1"/>
    <col min="7170" max="7170" width="28.125" style="3141" customWidth="1"/>
    <col min="7171" max="7171" width="13" style="3141" bestFit="1" customWidth="1"/>
    <col min="7172" max="7173" width="19" style="3141" customWidth="1"/>
    <col min="7174" max="7174" width="33.875" style="3141" customWidth="1"/>
    <col min="7175" max="7424" width="11" style="3141" customWidth="1"/>
    <col min="7425" max="7425" width="3.375" style="3141" customWidth="1"/>
    <col min="7426" max="7426" width="28.125" style="3141" customWidth="1"/>
    <col min="7427" max="7427" width="13" style="3141" bestFit="1" customWidth="1"/>
    <col min="7428" max="7429" width="19" style="3141" customWidth="1"/>
    <col min="7430" max="7430" width="33.875" style="3141" customWidth="1"/>
    <col min="7431" max="7680" width="11" style="3141" customWidth="1"/>
    <col min="7681" max="7681" width="3.375" style="3141" customWidth="1"/>
    <col min="7682" max="7682" width="28.125" style="3141" customWidth="1"/>
    <col min="7683" max="7683" width="13" style="3141" bestFit="1" customWidth="1"/>
    <col min="7684" max="7685" width="19" style="3141" customWidth="1"/>
    <col min="7686" max="7686" width="33.875" style="3141" customWidth="1"/>
    <col min="7687" max="7936" width="11" style="3141" customWidth="1"/>
    <col min="7937" max="7937" width="3.375" style="3141" customWidth="1"/>
    <col min="7938" max="7938" width="28.125" style="3141" customWidth="1"/>
    <col min="7939" max="7939" width="13" style="3141" bestFit="1" customWidth="1"/>
    <col min="7940" max="7941" width="19" style="3141" customWidth="1"/>
    <col min="7942" max="7942" width="33.875" style="3141" customWidth="1"/>
    <col min="7943" max="8192" width="11" style="3141" customWidth="1"/>
    <col min="8193" max="8193" width="3.375" style="3141" customWidth="1"/>
    <col min="8194" max="8194" width="28.125" style="3141" customWidth="1"/>
    <col min="8195" max="8195" width="13" style="3141" bestFit="1" customWidth="1"/>
    <col min="8196" max="8197" width="19" style="3141" customWidth="1"/>
    <col min="8198" max="8198" width="33.875" style="3141" customWidth="1"/>
    <col min="8199" max="8448" width="11" style="3141" customWidth="1"/>
    <col min="8449" max="8449" width="3.375" style="3141" customWidth="1"/>
    <col min="8450" max="8450" width="28.125" style="3141" customWidth="1"/>
    <col min="8451" max="8451" width="13" style="3141" bestFit="1" customWidth="1"/>
    <col min="8452" max="8453" width="19" style="3141" customWidth="1"/>
    <col min="8454" max="8454" width="33.875" style="3141" customWidth="1"/>
    <col min="8455" max="8704" width="11" style="3141" customWidth="1"/>
    <col min="8705" max="8705" width="3.375" style="3141" customWidth="1"/>
    <col min="8706" max="8706" width="28.125" style="3141" customWidth="1"/>
    <col min="8707" max="8707" width="13" style="3141" bestFit="1" customWidth="1"/>
    <col min="8708" max="8709" width="19" style="3141" customWidth="1"/>
    <col min="8710" max="8710" width="33.875" style="3141" customWidth="1"/>
    <col min="8711" max="8960" width="11" style="3141" customWidth="1"/>
    <col min="8961" max="8961" width="3.375" style="3141" customWidth="1"/>
    <col min="8962" max="8962" width="28.125" style="3141" customWidth="1"/>
    <col min="8963" max="8963" width="13" style="3141" bestFit="1" customWidth="1"/>
    <col min="8964" max="8965" width="19" style="3141" customWidth="1"/>
    <col min="8966" max="8966" width="33.875" style="3141" customWidth="1"/>
    <col min="8967" max="9216" width="11" style="3141" customWidth="1"/>
    <col min="9217" max="9217" width="3.375" style="3141" customWidth="1"/>
    <col min="9218" max="9218" width="28.125" style="3141" customWidth="1"/>
    <col min="9219" max="9219" width="13" style="3141" bestFit="1" customWidth="1"/>
    <col min="9220" max="9221" width="19" style="3141" customWidth="1"/>
    <col min="9222" max="9222" width="33.875" style="3141" customWidth="1"/>
    <col min="9223" max="9472" width="11" style="3141" customWidth="1"/>
    <col min="9473" max="9473" width="3.375" style="3141" customWidth="1"/>
    <col min="9474" max="9474" width="28.125" style="3141" customWidth="1"/>
    <col min="9475" max="9475" width="13" style="3141" bestFit="1" customWidth="1"/>
    <col min="9476" max="9477" width="19" style="3141" customWidth="1"/>
    <col min="9478" max="9478" width="33.875" style="3141" customWidth="1"/>
    <col min="9479" max="9728" width="11" style="3141" customWidth="1"/>
    <col min="9729" max="9729" width="3.375" style="3141" customWidth="1"/>
    <col min="9730" max="9730" width="28.125" style="3141" customWidth="1"/>
    <col min="9731" max="9731" width="13" style="3141" bestFit="1" customWidth="1"/>
    <col min="9732" max="9733" width="19" style="3141" customWidth="1"/>
    <col min="9734" max="9734" width="33.875" style="3141" customWidth="1"/>
    <col min="9735" max="9984" width="11" style="3141" customWidth="1"/>
    <col min="9985" max="9985" width="3.375" style="3141" customWidth="1"/>
    <col min="9986" max="9986" width="28.125" style="3141" customWidth="1"/>
    <col min="9987" max="9987" width="13" style="3141" bestFit="1" customWidth="1"/>
    <col min="9988" max="9989" width="19" style="3141" customWidth="1"/>
    <col min="9990" max="9990" width="33.875" style="3141" customWidth="1"/>
    <col min="9991" max="10240" width="11" style="3141" customWidth="1"/>
    <col min="10241" max="10241" width="3.375" style="3141" customWidth="1"/>
    <col min="10242" max="10242" width="28.125" style="3141" customWidth="1"/>
    <col min="10243" max="10243" width="13" style="3141" bestFit="1" customWidth="1"/>
    <col min="10244" max="10245" width="19" style="3141" customWidth="1"/>
    <col min="10246" max="10246" width="33.875" style="3141" customWidth="1"/>
    <col min="10247" max="10496" width="11" style="3141" customWidth="1"/>
    <col min="10497" max="10497" width="3.375" style="3141" customWidth="1"/>
    <col min="10498" max="10498" width="28.125" style="3141" customWidth="1"/>
    <col min="10499" max="10499" width="13" style="3141" bestFit="1" customWidth="1"/>
    <col min="10500" max="10501" width="19" style="3141" customWidth="1"/>
    <col min="10502" max="10502" width="33.875" style="3141" customWidth="1"/>
    <col min="10503" max="10752" width="11" style="3141" customWidth="1"/>
    <col min="10753" max="10753" width="3.375" style="3141" customWidth="1"/>
    <col min="10754" max="10754" width="28.125" style="3141" customWidth="1"/>
    <col min="10755" max="10755" width="13" style="3141" bestFit="1" customWidth="1"/>
    <col min="10756" max="10757" width="19" style="3141" customWidth="1"/>
    <col min="10758" max="10758" width="33.875" style="3141" customWidth="1"/>
    <col min="10759" max="11008" width="11" style="3141" customWidth="1"/>
    <col min="11009" max="11009" width="3.375" style="3141" customWidth="1"/>
    <col min="11010" max="11010" width="28.125" style="3141" customWidth="1"/>
    <col min="11011" max="11011" width="13" style="3141" bestFit="1" customWidth="1"/>
    <col min="11012" max="11013" width="19" style="3141" customWidth="1"/>
    <col min="11014" max="11014" width="33.875" style="3141" customWidth="1"/>
    <col min="11015" max="11264" width="11" style="3141" customWidth="1"/>
    <col min="11265" max="11265" width="3.375" style="3141" customWidth="1"/>
    <col min="11266" max="11266" width="28.125" style="3141" customWidth="1"/>
    <col min="11267" max="11267" width="13" style="3141" bestFit="1" customWidth="1"/>
    <col min="11268" max="11269" width="19" style="3141" customWidth="1"/>
    <col min="11270" max="11270" width="33.875" style="3141" customWidth="1"/>
    <col min="11271" max="11520" width="11" style="3141" customWidth="1"/>
    <col min="11521" max="11521" width="3.375" style="3141" customWidth="1"/>
    <col min="11522" max="11522" width="28.125" style="3141" customWidth="1"/>
    <col min="11523" max="11523" width="13" style="3141" bestFit="1" customWidth="1"/>
    <col min="11524" max="11525" width="19" style="3141" customWidth="1"/>
    <col min="11526" max="11526" width="33.875" style="3141" customWidth="1"/>
    <col min="11527" max="11776" width="11" style="3141" customWidth="1"/>
    <col min="11777" max="11777" width="3.375" style="3141" customWidth="1"/>
    <col min="11778" max="11778" width="28.125" style="3141" customWidth="1"/>
    <col min="11779" max="11779" width="13" style="3141" bestFit="1" customWidth="1"/>
    <col min="11780" max="11781" width="19" style="3141" customWidth="1"/>
    <col min="11782" max="11782" width="33.875" style="3141" customWidth="1"/>
    <col min="11783" max="12032" width="11" style="3141" customWidth="1"/>
    <col min="12033" max="12033" width="3.375" style="3141" customWidth="1"/>
    <col min="12034" max="12034" width="28.125" style="3141" customWidth="1"/>
    <col min="12035" max="12035" width="13" style="3141" bestFit="1" customWidth="1"/>
    <col min="12036" max="12037" width="19" style="3141" customWidth="1"/>
    <col min="12038" max="12038" width="33.875" style="3141" customWidth="1"/>
    <col min="12039" max="12288" width="11" style="3141" customWidth="1"/>
    <col min="12289" max="12289" width="3.375" style="3141" customWidth="1"/>
    <col min="12290" max="12290" width="28.125" style="3141" customWidth="1"/>
    <col min="12291" max="12291" width="13" style="3141" bestFit="1" customWidth="1"/>
    <col min="12292" max="12293" width="19" style="3141" customWidth="1"/>
    <col min="12294" max="12294" width="33.875" style="3141" customWidth="1"/>
    <col min="12295" max="12544" width="11" style="3141" customWidth="1"/>
    <col min="12545" max="12545" width="3.375" style="3141" customWidth="1"/>
    <col min="12546" max="12546" width="28.125" style="3141" customWidth="1"/>
    <col min="12547" max="12547" width="13" style="3141" bestFit="1" customWidth="1"/>
    <col min="12548" max="12549" width="19" style="3141" customWidth="1"/>
    <col min="12550" max="12550" width="33.875" style="3141" customWidth="1"/>
    <col min="12551" max="12800" width="11" style="3141" customWidth="1"/>
    <col min="12801" max="12801" width="3.375" style="3141" customWidth="1"/>
    <col min="12802" max="12802" width="28.125" style="3141" customWidth="1"/>
    <col min="12803" max="12803" width="13" style="3141" bestFit="1" customWidth="1"/>
    <col min="12804" max="12805" width="19" style="3141" customWidth="1"/>
    <col min="12806" max="12806" width="33.875" style="3141" customWidth="1"/>
    <col min="12807" max="13056" width="11" style="3141" customWidth="1"/>
    <col min="13057" max="13057" width="3.375" style="3141" customWidth="1"/>
    <col min="13058" max="13058" width="28.125" style="3141" customWidth="1"/>
    <col min="13059" max="13059" width="13" style="3141" bestFit="1" customWidth="1"/>
    <col min="13060" max="13061" width="19" style="3141" customWidth="1"/>
    <col min="13062" max="13062" width="33.875" style="3141" customWidth="1"/>
    <col min="13063" max="13312" width="11" style="3141" customWidth="1"/>
    <col min="13313" max="13313" width="3.375" style="3141" customWidth="1"/>
    <col min="13314" max="13314" width="28.125" style="3141" customWidth="1"/>
    <col min="13315" max="13315" width="13" style="3141" bestFit="1" customWidth="1"/>
    <col min="13316" max="13317" width="19" style="3141" customWidth="1"/>
    <col min="13318" max="13318" width="33.875" style="3141" customWidth="1"/>
    <col min="13319" max="13568" width="11" style="3141" customWidth="1"/>
    <col min="13569" max="13569" width="3.375" style="3141" customWidth="1"/>
    <col min="13570" max="13570" width="28.125" style="3141" customWidth="1"/>
    <col min="13571" max="13571" width="13" style="3141" bestFit="1" customWidth="1"/>
    <col min="13572" max="13573" width="19" style="3141" customWidth="1"/>
    <col min="13574" max="13574" width="33.875" style="3141" customWidth="1"/>
    <col min="13575" max="13824" width="11" style="3141" customWidth="1"/>
    <col min="13825" max="13825" width="3.375" style="3141" customWidth="1"/>
    <col min="13826" max="13826" width="28.125" style="3141" customWidth="1"/>
    <col min="13827" max="13827" width="13" style="3141" bestFit="1" customWidth="1"/>
    <col min="13828" max="13829" width="19" style="3141" customWidth="1"/>
    <col min="13830" max="13830" width="33.875" style="3141" customWidth="1"/>
    <col min="13831" max="14080" width="11" style="3141" customWidth="1"/>
    <col min="14081" max="14081" width="3.375" style="3141" customWidth="1"/>
    <col min="14082" max="14082" width="28.125" style="3141" customWidth="1"/>
    <col min="14083" max="14083" width="13" style="3141" bestFit="1" customWidth="1"/>
    <col min="14084" max="14085" width="19" style="3141" customWidth="1"/>
    <col min="14086" max="14086" width="33.875" style="3141" customWidth="1"/>
    <col min="14087" max="14336" width="11" style="3141" customWidth="1"/>
    <col min="14337" max="14337" width="3.375" style="3141" customWidth="1"/>
    <col min="14338" max="14338" width="28.125" style="3141" customWidth="1"/>
    <col min="14339" max="14339" width="13" style="3141" bestFit="1" customWidth="1"/>
    <col min="14340" max="14341" width="19" style="3141" customWidth="1"/>
    <col min="14342" max="14342" width="33.875" style="3141" customWidth="1"/>
    <col min="14343" max="14592" width="11" style="3141" customWidth="1"/>
    <col min="14593" max="14593" width="3.375" style="3141" customWidth="1"/>
    <col min="14594" max="14594" width="28.125" style="3141" customWidth="1"/>
    <col min="14595" max="14595" width="13" style="3141" bestFit="1" customWidth="1"/>
    <col min="14596" max="14597" width="19" style="3141" customWidth="1"/>
    <col min="14598" max="14598" width="33.875" style="3141" customWidth="1"/>
    <col min="14599" max="14848" width="11" style="3141" customWidth="1"/>
    <col min="14849" max="14849" width="3.375" style="3141" customWidth="1"/>
    <col min="14850" max="14850" width="28.125" style="3141" customWidth="1"/>
    <col min="14851" max="14851" width="13" style="3141" bestFit="1" customWidth="1"/>
    <col min="14852" max="14853" width="19" style="3141" customWidth="1"/>
    <col min="14854" max="14854" width="33.875" style="3141" customWidth="1"/>
    <col min="14855" max="15104" width="11" style="3141" customWidth="1"/>
    <col min="15105" max="15105" width="3.375" style="3141" customWidth="1"/>
    <col min="15106" max="15106" width="28.125" style="3141" customWidth="1"/>
    <col min="15107" max="15107" width="13" style="3141" bestFit="1" customWidth="1"/>
    <col min="15108" max="15109" width="19" style="3141" customWidth="1"/>
    <col min="15110" max="15110" width="33.875" style="3141" customWidth="1"/>
    <col min="15111" max="15360" width="11" style="3141" customWidth="1"/>
    <col min="15361" max="15361" width="3.375" style="3141" customWidth="1"/>
    <col min="15362" max="15362" width="28.125" style="3141" customWidth="1"/>
    <col min="15363" max="15363" width="13" style="3141" bestFit="1" customWidth="1"/>
    <col min="15364" max="15365" width="19" style="3141" customWidth="1"/>
    <col min="15366" max="15366" width="33.875" style="3141" customWidth="1"/>
    <col min="15367" max="15616" width="11" style="3141" customWidth="1"/>
    <col min="15617" max="15617" width="3.375" style="3141" customWidth="1"/>
    <col min="15618" max="15618" width="28.125" style="3141" customWidth="1"/>
    <col min="15619" max="15619" width="13" style="3141" bestFit="1" customWidth="1"/>
    <col min="15620" max="15621" width="19" style="3141" customWidth="1"/>
    <col min="15622" max="15622" width="33.875" style="3141" customWidth="1"/>
    <col min="15623" max="15872" width="11" style="3141" customWidth="1"/>
    <col min="15873" max="15873" width="3.375" style="3141" customWidth="1"/>
    <col min="15874" max="15874" width="28.125" style="3141" customWidth="1"/>
    <col min="15875" max="15875" width="13" style="3141" bestFit="1" customWidth="1"/>
    <col min="15876" max="15877" width="19" style="3141" customWidth="1"/>
    <col min="15878" max="15878" width="33.875" style="3141" customWidth="1"/>
    <col min="15879" max="16128" width="11" style="3141" customWidth="1"/>
    <col min="16129" max="16129" width="3.375" style="3141" customWidth="1"/>
    <col min="16130" max="16130" width="28.125" style="3141" customWidth="1"/>
    <col min="16131" max="16131" width="13" style="3141" bestFit="1" customWidth="1"/>
    <col min="16132" max="16133" width="19" style="3141" customWidth="1"/>
    <col min="16134" max="16134" width="33.875" style="3141" customWidth="1"/>
    <col min="16135" max="16384" width="11" style="3141" customWidth="1"/>
  </cols>
  <sheetData>
    <row r="1" spans="1:13">
      <c r="A1" s="3240" t="s">
        <v>3376</v>
      </c>
      <c r="B1" s="3240"/>
      <c r="C1" s="3240"/>
      <c r="D1" s="3240"/>
      <c r="E1" s="3240"/>
      <c r="F1" s="3241"/>
    </row>
    <row r="2" spans="1:13">
      <c r="A2" s="3242" t="s">
        <v>3377</v>
      </c>
      <c r="B2" s="3242"/>
      <c r="C2" s="3242"/>
      <c r="D2" s="3242"/>
      <c r="E2" s="3242"/>
      <c r="F2" s="3243"/>
      <c r="J2" s="3143" t="s">
        <v>3378</v>
      </c>
    </row>
    <row r="3" spans="1:13" ht="24">
      <c r="A3" s="3143" t="s">
        <v>3379</v>
      </c>
      <c r="B3" s="3143" t="s">
        <v>3380</v>
      </c>
      <c r="C3" s="3144" t="s">
        <v>3381</v>
      </c>
      <c r="D3" s="3144" t="s">
        <v>3382</v>
      </c>
      <c r="E3" s="3143" t="s">
        <v>3383</v>
      </c>
      <c r="F3" s="3143" t="s">
        <v>3384</v>
      </c>
      <c r="G3" s="3143" t="s">
        <v>3385</v>
      </c>
      <c r="H3" s="3143" t="s">
        <v>3386</v>
      </c>
      <c r="J3" s="3145" t="s">
        <v>3387</v>
      </c>
      <c r="K3" s="3145" t="s">
        <v>3388</v>
      </c>
      <c r="L3" s="3145" t="s">
        <v>3389</v>
      </c>
      <c r="M3" s="3145" t="s">
        <v>3390</v>
      </c>
    </row>
    <row r="4" spans="1:13">
      <c r="A4" s="3143">
        <v>1</v>
      </c>
      <c r="B4" s="3143" t="s">
        <v>3391</v>
      </c>
      <c r="C4" s="3143">
        <f>D4+E4</f>
        <v>1908.63</v>
      </c>
      <c r="D4" s="3143">
        <v>1118.68</v>
      </c>
      <c r="E4" s="3143">
        <v>789.95</v>
      </c>
      <c r="F4" s="3143" t="s">
        <v>3392</v>
      </c>
      <c r="G4" s="3143">
        <f>E39</f>
        <v>10000</v>
      </c>
      <c r="H4" s="3143">
        <f>ROUND(G4*C4/10000,0)</f>
        <v>1909</v>
      </c>
      <c r="J4" s="3143">
        <f t="shared" ref="J4:J17" si="0">ROUND($J$25*C4/($C$24-$C$18-$C$23),0)</f>
        <v>2924</v>
      </c>
      <c r="K4" s="3143">
        <f t="shared" ref="K4:K17" si="1">ROUND($K$25*H4/($H$24-$H$18-$H$23),0)</f>
        <v>2515</v>
      </c>
      <c r="L4" s="3143">
        <f>J4+K4</f>
        <v>5439</v>
      </c>
      <c r="M4" s="3143">
        <f>ROUND(L4/C4*10000,0)</f>
        <v>28497</v>
      </c>
    </row>
    <row r="5" spans="1:13" ht="12" customHeight="1">
      <c r="A5" s="3143">
        <v>2</v>
      </c>
      <c r="B5" s="3143" t="s">
        <v>3393</v>
      </c>
      <c r="C5" s="3143">
        <f t="shared" ref="C5:C23" si="2">D5+E5</f>
        <v>1232.79</v>
      </c>
      <c r="D5" s="3143">
        <v>742.75</v>
      </c>
      <c r="E5" s="3143">
        <v>490.04</v>
      </c>
      <c r="F5" s="3143" t="s">
        <v>3394</v>
      </c>
      <c r="G5" s="3143">
        <f>G4</f>
        <v>10000</v>
      </c>
      <c r="H5" s="3143">
        <f t="shared" ref="H5:H23" si="3">ROUND(G5*C5/10000,0)</f>
        <v>1233</v>
      </c>
      <c r="J5" s="3143">
        <f t="shared" si="0"/>
        <v>1889</v>
      </c>
      <c r="K5" s="3143">
        <f t="shared" si="1"/>
        <v>1624</v>
      </c>
      <c r="L5" s="3143">
        <f t="shared" ref="L5:L23" si="4">J5+K5</f>
        <v>3513</v>
      </c>
      <c r="M5" s="3143">
        <f t="shared" ref="M5:M23" si="5">ROUND(L5/C5*10000,0)</f>
        <v>28496</v>
      </c>
    </row>
    <row r="6" spans="1:13" ht="12" customHeight="1">
      <c r="A6" s="3143">
        <v>3</v>
      </c>
      <c r="B6" s="3143" t="s">
        <v>3395</v>
      </c>
      <c r="C6" s="3143">
        <f t="shared" si="2"/>
        <v>1231.76</v>
      </c>
      <c r="D6" s="3143">
        <v>742.75</v>
      </c>
      <c r="E6" s="3143">
        <v>489.01</v>
      </c>
      <c r="F6" s="3143" t="s">
        <v>3396</v>
      </c>
      <c r="G6" s="3143">
        <f t="shared" ref="G6:G20" si="6">G5</f>
        <v>10000</v>
      </c>
      <c r="H6" s="3143">
        <f t="shared" si="3"/>
        <v>1232</v>
      </c>
      <c r="J6" s="3143">
        <f t="shared" si="0"/>
        <v>1887</v>
      </c>
      <c r="K6" s="3143">
        <f t="shared" si="1"/>
        <v>1623</v>
      </c>
      <c r="L6" s="3143">
        <f t="shared" si="4"/>
        <v>3510</v>
      </c>
      <c r="M6" s="3143">
        <f t="shared" si="5"/>
        <v>28496</v>
      </c>
    </row>
    <row r="7" spans="1:13" ht="13.5" customHeight="1">
      <c r="A7" s="3143">
        <v>4</v>
      </c>
      <c r="B7" s="3143" t="s">
        <v>3397</v>
      </c>
      <c r="C7" s="3143">
        <f t="shared" si="2"/>
        <v>671.72</v>
      </c>
      <c r="D7" s="3143">
        <v>671.72</v>
      </c>
      <c r="E7" s="3143">
        <v>0</v>
      </c>
      <c r="F7" s="3143" t="s">
        <v>3398</v>
      </c>
      <c r="G7" s="3143">
        <v>20000</v>
      </c>
      <c r="H7" s="3143">
        <f t="shared" si="3"/>
        <v>1343</v>
      </c>
      <c r="I7" s="3141">
        <f>G6+(20000000/C21)</f>
        <v>26239.829806583628</v>
      </c>
      <c r="J7" s="3143">
        <f t="shared" si="0"/>
        <v>1029</v>
      </c>
      <c r="K7" s="3143">
        <f t="shared" si="1"/>
        <v>1769</v>
      </c>
      <c r="L7" s="3143">
        <f t="shared" si="4"/>
        <v>2798</v>
      </c>
      <c r="M7" s="3143">
        <f t="shared" si="5"/>
        <v>41654</v>
      </c>
    </row>
    <row r="8" spans="1:13" ht="12" customHeight="1">
      <c r="A8" s="3143">
        <v>5</v>
      </c>
      <c r="B8" s="3143" t="s">
        <v>3399</v>
      </c>
      <c r="C8" s="3143">
        <f t="shared" si="2"/>
        <v>981.81999999999994</v>
      </c>
      <c r="D8" s="3143">
        <v>598.38</v>
      </c>
      <c r="E8" s="3143">
        <v>383.44</v>
      </c>
      <c r="F8" s="3143" t="s">
        <v>3400</v>
      </c>
      <c r="G8" s="3143">
        <f>G4</f>
        <v>10000</v>
      </c>
      <c r="H8" s="3143">
        <f t="shared" si="3"/>
        <v>982</v>
      </c>
      <c r="J8" s="3143">
        <f t="shared" si="0"/>
        <v>1504</v>
      </c>
      <c r="K8" s="3143">
        <f t="shared" si="1"/>
        <v>1294</v>
      </c>
      <c r="L8" s="3143">
        <f t="shared" si="4"/>
        <v>2798</v>
      </c>
      <c r="M8" s="3143">
        <f t="shared" si="5"/>
        <v>28498</v>
      </c>
    </row>
    <row r="9" spans="1:13" ht="12" customHeight="1">
      <c r="A9" s="3143">
        <v>6</v>
      </c>
      <c r="B9" s="3143" t="s">
        <v>3401</v>
      </c>
      <c r="C9" s="3143">
        <f t="shared" si="2"/>
        <v>1232.79</v>
      </c>
      <c r="D9" s="3143">
        <v>742.75</v>
      </c>
      <c r="E9" s="3143">
        <v>490.04</v>
      </c>
      <c r="F9" s="3143" t="s">
        <v>3402</v>
      </c>
      <c r="G9" s="3143">
        <f t="shared" si="6"/>
        <v>10000</v>
      </c>
      <c r="H9" s="3143">
        <f t="shared" si="3"/>
        <v>1233</v>
      </c>
      <c r="J9" s="3143">
        <f t="shared" si="0"/>
        <v>1889</v>
      </c>
      <c r="K9" s="3143">
        <f t="shared" si="1"/>
        <v>1624</v>
      </c>
      <c r="L9" s="3143">
        <f t="shared" si="4"/>
        <v>3513</v>
      </c>
      <c r="M9" s="3143">
        <f t="shared" si="5"/>
        <v>28496</v>
      </c>
    </row>
    <row r="10" spans="1:13">
      <c r="A10" s="3143">
        <v>7</v>
      </c>
      <c r="B10" s="3143" t="s">
        <v>3403</v>
      </c>
      <c r="C10" s="3143">
        <f t="shared" si="2"/>
        <v>1232.79</v>
      </c>
      <c r="D10" s="3143">
        <v>742.75</v>
      </c>
      <c r="E10" s="3143">
        <v>490.04</v>
      </c>
      <c r="F10" s="3143" t="s">
        <v>3404</v>
      </c>
      <c r="G10" s="3143">
        <f t="shared" si="6"/>
        <v>10000</v>
      </c>
      <c r="H10" s="3143">
        <f t="shared" si="3"/>
        <v>1233</v>
      </c>
      <c r="J10" s="3143">
        <f t="shared" si="0"/>
        <v>1889</v>
      </c>
      <c r="K10" s="3143">
        <f t="shared" si="1"/>
        <v>1624</v>
      </c>
      <c r="L10" s="3143">
        <f t="shared" si="4"/>
        <v>3513</v>
      </c>
      <c r="M10" s="3143">
        <f t="shared" si="5"/>
        <v>28496</v>
      </c>
    </row>
    <row r="11" spans="1:13" ht="13.5" customHeight="1">
      <c r="A11" s="3143">
        <v>8</v>
      </c>
      <c r="B11" s="3143" t="s">
        <v>3405</v>
      </c>
      <c r="C11" s="3143">
        <f t="shared" si="2"/>
        <v>1908.63</v>
      </c>
      <c r="D11" s="3143">
        <v>1118.68</v>
      </c>
      <c r="E11" s="3143">
        <v>789.95</v>
      </c>
      <c r="F11" s="3143" t="s">
        <v>3406</v>
      </c>
      <c r="G11" s="3143">
        <f t="shared" si="6"/>
        <v>10000</v>
      </c>
      <c r="H11" s="3143">
        <f t="shared" si="3"/>
        <v>1909</v>
      </c>
      <c r="J11" s="3143">
        <f t="shared" si="0"/>
        <v>2924</v>
      </c>
      <c r="K11" s="3143">
        <f t="shared" si="1"/>
        <v>2515</v>
      </c>
      <c r="L11" s="3143">
        <f t="shared" si="4"/>
        <v>5439</v>
      </c>
      <c r="M11" s="3143">
        <f t="shared" si="5"/>
        <v>28497</v>
      </c>
    </row>
    <row r="12" spans="1:13" ht="12" customHeight="1">
      <c r="A12" s="3143">
        <v>9</v>
      </c>
      <c r="B12" s="3143" t="s">
        <v>3407</v>
      </c>
      <c r="C12" s="3143">
        <f t="shared" si="2"/>
        <v>1908.63</v>
      </c>
      <c r="D12" s="3143">
        <v>1118.68</v>
      </c>
      <c r="E12" s="3143">
        <v>789.95</v>
      </c>
      <c r="F12" s="3143" t="s">
        <v>3408</v>
      </c>
      <c r="G12" s="3143">
        <f t="shared" si="6"/>
        <v>10000</v>
      </c>
      <c r="H12" s="3143">
        <f t="shared" si="3"/>
        <v>1909</v>
      </c>
      <c r="J12" s="3143">
        <f t="shared" si="0"/>
        <v>2924</v>
      </c>
      <c r="K12" s="3143">
        <f t="shared" si="1"/>
        <v>2515</v>
      </c>
      <c r="L12" s="3143">
        <f t="shared" si="4"/>
        <v>5439</v>
      </c>
      <c r="M12" s="3143">
        <f t="shared" si="5"/>
        <v>28497</v>
      </c>
    </row>
    <row r="13" spans="1:13" ht="12" customHeight="1">
      <c r="A13" s="3143">
        <v>10</v>
      </c>
      <c r="B13" s="3143" t="s">
        <v>3409</v>
      </c>
      <c r="C13" s="3143">
        <f t="shared" si="2"/>
        <v>1232.79</v>
      </c>
      <c r="D13" s="3143">
        <v>742.75</v>
      </c>
      <c r="E13" s="3143">
        <v>490.04</v>
      </c>
      <c r="F13" s="3143" t="s">
        <v>3410</v>
      </c>
      <c r="G13" s="3143">
        <f t="shared" si="6"/>
        <v>10000</v>
      </c>
      <c r="H13" s="3143">
        <f t="shared" si="3"/>
        <v>1233</v>
      </c>
      <c r="J13" s="3143">
        <f t="shared" si="0"/>
        <v>1889</v>
      </c>
      <c r="K13" s="3143">
        <f t="shared" si="1"/>
        <v>1624</v>
      </c>
      <c r="L13" s="3143">
        <f t="shared" si="4"/>
        <v>3513</v>
      </c>
      <c r="M13" s="3143">
        <f t="shared" si="5"/>
        <v>28496</v>
      </c>
    </row>
    <row r="14" spans="1:13" s="3147" customFormat="1">
      <c r="A14" s="3146">
        <v>11</v>
      </c>
      <c r="B14" s="3146" t="s">
        <v>3411</v>
      </c>
      <c r="C14" s="3146">
        <f t="shared" si="2"/>
        <v>1232.79</v>
      </c>
      <c r="D14" s="3146">
        <v>742.75</v>
      </c>
      <c r="E14" s="3146">
        <v>490.04</v>
      </c>
      <c r="F14" s="3146" t="s">
        <v>3412</v>
      </c>
      <c r="G14" s="3146">
        <f t="shared" si="6"/>
        <v>10000</v>
      </c>
      <c r="H14" s="3146">
        <f t="shared" si="3"/>
        <v>1233</v>
      </c>
      <c r="J14" s="3146">
        <f t="shared" si="0"/>
        <v>1889</v>
      </c>
      <c r="K14" s="3146">
        <f t="shared" si="1"/>
        <v>1624</v>
      </c>
      <c r="L14" s="3146">
        <f t="shared" si="4"/>
        <v>3513</v>
      </c>
      <c r="M14" s="3146">
        <f t="shared" si="5"/>
        <v>28496</v>
      </c>
    </row>
    <row r="15" spans="1:13" s="3147" customFormat="1">
      <c r="A15" s="3146">
        <v>12</v>
      </c>
      <c r="B15" s="3146" t="s">
        <v>3413</v>
      </c>
      <c r="C15" s="3146">
        <f t="shared" si="2"/>
        <v>1232.79</v>
      </c>
      <c r="D15" s="3146">
        <v>742.75</v>
      </c>
      <c r="E15" s="3146">
        <v>490.04</v>
      </c>
      <c r="F15" s="3146" t="s">
        <v>3414</v>
      </c>
      <c r="G15" s="3146">
        <f t="shared" si="6"/>
        <v>10000</v>
      </c>
      <c r="H15" s="3146">
        <f t="shared" si="3"/>
        <v>1233</v>
      </c>
      <c r="J15" s="3146">
        <f t="shared" si="0"/>
        <v>1889</v>
      </c>
      <c r="K15" s="3146">
        <f t="shared" si="1"/>
        <v>1624</v>
      </c>
      <c r="L15" s="3146">
        <f t="shared" si="4"/>
        <v>3513</v>
      </c>
      <c r="M15" s="3146">
        <f t="shared" si="5"/>
        <v>28496</v>
      </c>
    </row>
    <row r="16" spans="1:13">
      <c r="A16" s="3143">
        <v>13</v>
      </c>
      <c r="B16" s="3143" t="s">
        <v>3415</v>
      </c>
      <c r="C16" s="3143">
        <f t="shared" si="2"/>
        <v>1232.79</v>
      </c>
      <c r="D16" s="3143">
        <v>742.75</v>
      </c>
      <c r="E16" s="3143">
        <v>490.04</v>
      </c>
      <c r="F16" s="3143" t="s">
        <v>3416</v>
      </c>
      <c r="G16" s="3143">
        <f t="shared" si="6"/>
        <v>10000</v>
      </c>
      <c r="H16" s="3143">
        <f t="shared" si="3"/>
        <v>1233</v>
      </c>
      <c r="J16" s="3143">
        <f t="shared" si="0"/>
        <v>1889</v>
      </c>
      <c r="K16" s="3143">
        <f t="shared" si="1"/>
        <v>1624</v>
      </c>
      <c r="L16" s="3143">
        <f t="shared" si="4"/>
        <v>3513</v>
      </c>
      <c r="M16" s="3143">
        <f t="shared" si="5"/>
        <v>28496</v>
      </c>
    </row>
    <row r="17" spans="1:13">
      <c r="A17" s="3143">
        <v>14</v>
      </c>
      <c r="B17" s="3143" t="s">
        <v>3417</v>
      </c>
      <c r="C17" s="3143">
        <f t="shared" si="2"/>
        <v>1232.79</v>
      </c>
      <c r="D17" s="3143">
        <v>742.75</v>
      </c>
      <c r="E17" s="3143">
        <v>490.04</v>
      </c>
      <c r="F17" s="3143" t="s">
        <v>3418</v>
      </c>
      <c r="G17" s="3143">
        <f t="shared" si="6"/>
        <v>10000</v>
      </c>
      <c r="H17" s="3143">
        <f t="shared" si="3"/>
        <v>1233</v>
      </c>
      <c r="J17" s="3143">
        <f t="shared" si="0"/>
        <v>1889</v>
      </c>
      <c r="K17" s="3143">
        <f t="shared" si="1"/>
        <v>1624</v>
      </c>
      <c r="L17" s="3143">
        <f t="shared" si="4"/>
        <v>3513</v>
      </c>
      <c r="M17" s="3143">
        <f t="shared" si="5"/>
        <v>28496</v>
      </c>
    </row>
    <row r="18" spans="1:13">
      <c r="A18" s="3143">
        <v>15</v>
      </c>
      <c r="B18" s="3143" t="s">
        <v>3419</v>
      </c>
      <c r="C18" s="3143">
        <f t="shared" si="2"/>
        <v>1232.79</v>
      </c>
      <c r="D18" s="3143">
        <v>742.75</v>
      </c>
      <c r="E18" s="3143">
        <v>490.04</v>
      </c>
      <c r="F18" s="3143" t="s">
        <v>3420</v>
      </c>
      <c r="G18" s="3143">
        <f t="shared" si="6"/>
        <v>10000</v>
      </c>
      <c r="H18" s="3143">
        <f t="shared" si="3"/>
        <v>1233</v>
      </c>
      <c r="J18" s="3143"/>
      <c r="K18" s="3143"/>
      <c r="L18" s="3143"/>
      <c r="M18" s="3143"/>
    </row>
    <row r="19" spans="1:13">
      <c r="A19" s="3143">
        <v>16</v>
      </c>
      <c r="B19" s="3143" t="s">
        <v>3421</v>
      </c>
      <c r="C19" s="3143">
        <f t="shared" si="2"/>
        <v>1866.1200000000001</v>
      </c>
      <c r="D19" s="3143">
        <v>1129.8800000000001</v>
      </c>
      <c r="E19" s="3143">
        <v>736.24</v>
      </c>
      <c r="F19" s="3143" t="s">
        <v>3422</v>
      </c>
      <c r="G19" s="3143">
        <f t="shared" si="6"/>
        <v>10000</v>
      </c>
      <c r="H19" s="3143">
        <f t="shared" si="3"/>
        <v>1866</v>
      </c>
      <c r="J19" s="3143">
        <f>ROUND($J$25*C19/($C$24-$C$18-$C$23),0)</f>
        <v>2859</v>
      </c>
      <c r="K19" s="3143">
        <f>ROUND($K$25*H19/($H$24-$H$18-$H$23),0)</f>
        <v>2458</v>
      </c>
      <c r="L19" s="3143">
        <f t="shared" si="4"/>
        <v>5317</v>
      </c>
      <c r="M19" s="3143">
        <f t="shared" si="5"/>
        <v>28492</v>
      </c>
    </row>
    <row r="20" spans="1:13">
      <c r="A20" s="3143">
        <v>17</v>
      </c>
      <c r="B20" s="3143" t="s">
        <v>3423</v>
      </c>
      <c r="C20" s="3143">
        <f t="shared" si="2"/>
        <v>1231.54</v>
      </c>
      <c r="D20" s="3143">
        <v>742.75</v>
      </c>
      <c r="E20" s="3143">
        <v>488.79</v>
      </c>
      <c r="F20" s="3143" t="s">
        <v>3424</v>
      </c>
      <c r="G20" s="3143">
        <f t="shared" si="6"/>
        <v>10000</v>
      </c>
      <c r="H20" s="3143">
        <f t="shared" si="3"/>
        <v>1232</v>
      </c>
      <c r="J20" s="3143">
        <f>ROUND($J$25*C20/($C$24-$C$18-$C$23),0)</f>
        <v>1887</v>
      </c>
      <c r="K20" s="3143">
        <f>ROUND($K$25*H20/($H$24-$H$18-$H$23),0)</f>
        <v>1623</v>
      </c>
      <c r="L20" s="3143">
        <f t="shared" si="4"/>
        <v>3510</v>
      </c>
      <c r="M20" s="3143">
        <f t="shared" si="5"/>
        <v>28501</v>
      </c>
    </row>
    <row r="21" spans="1:13">
      <c r="A21" s="3143">
        <v>18</v>
      </c>
      <c r="B21" s="3143" t="s">
        <v>3425</v>
      </c>
      <c r="C21" s="3143">
        <f t="shared" si="2"/>
        <v>1231.54</v>
      </c>
      <c r="D21" s="3143">
        <v>742.75</v>
      </c>
      <c r="E21" s="3143">
        <v>488.79</v>
      </c>
      <c r="F21" s="3143" t="s">
        <v>3426</v>
      </c>
      <c r="G21" s="3143">
        <v>20000</v>
      </c>
      <c r="H21" s="3143">
        <f t="shared" si="3"/>
        <v>2463</v>
      </c>
      <c r="J21" s="3143">
        <f>ROUND($J$25*C21/($C$24-$C$18-$C$23),0)</f>
        <v>1887</v>
      </c>
      <c r="K21" s="3143">
        <f>ROUND($K$25*H21/($H$24-$H$18-$H$23),0)</f>
        <v>3245</v>
      </c>
      <c r="L21" s="3143">
        <f t="shared" si="4"/>
        <v>5132</v>
      </c>
      <c r="M21" s="3143">
        <f t="shared" si="5"/>
        <v>41671</v>
      </c>
    </row>
    <row r="22" spans="1:13">
      <c r="A22" s="3143">
        <v>19</v>
      </c>
      <c r="B22" s="3143" t="s">
        <v>3427</v>
      </c>
      <c r="C22" s="3143">
        <f t="shared" si="2"/>
        <v>1239.47</v>
      </c>
      <c r="D22" s="3143">
        <v>749.43</v>
      </c>
      <c r="E22" s="3143">
        <v>490.04</v>
      </c>
      <c r="F22" s="3143" t="s">
        <v>3428</v>
      </c>
      <c r="G22" s="3143">
        <f>G21</f>
        <v>20000</v>
      </c>
      <c r="H22" s="3143">
        <f t="shared" si="3"/>
        <v>2479</v>
      </c>
      <c r="I22" s="3141">
        <f>15000*C22/10000</f>
        <v>1859.2049999999999</v>
      </c>
      <c r="J22" s="3143">
        <f>ROUND($J$25*C22/($C$24-$C$18-$C$23),0)</f>
        <v>1899</v>
      </c>
      <c r="K22" s="3143">
        <f>ROUND($K$25*H22/($H$24-$H$18-$H$23),0)</f>
        <v>3266</v>
      </c>
      <c r="L22" s="3143">
        <f t="shared" si="4"/>
        <v>5165</v>
      </c>
      <c r="M22" s="3143">
        <f t="shared" si="5"/>
        <v>41671</v>
      </c>
    </row>
    <row r="23" spans="1:13" ht="24">
      <c r="A23" s="3143">
        <v>20</v>
      </c>
      <c r="B23" s="3148" t="s">
        <v>3429</v>
      </c>
      <c r="C23" s="3143">
        <f t="shared" si="2"/>
        <v>4554.43</v>
      </c>
      <c r="D23" s="3143">
        <v>0</v>
      </c>
      <c r="E23" s="3143">
        <v>4554.43</v>
      </c>
      <c r="F23" s="3143"/>
      <c r="G23" s="3143">
        <f>G4</f>
        <v>10000</v>
      </c>
      <c r="H23" s="3143">
        <f t="shared" si="3"/>
        <v>4554</v>
      </c>
      <c r="I23" s="3141">
        <f>H23/(C24-C23)</f>
        <v>0.18017825540445739</v>
      </c>
      <c r="J23" s="3143"/>
      <c r="K23" s="3143"/>
      <c r="L23" s="3143">
        <f t="shared" si="4"/>
        <v>0</v>
      </c>
      <c r="M23" s="3143">
        <f t="shared" si="5"/>
        <v>0</v>
      </c>
    </row>
    <row r="24" spans="1:13">
      <c r="A24" s="3244" t="s">
        <v>3430</v>
      </c>
      <c r="B24" s="3244"/>
      <c r="C24" s="3143">
        <f>SUM(C4:C23)</f>
        <v>29829.400000000009</v>
      </c>
      <c r="D24" s="3143">
        <f>SUM(D4:D23)</f>
        <v>15418.45</v>
      </c>
      <c r="E24" s="3143">
        <f>SUM(E4:E23)</f>
        <v>14410.950000000003</v>
      </c>
      <c r="F24" s="3143"/>
      <c r="G24" s="3143">
        <f>ROUND(H24/(C24-C18-C23)*10000,0)</f>
        <v>13715</v>
      </c>
      <c r="H24" s="3143">
        <f>SUM(H4:H23)</f>
        <v>32975</v>
      </c>
      <c r="J24" s="3143">
        <f>SUM(J4:J23)</f>
        <v>36836</v>
      </c>
      <c r="K24" s="3143">
        <f t="shared" ref="K24:L24" si="7">SUM(K4:K23)</f>
        <v>35815</v>
      </c>
      <c r="L24" s="3143">
        <f t="shared" si="7"/>
        <v>72651</v>
      </c>
      <c r="M24" s="3143"/>
    </row>
    <row r="25" spans="1:13">
      <c r="A25" s="3242" t="s">
        <v>3431</v>
      </c>
      <c r="B25" s="3242"/>
      <c r="C25" s="3242"/>
      <c r="D25" s="3242"/>
      <c r="E25" s="3242"/>
      <c r="F25" s="3142"/>
      <c r="J25" s="3143">
        <v>36837</v>
      </c>
      <c r="K25" s="3143">
        <v>35820</v>
      </c>
      <c r="L25" s="3143">
        <f>J25+K25</f>
        <v>72657</v>
      </c>
      <c r="M25" s="3143">
        <v>30221</v>
      </c>
    </row>
    <row r="26" spans="1:13">
      <c r="A26" s="3142"/>
      <c r="B26" s="3144"/>
      <c r="C26" s="3144"/>
      <c r="D26" s="3144" t="s">
        <v>3432</v>
      </c>
      <c r="E26" s="3144" t="s">
        <v>3433</v>
      </c>
      <c r="F26" s="3144" t="s">
        <v>3434</v>
      </c>
    </row>
    <row r="27" spans="1:13">
      <c r="B27" s="3143" t="s">
        <v>651</v>
      </c>
      <c r="C27" s="3143">
        <f>C28+C29+C30</f>
        <v>86752</v>
      </c>
      <c r="D27" s="3143"/>
      <c r="E27" s="3143"/>
      <c r="F27" s="3143"/>
    </row>
    <row r="28" spans="1:13">
      <c r="B28" s="3143" t="s">
        <v>3432</v>
      </c>
      <c r="C28" s="3143">
        <f>D28+E28</f>
        <v>5100</v>
      </c>
      <c r="D28" s="3143">
        <v>1759.51</v>
      </c>
      <c r="E28" s="3143">
        <v>3340.49</v>
      </c>
      <c r="F28" s="3143"/>
    </row>
    <row r="29" spans="1:13">
      <c r="B29" s="3143" t="s">
        <v>3435</v>
      </c>
      <c r="C29" s="3143">
        <v>52275</v>
      </c>
      <c r="D29" s="3143"/>
      <c r="E29" s="3143"/>
      <c r="F29" s="3143">
        <f>C29/C24*10000</f>
        <v>17524.656882136413</v>
      </c>
    </row>
    <row r="30" spans="1:13">
      <c r="B30" s="3143" t="s">
        <v>3436</v>
      </c>
      <c r="C30" s="3143">
        <v>29377</v>
      </c>
      <c r="D30" s="3143"/>
      <c r="E30" s="3143"/>
      <c r="F30" s="3143"/>
    </row>
    <row r="31" spans="1:13">
      <c r="B31" s="3143" t="s">
        <v>3437</v>
      </c>
      <c r="C31" s="3143">
        <f>ROUND(2000/C21*(C7+C21+C22),0)</f>
        <v>5104</v>
      </c>
      <c r="D31" s="3143"/>
      <c r="E31" s="3143"/>
      <c r="F31" s="3143"/>
    </row>
    <row r="32" spans="1:13" ht="14.25">
      <c r="B32" s="3245"/>
      <c r="C32" s="3245"/>
      <c r="D32" s="3245"/>
      <c r="E32" s="3149"/>
    </row>
    <row r="33" spans="2:7" ht="14.25">
      <c r="B33" s="3239" t="s">
        <v>3438</v>
      </c>
      <c r="C33" s="3239"/>
      <c r="D33" s="3151"/>
      <c r="E33" s="3152"/>
      <c r="G33" s="3141" t="s">
        <v>3439</v>
      </c>
    </row>
    <row r="34" spans="2:7" ht="14.25">
      <c r="B34" s="3239"/>
      <c r="C34" s="3239"/>
      <c r="D34" s="3153" t="s">
        <v>3440</v>
      </c>
      <c r="E34" s="3150">
        <v>2</v>
      </c>
    </row>
    <row r="35" spans="2:7" ht="14.25">
      <c r="B35" s="3239"/>
      <c r="C35" s="3239"/>
      <c r="D35" s="3153" t="s">
        <v>3441</v>
      </c>
      <c r="E35" s="3150">
        <v>1</v>
      </c>
    </row>
    <row r="36" spans="2:7" ht="14.25">
      <c r="B36" s="3239" t="s">
        <v>3442</v>
      </c>
      <c r="C36" s="3239"/>
      <c r="D36" s="3150" t="s">
        <v>3443</v>
      </c>
      <c r="E36" s="3150">
        <f>E37+E38</f>
        <v>25274.97</v>
      </c>
    </row>
    <row r="37" spans="2:7">
      <c r="B37" s="3239"/>
      <c r="C37" s="3239"/>
      <c r="D37" s="3153" t="s">
        <v>3440</v>
      </c>
      <c r="E37" s="3153">
        <f>D24</f>
        <v>15418.45</v>
      </c>
    </row>
    <row r="38" spans="2:7">
      <c r="B38" s="3239"/>
      <c r="C38" s="3239"/>
      <c r="D38" s="3153" t="s">
        <v>3441</v>
      </c>
      <c r="E38" s="3153">
        <f>E24-E23</f>
        <v>9856.5200000000023</v>
      </c>
    </row>
    <row r="39" spans="2:7" ht="14.25">
      <c r="B39" s="3246" t="s">
        <v>3444</v>
      </c>
      <c r="C39" s="3247" t="s">
        <v>3445</v>
      </c>
      <c r="D39" s="3248"/>
      <c r="E39" s="3154">
        <f>E40+E43+E44+E45</f>
        <v>10000</v>
      </c>
    </row>
    <row r="40" spans="2:7" ht="14.25">
      <c r="B40" s="3246"/>
      <c r="C40" s="3239" t="s">
        <v>3446</v>
      </c>
      <c r="D40" s="3155" t="s">
        <v>3443</v>
      </c>
      <c r="E40" s="3156">
        <f>E41+E42</f>
        <v>7500</v>
      </c>
    </row>
    <row r="41" spans="2:7" ht="12" customHeight="1">
      <c r="B41" s="3246"/>
      <c r="C41" s="3239"/>
      <c r="D41" s="3157" t="s">
        <v>3447</v>
      </c>
      <c r="E41" s="3153">
        <v>2500</v>
      </c>
    </row>
    <row r="42" spans="2:7" ht="12" customHeight="1">
      <c r="B42" s="3246"/>
      <c r="C42" s="3239"/>
      <c r="D42" s="3157" t="s">
        <v>3448</v>
      </c>
      <c r="E42" s="3153">
        <v>5000</v>
      </c>
    </row>
    <row r="43" spans="2:7" ht="14.25">
      <c r="B43" s="3246"/>
      <c r="C43" s="3249" t="s">
        <v>3449</v>
      </c>
      <c r="D43" s="3249"/>
      <c r="E43" s="3158">
        <v>0</v>
      </c>
    </row>
    <row r="44" spans="2:7" ht="14.25">
      <c r="B44" s="3246"/>
      <c r="C44" s="3249" t="s">
        <v>3450</v>
      </c>
      <c r="D44" s="3249"/>
      <c r="E44" s="3158">
        <v>1000</v>
      </c>
    </row>
    <row r="45" spans="2:7" ht="14.25">
      <c r="B45" s="3246"/>
      <c r="C45" s="3159" t="s">
        <v>3451</v>
      </c>
      <c r="D45" s="3158"/>
      <c r="E45" s="3158">
        <v>1500</v>
      </c>
    </row>
    <row r="46" spans="2:7" ht="14.25">
      <c r="B46" s="3246"/>
      <c r="C46" s="3152"/>
      <c r="D46" s="3150"/>
      <c r="E46" s="3150"/>
    </row>
    <row r="47" spans="2:7" ht="14.25">
      <c r="B47" s="3246"/>
      <c r="C47" s="3152" t="s">
        <v>3452</v>
      </c>
      <c r="D47" s="3150"/>
      <c r="E47" s="3150"/>
    </row>
    <row r="48" spans="2:7" ht="14.25">
      <c r="B48" s="3246"/>
      <c r="C48" s="3152" t="s">
        <v>3453</v>
      </c>
      <c r="D48" s="3150"/>
      <c r="E48" s="3160">
        <f>E40/E39</f>
        <v>0.75</v>
      </c>
    </row>
    <row r="49" spans="2:5" ht="14.25">
      <c r="B49" s="3246"/>
      <c r="C49" s="3152" t="s">
        <v>3454</v>
      </c>
      <c r="D49" s="3150"/>
      <c r="E49" s="3160">
        <f>E43/$E$39</f>
        <v>0</v>
      </c>
    </row>
    <row r="50" spans="2:5" ht="14.25">
      <c r="B50" s="3246"/>
      <c r="C50" s="3152" t="s">
        <v>3455</v>
      </c>
      <c r="D50" s="3150"/>
      <c r="E50" s="3160">
        <f>E44/$E$39</f>
        <v>0.1</v>
      </c>
    </row>
    <row r="51" spans="2:5" ht="14.25">
      <c r="B51" s="3246"/>
      <c r="C51" s="3152" t="s">
        <v>3456</v>
      </c>
      <c r="D51" s="3143"/>
      <c r="E51" s="3160">
        <f>E45/$E$39</f>
        <v>0.15</v>
      </c>
    </row>
  </sheetData>
  <mergeCells count="12">
    <mergeCell ref="B36:C38"/>
    <mergeCell ref="B39:B51"/>
    <mergeCell ref="C39:D39"/>
    <mergeCell ref="C40:C42"/>
    <mergeCell ref="C43:D43"/>
    <mergeCell ref="C44:D44"/>
    <mergeCell ref="B33:C35"/>
    <mergeCell ref="A1:F1"/>
    <mergeCell ref="A2:F2"/>
    <mergeCell ref="A24:B24"/>
    <mergeCell ref="A25:E25"/>
    <mergeCell ref="B32:D32"/>
  </mergeCells>
  <phoneticPr fontId="134" type="noConversion"/>
  <pageMargins left="0.75" right="0.75" top="1" bottom="1" header="0.5" footer="0.5"/>
  <pageSetup paperSize="9"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AAC3F-E203-4D97-A941-F251FDB1D97F}">
  <dimension ref="A1:H22"/>
  <sheetViews>
    <sheetView workbookViewId="0">
      <selection activeCell="A11" activeCellId="2" sqref="A2:XFD2 A8:XFD8 A11:XFD11"/>
    </sheetView>
  </sheetViews>
  <sheetFormatPr defaultRowHeight="13.5"/>
  <cols>
    <col min="1" max="1" width="5.25" bestFit="1" customWidth="1"/>
    <col min="2" max="2" width="23.75" bestFit="1" customWidth="1"/>
    <col min="3" max="3" width="19.25" bestFit="1" customWidth="1"/>
    <col min="4" max="5" width="15.125" bestFit="1" customWidth="1"/>
    <col min="6" max="6" width="33.625" bestFit="1" customWidth="1"/>
  </cols>
  <sheetData>
    <row r="1" spans="1:8">
      <c r="A1" s="2810" t="s">
        <v>3379</v>
      </c>
      <c r="B1" s="2810" t="s">
        <v>3380</v>
      </c>
      <c r="C1" s="2810" t="s">
        <v>3877</v>
      </c>
      <c r="D1" s="2810" t="s">
        <v>3878</v>
      </c>
      <c r="E1" s="2810" t="s">
        <v>3879</v>
      </c>
      <c r="F1" s="2810" t="s">
        <v>3880</v>
      </c>
      <c r="G1" s="1420" t="s">
        <v>3900</v>
      </c>
      <c r="H1" s="1420" t="s">
        <v>3901</v>
      </c>
    </row>
    <row r="2" spans="1:8">
      <c r="A2" s="2810">
        <v>1</v>
      </c>
      <c r="B2" s="2810" t="s">
        <v>3391</v>
      </c>
      <c r="C2" s="2810">
        <v>1908.63</v>
      </c>
      <c r="D2" s="2810">
        <v>1118.68</v>
      </c>
      <c r="E2" s="2810">
        <v>789.95</v>
      </c>
      <c r="F2" s="2810" t="s">
        <v>3881</v>
      </c>
      <c r="G2" s="1404" t="s">
        <v>3903</v>
      </c>
      <c r="H2" t="s">
        <v>3902</v>
      </c>
    </row>
    <row r="3" spans="1:8">
      <c r="A3" s="2810">
        <v>2</v>
      </c>
      <c r="B3" s="2810" t="s">
        <v>3393</v>
      </c>
      <c r="C3" s="2810">
        <v>1232.79</v>
      </c>
      <c r="D3" s="2810">
        <v>742.75</v>
      </c>
      <c r="E3" s="2810">
        <v>490.04</v>
      </c>
      <c r="F3" s="2810" t="s">
        <v>3882</v>
      </c>
      <c r="G3" t="s">
        <v>3902</v>
      </c>
      <c r="H3" t="s">
        <v>3902</v>
      </c>
    </row>
    <row r="4" spans="1:8">
      <c r="A4" s="2810">
        <v>3</v>
      </c>
      <c r="B4" s="2810" t="s">
        <v>3395</v>
      </c>
      <c r="C4" s="2810">
        <v>1231.76</v>
      </c>
      <c r="D4" s="2810">
        <v>742.75</v>
      </c>
      <c r="E4" s="2810">
        <v>489.01</v>
      </c>
      <c r="F4" s="2810" t="s">
        <v>3883</v>
      </c>
      <c r="G4" t="s">
        <v>3902</v>
      </c>
      <c r="H4" t="s">
        <v>3902</v>
      </c>
    </row>
    <row r="5" spans="1:8">
      <c r="A5" s="2810">
        <v>4</v>
      </c>
      <c r="B5" s="2810" t="s">
        <v>3397</v>
      </c>
      <c r="C5" s="2810">
        <v>671.72</v>
      </c>
      <c r="D5" s="2810">
        <v>671.72</v>
      </c>
      <c r="E5" s="2810">
        <v>0</v>
      </c>
      <c r="F5" s="2810" t="s">
        <v>3884</v>
      </c>
      <c r="G5" s="1404" t="s">
        <v>3904</v>
      </c>
      <c r="H5" s="1404" t="s">
        <v>3903</v>
      </c>
    </row>
    <row r="6" spans="1:8">
      <c r="A6" s="2810">
        <v>5</v>
      </c>
      <c r="B6" s="2810" t="s">
        <v>3399</v>
      </c>
      <c r="C6" s="2810">
        <v>981.81999999999994</v>
      </c>
      <c r="D6" s="2810">
        <v>598.38</v>
      </c>
      <c r="E6" s="2810">
        <v>383.44</v>
      </c>
      <c r="F6" s="2810" t="s">
        <v>3885</v>
      </c>
      <c r="G6" s="1404" t="s">
        <v>3904</v>
      </c>
      <c r="H6" s="1404" t="s">
        <v>3903</v>
      </c>
    </row>
    <row r="7" spans="1:8">
      <c r="A7" s="2810">
        <v>6</v>
      </c>
      <c r="B7" s="2810" t="s">
        <v>3401</v>
      </c>
      <c r="C7" s="2810">
        <v>1232.79</v>
      </c>
      <c r="D7" s="2810">
        <v>742.75</v>
      </c>
      <c r="E7" s="2810">
        <v>490.04</v>
      </c>
      <c r="F7" s="2810" t="s">
        <v>3886</v>
      </c>
      <c r="G7" t="s">
        <v>3902</v>
      </c>
      <c r="H7" t="s">
        <v>3902</v>
      </c>
    </row>
    <row r="8" spans="1:8">
      <c r="A8" s="2810">
        <v>7</v>
      </c>
      <c r="B8" s="2810" t="s">
        <v>3403</v>
      </c>
      <c r="C8" s="2810">
        <v>1232.79</v>
      </c>
      <c r="D8" s="2810">
        <v>742.75</v>
      </c>
      <c r="E8" s="2810">
        <v>490.04</v>
      </c>
      <c r="F8" s="2810" t="s">
        <v>3887</v>
      </c>
      <c r="G8" t="s">
        <v>3902</v>
      </c>
      <c r="H8" t="s">
        <v>3902</v>
      </c>
    </row>
    <row r="9" spans="1:8">
      <c r="A9" s="2810">
        <v>8</v>
      </c>
      <c r="B9" s="2810" t="s">
        <v>3405</v>
      </c>
      <c r="C9" s="2810">
        <v>1908.63</v>
      </c>
      <c r="D9" s="2810">
        <v>1118.68</v>
      </c>
      <c r="E9" s="2810">
        <v>789.95</v>
      </c>
      <c r="F9" s="2810" t="s">
        <v>3888</v>
      </c>
      <c r="G9" s="1404" t="s">
        <v>3904</v>
      </c>
      <c r="H9" s="1404" t="s">
        <v>3903</v>
      </c>
    </row>
    <row r="10" spans="1:8">
      <c r="A10" s="2810">
        <v>9</v>
      </c>
      <c r="B10" s="2810" t="s">
        <v>3407</v>
      </c>
      <c r="C10" s="2810">
        <v>1908.63</v>
      </c>
      <c r="D10" s="2810">
        <v>1118.68</v>
      </c>
      <c r="E10" s="2810">
        <v>789.95</v>
      </c>
      <c r="F10" s="2810" t="s">
        <v>3889</v>
      </c>
      <c r="G10" s="1404" t="s">
        <v>3904</v>
      </c>
      <c r="H10" s="1404" t="s">
        <v>3903</v>
      </c>
    </row>
    <row r="11" spans="1:8">
      <c r="A11" s="2810">
        <v>10</v>
      </c>
      <c r="B11" s="2810" t="s">
        <v>3409</v>
      </c>
      <c r="C11" s="2810">
        <v>1232.79</v>
      </c>
      <c r="D11" s="2810">
        <v>742.75</v>
      </c>
      <c r="E11" s="2810">
        <v>490.04</v>
      </c>
      <c r="F11" s="2810" t="s">
        <v>3890</v>
      </c>
      <c r="G11" t="s">
        <v>3902</v>
      </c>
      <c r="H11" t="s">
        <v>3902</v>
      </c>
    </row>
    <row r="12" spans="1:8">
      <c r="A12" s="2810">
        <v>11</v>
      </c>
      <c r="B12" s="2810" t="s">
        <v>3411</v>
      </c>
      <c r="C12" s="2810">
        <v>1232.79</v>
      </c>
      <c r="D12" s="2810">
        <v>742.75</v>
      </c>
      <c r="E12" s="2810">
        <v>490.04</v>
      </c>
      <c r="F12" s="2810" t="s">
        <v>3891</v>
      </c>
      <c r="G12" t="s">
        <v>3902</v>
      </c>
      <c r="H12" t="s">
        <v>3902</v>
      </c>
    </row>
    <row r="13" spans="1:8">
      <c r="A13" s="2810">
        <v>12</v>
      </c>
      <c r="B13" s="2810" t="s">
        <v>3413</v>
      </c>
      <c r="C13" s="2810">
        <v>1232.79</v>
      </c>
      <c r="D13" s="2810">
        <v>742.75</v>
      </c>
      <c r="E13" s="2810">
        <v>490.04</v>
      </c>
      <c r="F13" s="2810" t="s">
        <v>3892</v>
      </c>
      <c r="G13" t="s">
        <v>3902</v>
      </c>
      <c r="H13" t="s">
        <v>3902</v>
      </c>
    </row>
    <row r="14" spans="1:8">
      <c r="A14" s="2810">
        <v>13</v>
      </c>
      <c r="B14" s="2810" t="s">
        <v>3415</v>
      </c>
      <c r="C14" s="2810">
        <v>1232.79</v>
      </c>
      <c r="D14" s="2810">
        <v>742.75</v>
      </c>
      <c r="E14" s="2810">
        <v>490.04</v>
      </c>
      <c r="F14" s="2810" t="s">
        <v>3893</v>
      </c>
      <c r="G14" t="s">
        <v>3902</v>
      </c>
      <c r="H14" s="1404" t="s">
        <v>3904</v>
      </c>
    </row>
    <row r="15" spans="1:8">
      <c r="A15" s="2810">
        <v>14</v>
      </c>
      <c r="B15" s="2810" t="s">
        <v>3417</v>
      </c>
      <c r="C15" s="2810">
        <v>1232.79</v>
      </c>
      <c r="D15" s="2810">
        <v>742.75</v>
      </c>
      <c r="E15" s="2810">
        <v>490.04</v>
      </c>
      <c r="F15" s="2810" t="s">
        <v>3894</v>
      </c>
      <c r="G15" t="s">
        <v>3902</v>
      </c>
      <c r="H15" s="1404" t="s">
        <v>3904</v>
      </c>
    </row>
    <row r="16" spans="1:8">
      <c r="A16" s="2810">
        <v>15</v>
      </c>
      <c r="B16" s="2810" t="s">
        <v>3419</v>
      </c>
      <c r="C16" s="2810">
        <v>1232.79</v>
      </c>
      <c r="D16" s="2810">
        <v>742.75</v>
      </c>
      <c r="E16" s="2810">
        <v>490.04</v>
      </c>
      <c r="F16" s="2810" t="s">
        <v>3895</v>
      </c>
      <c r="G16" t="s">
        <v>3902</v>
      </c>
      <c r="H16" s="1404" t="s">
        <v>3904</v>
      </c>
    </row>
    <row r="17" spans="1:8">
      <c r="A17" s="2810">
        <v>16</v>
      </c>
      <c r="B17" s="2810" t="s">
        <v>3421</v>
      </c>
      <c r="C17" s="2810">
        <v>1866.1200000000001</v>
      </c>
      <c r="D17" s="2810">
        <v>1129.8800000000001</v>
      </c>
      <c r="E17" s="2810">
        <v>736.24</v>
      </c>
      <c r="F17" s="2810" t="s">
        <v>3896</v>
      </c>
      <c r="G17" s="1404" t="s">
        <v>3904</v>
      </c>
      <c r="H17" s="1404" t="s">
        <v>3903</v>
      </c>
    </row>
    <row r="18" spans="1:8">
      <c r="A18" s="2810">
        <v>17</v>
      </c>
      <c r="B18" s="2810" t="s">
        <v>3423</v>
      </c>
      <c r="C18" s="2810">
        <v>1231.54</v>
      </c>
      <c r="D18" s="2810">
        <v>742.75</v>
      </c>
      <c r="E18" s="2810">
        <v>488.79</v>
      </c>
      <c r="F18" s="2810" t="s">
        <v>3897</v>
      </c>
      <c r="G18" s="1404" t="s">
        <v>3904</v>
      </c>
      <c r="H18" s="1404" t="s">
        <v>3903</v>
      </c>
    </row>
    <row r="19" spans="1:8">
      <c r="A19" s="2810">
        <v>18</v>
      </c>
      <c r="B19" s="2810" t="s">
        <v>3425</v>
      </c>
      <c r="C19" s="2810">
        <v>1231.54</v>
      </c>
      <c r="D19" s="2810">
        <v>742.75</v>
      </c>
      <c r="E19" s="2810">
        <v>488.79</v>
      </c>
      <c r="F19" s="2810" t="s">
        <v>3898</v>
      </c>
      <c r="G19" t="s">
        <v>3902</v>
      </c>
      <c r="H19" t="s">
        <v>3902</v>
      </c>
    </row>
    <row r="20" spans="1:8">
      <c r="A20" s="2810">
        <v>19</v>
      </c>
      <c r="B20" s="2810" t="s">
        <v>3427</v>
      </c>
      <c r="C20" s="2810">
        <v>1239.47</v>
      </c>
      <c r="D20" s="2810">
        <v>749.43</v>
      </c>
      <c r="E20" s="2810">
        <v>490.04</v>
      </c>
      <c r="F20" s="2810" t="s">
        <v>3899</v>
      </c>
      <c r="G20" t="s">
        <v>3902</v>
      </c>
      <c r="H20" t="s">
        <v>3902</v>
      </c>
    </row>
    <row r="22" spans="1:8">
      <c r="A22" s="1404" t="s">
        <v>3905</v>
      </c>
    </row>
  </sheetData>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FF00"/>
  </sheetPr>
  <dimension ref="A1:W127"/>
  <sheetViews>
    <sheetView workbookViewId="0">
      <selection activeCell="L19" sqref="A18:L19"/>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972</v>
      </c>
      <c r="C1" s="1437" t="s">
        <v>314</v>
      </c>
      <c r="D1" s="1438" t="s">
        <v>3337</v>
      </c>
      <c r="E1" s="1437" t="s">
        <v>973</v>
      </c>
      <c r="F1" s="1437" t="s">
        <v>974</v>
      </c>
      <c r="G1" s="1437" t="s">
        <v>975</v>
      </c>
      <c r="H1" s="1437" t="s">
        <v>976</v>
      </c>
      <c r="I1" s="1437" t="s">
        <v>977</v>
      </c>
      <c r="J1" s="1437" t="s">
        <v>978</v>
      </c>
      <c r="K1" s="1437" t="s">
        <v>979</v>
      </c>
      <c r="L1" s="1437" t="s">
        <v>980</v>
      </c>
      <c r="M1" s="1437" t="s">
        <v>981</v>
      </c>
      <c r="N1" s="1437" t="s">
        <v>982</v>
      </c>
      <c r="O1" s="1437" t="s">
        <v>983</v>
      </c>
      <c r="P1" s="1438" t="s">
        <v>309</v>
      </c>
      <c r="Q1" s="1438" t="s">
        <v>447</v>
      </c>
      <c r="R1" s="1437" t="s">
        <v>441</v>
      </c>
      <c r="S1" s="1437" t="s">
        <v>984</v>
      </c>
      <c r="T1" s="1438" t="s">
        <v>985</v>
      </c>
      <c r="U1" s="1437" t="s">
        <v>986</v>
      </c>
      <c r="V1" s="1437" t="s">
        <v>987</v>
      </c>
      <c r="W1" s="1437" t="s">
        <v>311</v>
      </c>
    </row>
    <row r="2" spans="1:23">
      <c r="A2" s="1440" t="s">
        <v>19</v>
      </c>
      <c r="B2" s="1440" t="s">
        <v>988</v>
      </c>
      <c r="C2" s="1441" t="s">
        <v>315</v>
      </c>
      <c r="D2" s="1442" t="s">
        <v>989</v>
      </c>
      <c r="E2" s="1442" t="s">
        <v>990</v>
      </c>
      <c r="F2" s="1442" t="s">
        <v>991</v>
      </c>
      <c r="G2" s="1442">
        <v>20</v>
      </c>
      <c r="H2" s="1442" t="s">
        <v>991</v>
      </c>
      <c r="I2" s="1442" t="s">
        <v>3323</v>
      </c>
      <c r="J2" s="1442" t="s">
        <v>992</v>
      </c>
      <c r="K2" s="1442" t="s">
        <v>993</v>
      </c>
      <c r="L2" s="1442" t="s">
        <v>993</v>
      </c>
      <c r="M2" s="1442" t="s">
        <v>993</v>
      </c>
      <c r="N2" s="1442" t="s">
        <v>993</v>
      </c>
      <c r="O2" s="1442" t="s">
        <v>993</v>
      </c>
      <c r="P2" s="1442" t="s">
        <v>993</v>
      </c>
      <c r="Q2" s="1442" t="s">
        <v>993</v>
      </c>
      <c r="R2" s="1442" t="s">
        <v>443</v>
      </c>
      <c r="S2" s="1442" t="s">
        <v>993</v>
      </c>
      <c r="T2" s="1442" t="s">
        <v>994</v>
      </c>
      <c r="U2" s="1442" t="s">
        <v>993</v>
      </c>
      <c r="V2" s="1442" t="s">
        <v>995</v>
      </c>
      <c r="W2" s="1442" t="s">
        <v>993</v>
      </c>
    </row>
    <row r="3" spans="1:23">
      <c r="A3" s="1440" t="s">
        <v>996</v>
      </c>
      <c r="B3" s="1443" t="s">
        <v>448</v>
      </c>
      <c r="C3" s="1441" t="s">
        <v>316</v>
      </c>
      <c r="D3" s="1442" t="s">
        <v>997</v>
      </c>
      <c r="E3" s="1442" t="s">
        <v>13</v>
      </c>
      <c r="F3" s="1442" t="s">
        <v>998</v>
      </c>
      <c r="G3" s="1442">
        <v>40</v>
      </c>
      <c r="H3" s="1442" t="s">
        <v>998</v>
      </c>
      <c r="I3" s="1442" t="s">
        <v>3324</v>
      </c>
      <c r="J3" s="1442" t="s">
        <v>999</v>
      </c>
      <c r="K3" s="1442" t="s">
        <v>1000</v>
      </c>
      <c r="L3" s="1442" t="s">
        <v>1000</v>
      </c>
      <c r="M3" s="1442" t="s">
        <v>1000</v>
      </c>
      <c r="N3" s="1442" t="s">
        <v>1000</v>
      </c>
      <c r="O3" s="1442" t="s">
        <v>1000</v>
      </c>
      <c r="P3" s="1442" t="s">
        <v>1000</v>
      </c>
      <c r="Q3" s="1442" t="s">
        <v>1000</v>
      </c>
      <c r="R3" s="1442" t="s">
        <v>442</v>
      </c>
      <c r="S3" s="1442" t="s">
        <v>1000</v>
      </c>
      <c r="T3" s="1442" t="s">
        <v>1001</v>
      </c>
      <c r="U3" s="1442" t="s">
        <v>1000</v>
      </c>
      <c r="V3" s="1442" t="s">
        <v>1002</v>
      </c>
      <c r="W3" s="1442" t="s">
        <v>1000</v>
      </c>
    </row>
    <row r="4" spans="1:23">
      <c r="A4" s="1440" t="s">
        <v>1003</v>
      </c>
      <c r="B4" s="1440" t="s">
        <v>1004</v>
      </c>
      <c r="C4" s="1441" t="s">
        <v>317</v>
      </c>
      <c r="D4" s="1442" t="s">
        <v>389</v>
      </c>
      <c r="E4" s="1442" t="s">
        <v>1005</v>
      </c>
      <c r="F4" s="1442" t="s">
        <v>1006</v>
      </c>
      <c r="G4" s="1442">
        <v>50</v>
      </c>
      <c r="H4" s="1442" t="s">
        <v>1006</v>
      </c>
      <c r="I4" s="1442" t="s">
        <v>3325</v>
      </c>
      <c r="K4" s="1442" t="s">
        <v>1007</v>
      </c>
      <c r="L4" s="1442" t="s">
        <v>1007</v>
      </c>
      <c r="M4" s="1442" t="s">
        <v>1007</v>
      </c>
      <c r="N4" s="1442" t="s">
        <v>1007</v>
      </c>
      <c r="O4" s="1442" t="s">
        <v>1007</v>
      </c>
      <c r="P4" s="1442" t="s">
        <v>1007</v>
      </c>
      <c r="Q4" s="1442" t="s">
        <v>1007</v>
      </c>
      <c r="R4" s="1442" t="s">
        <v>444</v>
      </c>
      <c r="S4" s="1442" t="s">
        <v>1007</v>
      </c>
      <c r="T4" s="1442" t="s">
        <v>1008</v>
      </c>
      <c r="U4" s="1442" t="s">
        <v>1007</v>
      </c>
      <c r="W4" s="1442" t="s">
        <v>1007</v>
      </c>
    </row>
    <row r="5" spans="1:23">
      <c r="A5" s="1440" t="s">
        <v>1009</v>
      </c>
      <c r="B5" s="1440" t="s">
        <v>1010</v>
      </c>
      <c r="C5" s="1441" t="s">
        <v>318</v>
      </c>
      <c r="F5" s="1442" t="s">
        <v>1011</v>
      </c>
      <c r="G5" s="1442">
        <v>70</v>
      </c>
      <c r="H5" s="1442" t="s">
        <v>1012</v>
      </c>
      <c r="I5" s="1442" t="s">
        <v>3326</v>
      </c>
      <c r="K5" s="1442" t="s">
        <v>1013</v>
      </c>
      <c r="L5" s="1442" t="s">
        <v>1013</v>
      </c>
      <c r="M5" s="1442" t="s">
        <v>1013</v>
      </c>
      <c r="N5" s="1442" t="s">
        <v>1013</v>
      </c>
      <c r="O5" s="1442" t="s">
        <v>1013</v>
      </c>
      <c r="P5" s="1442" t="s">
        <v>1013</v>
      </c>
      <c r="Q5" s="1442" t="s">
        <v>1013</v>
      </c>
      <c r="R5" s="1442" t="s">
        <v>445</v>
      </c>
      <c r="S5" s="1442" t="s">
        <v>1013</v>
      </c>
      <c r="T5" s="1442" t="s">
        <v>1014</v>
      </c>
      <c r="U5" s="1442" t="s">
        <v>1013</v>
      </c>
      <c r="W5" s="1442" t="s">
        <v>1013</v>
      </c>
    </row>
    <row r="6" spans="1:23">
      <c r="A6" s="1440" t="s">
        <v>1015</v>
      </c>
      <c r="B6" s="1443" t="s">
        <v>449</v>
      </c>
      <c r="C6" s="1445" t="s">
        <v>24</v>
      </c>
      <c r="F6" s="1442" t="s">
        <v>1012</v>
      </c>
      <c r="H6" s="1442" t="s">
        <v>1016</v>
      </c>
      <c r="I6" s="1442" t="s">
        <v>3327</v>
      </c>
      <c r="K6" s="1442" t="s">
        <v>1017</v>
      </c>
      <c r="L6" s="1442" t="s">
        <v>1017</v>
      </c>
      <c r="M6" s="1442" t="s">
        <v>1017</v>
      </c>
      <c r="N6" s="1442" t="s">
        <v>1017</v>
      </c>
      <c r="O6" s="1442" t="s">
        <v>1017</v>
      </c>
      <c r="P6" s="1442" t="s">
        <v>1017</v>
      </c>
      <c r="Q6" s="1442" t="s">
        <v>1017</v>
      </c>
      <c r="R6" s="1442" t="s">
        <v>446</v>
      </c>
      <c r="S6" s="1442" t="s">
        <v>1017</v>
      </c>
      <c r="T6" s="1442"/>
      <c r="U6" s="1442" t="s">
        <v>1017</v>
      </c>
      <c r="W6" s="1442" t="s">
        <v>1017</v>
      </c>
    </row>
    <row r="7" spans="1:23">
      <c r="A7" s="1440" t="s">
        <v>1018</v>
      </c>
      <c r="B7" s="1443" t="s">
        <v>450</v>
      </c>
      <c r="C7" s="1441" t="s">
        <v>25</v>
      </c>
      <c r="F7" s="1442" t="s">
        <v>1019</v>
      </c>
      <c r="H7" s="1442" t="s">
        <v>1020</v>
      </c>
      <c r="I7" s="1442" t="s">
        <v>3328</v>
      </c>
    </row>
    <row r="8" spans="1:23">
      <c r="A8" s="1440" t="s">
        <v>1021</v>
      </c>
      <c r="B8" s="1440" t="s">
        <v>1022</v>
      </c>
      <c r="C8" s="1441" t="s">
        <v>319</v>
      </c>
      <c r="F8" s="1442" t="s">
        <v>1023</v>
      </c>
      <c r="H8" s="1442" t="s">
        <v>2564</v>
      </c>
      <c r="I8" s="1442" t="s">
        <v>3329</v>
      </c>
    </row>
    <row r="9" spans="1:23">
      <c r="A9" s="1440" t="s">
        <v>1024</v>
      </c>
      <c r="B9" s="1440" t="s">
        <v>1025</v>
      </c>
      <c r="C9" s="1441" t="s">
        <v>320</v>
      </c>
      <c r="F9" s="1442" t="s">
        <v>1026</v>
      </c>
      <c r="H9" s="1442"/>
      <c r="I9" s="1444" t="s">
        <v>3330</v>
      </c>
    </row>
    <row r="10" spans="1:23">
      <c r="A10" s="1440" t="s">
        <v>1027</v>
      </c>
      <c r="B10" s="1440" t="s">
        <v>1028</v>
      </c>
      <c r="C10" s="1441" t="s">
        <v>321</v>
      </c>
      <c r="F10" s="1442" t="s">
        <v>2565</v>
      </c>
      <c r="I10" s="1444" t="s">
        <v>3331</v>
      </c>
    </row>
    <row r="11" spans="1:23">
      <c r="A11" s="1440" t="s">
        <v>1029</v>
      </c>
      <c r="B11" s="1440" t="s">
        <v>1030</v>
      </c>
      <c r="C11" s="1441" t="s">
        <v>322</v>
      </c>
      <c r="F11" s="1442" t="s">
        <v>13</v>
      </c>
      <c r="I11" s="1444" t="s">
        <v>3332</v>
      </c>
    </row>
    <row r="12" spans="1:23">
      <c r="A12" s="1440" t="s">
        <v>1031</v>
      </c>
      <c r="B12" s="1440" t="s">
        <v>1032</v>
      </c>
      <c r="C12" s="1441" t="s">
        <v>323</v>
      </c>
      <c r="I12" s="1444" t="s">
        <v>3333</v>
      </c>
    </row>
    <row r="13" spans="1:23">
      <c r="A13" s="1440" t="s">
        <v>1033</v>
      </c>
      <c r="B13" s="1440" t="s">
        <v>1034</v>
      </c>
      <c r="C13" s="1441" t="s">
        <v>324</v>
      </c>
      <c r="I13" s="1444" t="s">
        <v>3334</v>
      </c>
    </row>
    <row r="14" spans="1:23">
      <c r="A14" s="1440" t="s">
        <v>1035</v>
      </c>
      <c r="B14" s="1440" t="s">
        <v>1036</v>
      </c>
      <c r="C14" s="1442" t="s">
        <v>13</v>
      </c>
      <c r="I14" s="1444" t="s">
        <v>3335</v>
      </c>
    </row>
    <row r="15" spans="1:23">
      <c r="A15" s="1440" t="s">
        <v>1037</v>
      </c>
      <c r="B15" s="1440" t="s">
        <v>1038</v>
      </c>
      <c r="C15" s="1441"/>
      <c r="I15" s="1444" t="s">
        <v>3336</v>
      </c>
    </row>
    <row r="16" spans="1:23">
      <c r="A16" s="1440" t="s">
        <v>1039</v>
      </c>
      <c r="B16" s="1440" t="s">
        <v>312</v>
      </c>
      <c r="C16" s="1441"/>
    </row>
    <row r="17" spans="1:3">
      <c r="A17" s="1440" t="s">
        <v>1040</v>
      </c>
      <c r="B17" s="1440" t="s">
        <v>2278</v>
      </c>
      <c r="C17" s="1441"/>
    </row>
    <row r="18" spans="1:3">
      <c r="A18" s="1440" t="s">
        <v>1041</v>
      </c>
      <c r="B18" s="1440" t="s">
        <v>2420</v>
      </c>
      <c r="C18" s="1441"/>
    </row>
    <row r="19" spans="1:3">
      <c r="A19" s="1440" t="s">
        <v>1042</v>
      </c>
      <c r="B19" s="1440" t="s">
        <v>313</v>
      </c>
      <c r="C19" s="1441"/>
    </row>
    <row r="20" spans="1:3">
      <c r="A20" s="1440" t="s">
        <v>1043</v>
      </c>
      <c r="B20" s="1440" t="s">
        <v>313</v>
      </c>
      <c r="C20" s="1441"/>
    </row>
    <row r="21" spans="1:3">
      <c r="A21" s="1440" t="s">
        <v>1044</v>
      </c>
      <c r="B21" s="1440" t="s">
        <v>313</v>
      </c>
      <c r="C21" s="1441"/>
    </row>
    <row r="22" spans="1:3">
      <c r="A22" s="1440" t="s">
        <v>1045</v>
      </c>
      <c r="B22" s="1440" t="s">
        <v>313</v>
      </c>
      <c r="C22" s="1441"/>
    </row>
    <row r="23" spans="1:3">
      <c r="A23" s="1440" t="s">
        <v>1046</v>
      </c>
      <c r="B23" s="1440" t="s">
        <v>313</v>
      </c>
      <c r="C23" s="1441"/>
    </row>
    <row r="24" spans="1:3">
      <c r="A24" s="1440" t="s">
        <v>1047</v>
      </c>
      <c r="B24" s="1440" t="s">
        <v>313</v>
      </c>
      <c r="C24" s="1441"/>
    </row>
    <row r="25" spans="1:3">
      <c r="A25" s="1440" t="s">
        <v>1048</v>
      </c>
      <c r="B25" s="1440" t="s">
        <v>313</v>
      </c>
      <c r="C25" s="1441"/>
    </row>
    <row r="26" spans="1:3">
      <c r="A26" s="1440" t="s">
        <v>1049</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50"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0"/>
      <c r="B54" s="1446" t="s">
        <v>385</v>
      </c>
      <c r="C54" s="1444" t="s">
        <v>583</v>
      </c>
    </row>
    <row r="55" spans="1:4">
      <c r="A55" s="3250"/>
      <c r="B55" s="1446" t="s">
        <v>386</v>
      </c>
      <c r="C55" s="1444" t="s">
        <v>584</v>
      </c>
    </row>
    <row r="56" spans="1:4">
      <c r="A56" s="3250"/>
      <c r="B56" s="1446" t="s">
        <v>387</v>
      </c>
      <c r="C56" s="1444" t="s">
        <v>588</v>
      </c>
    </row>
    <row r="57" spans="1:4">
      <c r="A57" s="3250"/>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R47"/>
  <sheetViews>
    <sheetView topLeftCell="A16" workbookViewId="0">
      <selection activeCell="P26" sqref="P26"/>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2487</v>
      </c>
      <c r="B1" s="2753"/>
      <c r="C1" s="2753"/>
      <c r="D1" s="2753"/>
      <c r="E1" s="2753"/>
      <c r="F1" s="2754"/>
      <c r="I1" s="3131" t="s">
        <v>2580</v>
      </c>
      <c r="J1" s="2779"/>
      <c r="K1" s="2779"/>
      <c r="L1" s="2779"/>
      <c r="M1" s="2779"/>
      <c r="N1" s="2964"/>
      <c r="O1" s="2964"/>
      <c r="P1" s="2964"/>
      <c r="Q1" s="2964"/>
      <c r="R1" s="2964"/>
    </row>
    <row r="2" spans="1:18">
      <c r="A2" s="2756"/>
      <c r="B2" s="2757"/>
      <c r="C2" s="2757"/>
      <c r="D2" s="2757"/>
      <c r="E2" s="2757"/>
      <c r="F2" s="2758"/>
      <c r="I2" s="3251" t="s">
        <v>2567</v>
      </c>
      <c r="J2" s="3251"/>
      <c r="K2" s="3251"/>
      <c r="L2" s="3251"/>
      <c r="M2" s="3251"/>
      <c r="N2" s="3251"/>
      <c r="O2" s="3251"/>
      <c r="P2" s="3251"/>
      <c r="Q2" s="3251"/>
      <c r="R2" s="3251"/>
    </row>
    <row r="3" spans="1:18">
      <c r="A3" s="2759" t="s">
        <v>2488</v>
      </c>
      <c r="B3" s="2760">
        <f>项目基本情况!D3</f>
        <v>45383</v>
      </c>
      <c r="C3" s="2762"/>
      <c r="D3" s="2762"/>
      <c r="E3" s="2762"/>
      <c r="F3" s="2758"/>
      <c r="I3" s="2774"/>
      <c r="J3" s="2774" t="s">
        <v>2571</v>
      </c>
      <c r="K3" s="2774" t="s">
        <v>2572</v>
      </c>
      <c r="L3" s="2774" t="s">
        <v>2573</v>
      </c>
      <c r="M3" s="2774" t="s">
        <v>2574</v>
      </c>
      <c r="N3" s="3132" t="s">
        <v>2575</v>
      </c>
      <c r="O3" s="3132" t="s">
        <v>2576</v>
      </c>
      <c r="P3" s="3132" t="s">
        <v>2577</v>
      </c>
      <c r="Q3" s="3132" t="s">
        <v>2578</v>
      </c>
      <c r="R3" s="3132" t="s">
        <v>2579</v>
      </c>
    </row>
    <row r="4" spans="1:18">
      <c r="A4" s="2759" t="s">
        <v>2489</v>
      </c>
      <c r="B4" s="2762" t="s">
        <v>2490</v>
      </c>
      <c r="C4" s="2762" t="s">
        <v>2491</v>
      </c>
      <c r="D4" s="2762" t="s">
        <v>2492</v>
      </c>
      <c r="E4" s="2762" t="s">
        <v>2493</v>
      </c>
      <c r="F4" s="2758"/>
      <c r="I4" s="2774" t="s">
        <v>2568</v>
      </c>
      <c r="J4" s="2774">
        <v>80</v>
      </c>
      <c r="K4" s="2774">
        <v>70</v>
      </c>
      <c r="L4" s="2774">
        <v>20</v>
      </c>
      <c r="M4" s="2774">
        <v>30</v>
      </c>
      <c r="N4" s="2762">
        <v>45</v>
      </c>
      <c r="O4" s="2762">
        <v>60</v>
      </c>
      <c r="P4" s="2762">
        <v>50</v>
      </c>
      <c r="Q4" s="2762">
        <v>20</v>
      </c>
      <c r="R4" s="2762">
        <v>375</v>
      </c>
    </row>
    <row r="5" spans="1:18">
      <c r="A5" s="2763">
        <v>40</v>
      </c>
      <c r="B5" s="2760">
        <v>46375</v>
      </c>
      <c r="C5" s="2762">
        <f>ROUNDDOWN(MIN((B5-B3)/365,A5),2)</f>
        <v>2.71</v>
      </c>
      <c r="D5" s="2764">
        <f>IF(ISERROR(ROUND(POWER(1+E5,A5-C5)*(POWER(1+E5,C5)-1)/(POWER(1+E5,A5)-1),3)),0,ROUND(POWER(1+E5,A5-C5)*(POWER(1+E5,C5)-1)/(POWER(1+E5,A5)-1),4))</f>
        <v>0.12740000000000001</v>
      </c>
      <c r="E5" s="2765">
        <v>0.04</v>
      </c>
      <c r="F5" s="2758"/>
      <c r="I5" s="2774" t="s">
        <v>2569</v>
      </c>
      <c r="J5" s="2774">
        <v>70</v>
      </c>
      <c r="K5" s="2774">
        <v>60</v>
      </c>
      <c r="L5" s="2774">
        <v>15</v>
      </c>
      <c r="M5" s="2774">
        <v>25</v>
      </c>
      <c r="N5" s="2762">
        <v>40</v>
      </c>
      <c r="O5" s="2762">
        <v>50</v>
      </c>
      <c r="P5" s="2762">
        <v>40</v>
      </c>
      <c r="Q5" s="2762">
        <v>15</v>
      </c>
      <c r="R5" s="2762">
        <v>315</v>
      </c>
    </row>
    <row r="6" spans="1:18">
      <c r="A6" s="2763">
        <v>50</v>
      </c>
      <c r="B6" s="2760">
        <v>50028</v>
      </c>
      <c r="C6" s="2762">
        <f>ROUNDDOWN(MIN((B6-B3)/365,A6),2)</f>
        <v>12.72</v>
      </c>
      <c r="D6" s="2764">
        <f>IF(ISERROR(ROUND(POWER(1+E6,A6-C6)*(POWER(1+E6,C6)-1)/(POWER(1+E6,A6)-1),3)),0,ROUND(POWER(1+E6,A6-C6)*(POWER(1+E6,C6)-1)/(POWER(1+E6,A6)-1),4))</f>
        <v>0.45710000000000001</v>
      </c>
      <c r="E6" s="2765">
        <v>0.04</v>
      </c>
      <c r="F6" s="2758"/>
      <c r="I6" s="2774" t="s">
        <v>2570</v>
      </c>
      <c r="J6" s="2774">
        <v>60</v>
      </c>
      <c r="K6" s="2774">
        <v>50</v>
      </c>
      <c r="L6" s="2774">
        <v>10</v>
      </c>
      <c r="M6" s="2774">
        <v>20</v>
      </c>
      <c r="N6" s="2762">
        <v>35</v>
      </c>
      <c r="O6" s="2762">
        <v>40</v>
      </c>
      <c r="P6" s="2762">
        <v>30</v>
      </c>
      <c r="Q6" s="2762">
        <v>10</v>
      </c>
      <c r="R6" s="2762">
        <v>255</v>
      </c>
    </row>
    <row r="7" spans="1:18">
      <c r="A7" s="2763">
        <v>70</v>
      </c>
      <c r="B7" s="2760">
        <v>57333</v>
      </c>
      <c r="C7" s="2762">
        <f>ROUNDDOWN(MIN((B7-B3)/365,A7),2)</f>
        <v>32.729999999999997</v>
      </c>
      <c r="D7" s="2764">
        <f>IF(ISERROR(ROUND(POWER(1+E7,A7-C7)*(POWER(1+E7,C7)-1)/(POWER(1+E7,A7)-1),3)),0,ROUND(POWER(1+E7,A7-C7)*(POWER(1+E7,C7)-1)/(POWER(1+E7,A7)-1),4))</f>
        <v>0.77259999999999995</v>
      </c>
      <c r="E7" s="2765">
        <v>0.04</v>
      </c>
      <c r="F7" s="2758"/>
    </row>
    <row r="8" spans="1:18">
      <c r="A8" s="2756"/>
      <c r="B8" s="2757"/>
      <c r="C8" s="2757"/>
      <c r="D8" s="2757"/>
      <c r="E8" s="2757"/>
      <c r="F8" s="2758"/>
    </row>
    <row r="9" spans="1:18">
      <c r="A9" s="2759" t="s">
        <v>2494</v>
      </c>
      <c r="B9" s="2762"/>
      <c r="C9" s="2762"/>
      <c r="D9" s="2762"/>
      <c r="E9" s="2762"/>
      <c r="F9" s="2766"/>
    </row>
    <row r="10" spans="1:18">
      <c r="A10" s="2759" t="s">
        <v>2495</v>
      </c>
      <c r="B10" s="2762"/>
      <c r="C10" s="2762"/>
      <c r="D10" s="2762" t="s">
        <v>2493</v>
      </c>
      <c r="E10" s="2762"/>
      <c r="F10" s="2766" t="s">
        <v>2492</v>
      </c>
    </row>
    <row r="11" spans="1:18">
      <c r="A11" s="2759" t="s">
        <v>2496</v>
      </c>
      <c r="B11" s="2767">
        <v>70</v>
      </c>
      <c r="C11" s="2762" t="s">
        <v>2497</v>
      </c>
      <c r="D11" s="2767">
        <v>4.4999999999999998E-2</v>
      </c>
      <c r="E11" s="2762" t="s">
        <v>2498</v>
      </c>
      <c r="F11" s="2768">
        <f>ROUND(1-(1/(POWER(1+D11,B11))),4)</f>
        <v>0.95409999999999995</v>
      </c>
    </row>
    <row r="12" spans="1:18">
      <c r="A12" s="2759" t="s">
        <v>2499</v>
      </c>
      <c r="B12" s="2767">
        <v>40</v>
      </c>
      <c r="C12" s="2762" t="s">
        <v>2500</v>
      </c>
      <c r="D12" s="2767">
        <v>4.4999999999999998E-2</v>
      </c>
      <c r="E12" s="2762" t="s">
        <v>2501</v>
      </c>
      <c r="F12" s="2768">
        <f>ROUND(1-(1/(POWER(1+D12,B12))),4)</f>
        <v>0.82809999999999995</v>
      </c>
    </row>
    <row r="13" spans="1:18">
      <c r="A13" s="2759" t="s">
        <v>2502</v>
      </c>
      <c r="B13" s="2762"/>
      <c r="C13" s="2762"/>
      <c r="D13" s="2757"/>
      <c r="E13" s="2757"/>
      <c r="F13" s="2758"/>
    </row>
    <row r="14" spans="1:18">
      <c r="A14" s="2759" t="s">
        <v>2503</v>
      </c>
      <c r="B14" s="2767">
        <v>5000</v>
      </c>
      <c r="C14" s="2761"/>
      <c r="D14" s="2757"/>
      <c r="E14" s="2757"/>
      <c r="F14" s="2758"/>
    </row>
    <row r="15" spans="1:18">
      <c r="A15" s="2759" t="s">
        <v>2504</v>
      </c>
      <c r="B15" s="2762">
        <f>ROUND(B14*F12/F11,2)</f>
        <v>4339.6899999999996</v>
      </c>
      <c r="C15" s="2762">
        <f>ROUND(F12/F11,4)</f>
        <v>0.8679</v>
      </c>
      <c r="D15" s="2757"/>
      <c r="E15" s="2757"/>
      <c r="F15" s="2758"/>
    </row>
    <row r="16" spans="1:18">
      <c r="A16" s="2759" t="s">
        <v>2505</v>
      </c>
      <c r="B16" s="2762"/>
      <c r="C16" s="2762"/>
      <c r="D16" s="2757"/>
      <c r="E16" s="2757"/>
      <c r="F16" s="2758"/>
    </row>
    <row r="17" spans="1:13">
      <c r="A17" s="2759" t="s">
        <v>2504</v>
      </c>
      <c r="B17" s="2767">
        <v>4810</v>
      </c>
      <c r="C17" s="2761"/>
      <c r="D17" s="2757"/>
      <c r="E17" s="2757"/>
      <c r="F17" s="2758"/>
    </row>
    <row r="18" spans="1:13" ht="14.25" thickBot="1">
      <c r="A18" s="2769" t="s">
        <v>2503</v>
      </c>
      <c r="B18" s="2770">
        <f>ROUND(B17*F11/F12,2)</f>
        <v>5541.87</v>
      </c>
      <c r="C18" s="2770">
        <f>ROUND(F11/F12,4)</f>
        <v>1.1521999999999999</v>
      </c>
      <c r="D18" s="2771"/>
      <c r="E18" s="2771"/>
      <c r="F18" s="2772"/>
    </row>
    <row r="19" spans="1:13" ht="14.25" thickBot="1"/>
    <row r="20" spans="1:13" s="2805" customFormat="1" ht="14.25" thickTop="1">
      <c r="A20" s="2802" t="s">
        <v>2506</v>
      </c>
      <c r="B20" s="2803"/>
      <c r="C20" s="2803"/>
      <c r="D20" s="2803"/>
      <c r="E20" s="2803"/>
      <c r="F20" s="2803"/>
      <c r="G20" s="2804"/>
      <c r="I20" s="2806" t="s">
        <v>2551</v>
      </c>
      <c r="J20" s="2806" t="s">
        <v>2556</v>
      </c>
      <c r="K20" s="2806"/>
      <c r="L20" s="2806"/>
      <c r="M20" s="2806"/>
    </row>
    <row r="21" spans="1:13">
      <c r="A21" s="2773"/>
      <c r="B21" s="2774" t="s">
        <v>2507</v>
      </c>
      <c r="C21" s="2774" t="s">
        <v>2508</v>
      </c>
      <c r="D21" s="2774" t="s">
        <v>2509</v>
      </c>
      <c r="E21" s="2774" t="s">
        <v>2510</v>
      </c>
      <c r="F21" s="2774" t="s">
        <v>2511</v>
      </c>
      <c r="G21" s="2775" t="s">
        <v>2512</v>
      </c>
      <c r="I21" s="2796">
        <v>5</v>
      </c>
      <c r="J21" s="2796">
        <v>54.2</v>
      </c>
    </row>
    <row r="22" spans="1:13">
      <c r="A22" s="2773" t="s">
        <v>2513</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2514</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2554</v>
      </c>
      <c r="M23" s="2796" t="s">
        <v>2555</v>
      </c>
    </row>
    <row r="24" spans="1:13">
      <c r="A24" s="2773" t="s">
        <v>2515</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2553</v>
      </c>
      <c r="M24" s="2796">
        <v>10</v>
      </c>
    </row>
    <row r="25" spans="1:13">
      <c r="A25" s="2773" t="s">
        <v>2516</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2557</v>
      </c>
      <c r="M25" s="2796">
        <v>8</v>
      </c>
    </row>
    <row r="26" spans="1:13">
      <c r="A26" s="2778"/>
      <c r="B26" s="2779"/>
      <c r="C26" s="2779"/>
      <c r="D26" s="2779"/>
      <c r="E26" s="2779"/>
      <c r="F26" s="2779"/>
      <c r="G26" s="2780"/>
      <c r="I26" s="2796">
        <v>30</v>
      </c>
      <c r="J26" s="2796">
        <v>90.5</v>
      </c>
      <c r="K26" s="2796">
        <f t="shared" si="2"/>
        <v>4.2000000000000028</v>
      </c>
      <c r="L26" s="2796" t="s">
        <v>2558</v>
      </c>
      <c r="M26" s="2796">
        <v>5</v>
      </c>
    </row>
    <row r="27" spans="1:13">
      <c r="A27" s="2778" t="s">
        <v>2517</v>
      </c>
      <c r="B27" s="2779"/>
      <c r="C27" s="2779"/>
      <c r="D27" s="2779"/>
      <c r="E27" s="2779"/>
      <c r="F27" s="2779"/>
      <c r="G27" s="2780"/>
      <c r="I27" s="2796">
        <v>35</v>
      </c>
      <c r="J27" s="2796">
        <v>93.8</v>
      </c>
      <c r="K27" s="2796">
        <f t="shared" si="2"/>
        <v>3.2999999999999972</v>
      </c>
      <c r="L27" s="2796" t="s">
        <v>2559</v>
      </c>
      <c r="M27" s="2796">
        <v>3</v>
      </c>
    </row>
    <row r="28" spans="1:13">
      <c r="A28" s="2778" t="s">
        <v>2518</v>
      </c>
      <c r="B28" s="2779"/>
      <c r="C28" s="2779"/>
      <c r="D28" s="2779"/>
      <c r="E28" s="2779"/>
      <c r="F28" s="2779"/>
      <c r="G28" s="2780"/>
      <c r="I28" s="2796">
        <v>40</v>
      </c>
      <c r="J28" s="2796">
        <v>96.4</v>
      </c>
      <c r="K28" s="2796">
        <f t="shared" si="2"/>
        <v>2.6000000000000085</v>
      </c>
      <c r="L28" s="2796" t="s">
        <v>2560</v>
      </c>
      <c r="M28" s="2796">
        <v>2</v>
      </c>
    </row>
    <row r="29" spans="1:13">
      <c r="A29" s="2778" t="s">
        <v>2519</v>
      </c>
      <c r="B29" s="2779"/>
      <c r="C29" s="2779"/>
      <c r="D29" s="2779"/>
      <c r="E29" s="2779"/>
      <c r="F29" s="2779"/>
      <c r="G29" s="2780"/>
      <c r="I29" s="2796">
        <v>45</v>
      </c>
      <c r="J29" s="2796">
        <v>98.4</v>
      </c>
      <c r="K29" s="2796">
        <f t="shared" si="2"/>
        <v>2</v>
      </c>
    </row>
    <row r="30" spans="1:13">
      <c r="A30" s="2778" t="s">
        <v>2520</v>
      </c>
      <c r="B30" s="2779"/>
      <c r="C30" s="2779"/>
      <c r="D30" s="2779"/>
      <c r="E30" s="2779"/>
      <c r="F30" s="2779"/>
      <c r="G30" s="2780"/>
      <c r="I30" s="2796">
        <v>50</v>
      </c>
      <c r="J30" s="2796">
        <v>100</v>
      </c>
      <c r="K30" s="2796">
        <f t="shared" si="2"/>
        <v>1.5999999999999943</v>
      </c>
    </row>
    <row r="31" spans="1:13">
      <c r="A31" s="2778" t="s">
        <v>2521</v>
      </c>
      <c r="B31" s="2779"/>
      <c r="C31" s="2779"/>
      <c r="D31" s="2779"/>
      <c r="E31" s="2779"/>
      <c r="F31" s="2779"/>
      <c r="G31" s="2780"/>
      <c r="I31" s="2796" t="s">
        <v>2552</v>
      </c>
    </row>
    <row r="32" spans="1:13">
      <c r="A32" s="2778" t="s">
        <v>2522</v>
      </c>
      <c r="B32" s="2779"/>
      <c r="C32" s="2779"/>
      <c r="D32" s="2779"/>
      <c r="E32" s="2779"/>
      <c r="F32" s="2779"/>
      <c r="G32" s="2780"/>
    </row>
    <row r="33" spans="1:13">
      <c r="A33" s="2778" t="s">
        <v>2523</v>
      </c>
      <c r="B33" s="2779"/>
      <c r="C33" s="2779"/>
      <c r="D33" s="2779"/>
      <c r="E33" s="2779"/>
      <c r="F33" s="2779"/>
      <c r="G33" s="2780"/>
      <c r="I33" s="2796" t="s">
        <v>2551</v>
      </c>
      <c r="J33" s="2796" t="s">
        <v>2561</v>
      </c>
    </row>
    <row r="34" spans="1:13">
      <c r="A34" s="2778" t="s">
        <v>2524</v>
      </c>
      <c r="B34" s="2779"/>
      <c r="C34" s="2779"/>
      <c r="D34" s="2779"/>
      <c r="E34" s="2779"/>
      <c r="F34" s="2779"/>
      <c r="G34" s="2780"/>
      <c r="I34" s="2796">
        <v>5</v>
      </c>
      <c r="J34" s="2796">
        <v>55.1</v>
      </c>
    </row>
    <row r="35" spans="1:13">
      <c r="A35" s="2778" t="s">
        <v>2525</v>
      </c>
      <c r="B35" s="2779"/>
      <c r="C35" s="2779"/>
      <c r="D35" s="2779"/>
      <c r="E35" s="2779"/>
      <c r="F35" s="2779"/>
      <c r="G35" s="2780"/>
      <c r="I35" s="2796">
        <v>10</v>
      </c>
      <c r="J35" s="2796">
        <v>67</v>
      </c>
      <c r="K35" s="2796">
        <f>J35-J34</f>
        <v>11.899999999999999</v>
      </c>
    </row>
    <row r="36" spans="1:13">
      <c r="A36" s="2778" t="s">
        <v>2526</v>
      </c>
      <c r="B36" s="2779"/>
      <c r="C36" s="2779"/>
      <c r="D36" s="2779"/>
      <c r="E36" s="2779"/>
      <c r="F36" s="2779"/>
      <c r="G36" s="2780"/>
      <c r="I36" s="2796">
        <v>15</v>
      </c>
      <c r="J36" s="2796">
        <v>76.3</v>
      </c>
      <c r="K36" s="2796">
        <f t="shared" ref="K36:K41" si="3">J36-J35</f>
        <v>9.2999999999999972</v>
      </c>
      <c r="L36" s="2796" t="s">
        <v>2554</v>
      </c>
      <c r="M36" s="2796" t="s">
        <v>2555</v>
      </c>
    </row>
    <row r="37" spans="1:13">
      <c r="A37" s="2778" t="s">
        <v>2527</v>
      </c>
      <c r="B37" s="2779"/>
      <c r="C37" s="2779"/>
      <c r="D37" s="2779"/>
      <c r="E37" s="2779"/>
      <c r="F37" s="2779"/>
      <c r="G37" s="2780"/>
      <c r="I37" s="2796">
        <v>20</v>
      </c>
      <c r="J37" s="2796">
        <v>83.6</v>
      </c>
      <c r="K37" s="2796">
        <f t="shared" si="3"/>
        <v>7.2999999999999972</v>
      </c>
      <c r="L37" s="2796" t="s">
        <v>2553</v>
      </c>
      <c r="M37" s="2796">
        <v>10</v>
      </c>
    </row>
    <row r="38" spans="1:13">
      <c r="A38" s="2778" t="s">
        <v>2528</v>
      </c>
      <c r="B38" s="2779"/>
      <c r="C38" s="2779"/>
      <c r="D38" s="2779"/>
      <c r="E38" s="2779"/>
      <c r="F38" s="2779"/>
      <c r="G38" s="2780"/>
      <c r="I38" s="2796">
        <v>25</v>
      </c>
      <c r="J38" s="2796">
        <v>89.3</v>
      </c>
      <c r="K38" s="2796">
        <f t="shared" si="3"/>
        <v>5.7000000000000028</v>
      </c>
      <c r="L38" s="2796" t="s">
        <v>2557</v>
      </c>
      <c r="M38" s="2796">
        <v>8</v>
      </c>
    </row>
    <row r="39" spans="1:13">
      <c r="A39" s="2778"/>
      <c r="B39" s="2779"/>
      <c r="C39" s="2779"/>
      <c r="D39" s="2779"/>
      <c r="E39" s="2779"/>
      <c r="F39" s="2779"/>
      <c r="G39" s="2780"/>
      <c r="I39" s="2796">
        <v>30</v>
      </c>
      <c r="J39" s="2796">
        <v>93.8</v>
      </c>
      <c r="K39" s="2796">
        <f t="shared" si="3"/>
        <v>4.5</v>
      </c>
      <c r="L39" s="2796" t="s">
        <v>2558</v>
      </c>
      <c r="M39" s="2796">
        <v>6</v>
      </c>
    </row>
    <row r="40" spans="1:13">
      <c r="A40" s="2781" t="s">
        <v>2529</v>
      </c>
      <c r="B40" s="2782"/>
      <c r="C40" s="2782"/>
      <c r="D40" s="2782"/>
      <c r="E40" s="2782"/>
      <c r="F40" s="2782"/>
      <c r="G40" s="2783"/>
      <c r="I40" s="2796">
        <v>35</v>
      </c>
      <c r="J40" s="2796">
        <v>97.2</v>
      </c>
      <c r="K40" s="2796">
        <f t="shared" si="3"/>
        <v>3.4000000000000057</v>
      </c>
      <c r="L40" s="2796" t="s">
        <v>2559</v>
      </c>
      <c r="M40" s="2796">
        <v>3</v>
      </c>
    </row>
    <row r="41" spans="1:13">
      <c r="A41" s="2784" t="s">
        <v>2530</v>
      </c>
      <c r="B41" s="2785" t="s">
        <v>2531</v>
      </c>
      <c r="C41" s="2786" t="s">
        <v>2532</v>
      </c>
      <c r="D41" s="2786" t="s">
        <v>2533</v>
      </c>
      <c r="E41" s="2787"/>
      <c r="F41" s="2788"/>
      <c r="G41" s="2789"/>
      <c r="I41" s="2796">
        <v>40</v>
      </c>
      <c r="J41" s="2796">
        <v>100</v>
      </c>
      <c r="K41" s="2796">
        <f t="shared" si="3"/>
        <v>2.7999999999999972</v>
      </c>
    </row>
    <row r="42" spans="1:13">
      <c r="A42" s="2784" t="s">
        <v>2534</v>
      </c>
      <c r="B42" s="2785" t="s">
        <v>2535</v>
      </c>
      <c r="C42" s="2786" t="s">
        <v>2536</v>
      </c>
      <c r="D42" s="2790" t="s">
        <v>2537</v>
      </c>
      <c r="E42" s="2782" t="s">
        <v>2538</v>
      </c>
      <c r="F42" s="2782"/>
      <c r="G42" s="2783"/>
    </row>
    <row r="43" spans="1:13">
      <c r="A43" s="2784" t="s">
        <v>2539</v>
      </c>
      <c r="B43" s="2785" t="s">
        <v>2540</v>
      </c>
      <c r="C43" s="2786" t="s">
        <v>2541</v>
      </c>
      <c r="D43" s="2786" t="s">
        <v>2542</v>
      </c>
      <c r="E43" s="2787" t="s">
        <v>2543</v>
      </c>
      <c r="F43" s="2788"/>
      <c r="G43" s="2789"/>
      <c r="I43" s="2796" t="s">
        <v>2551</v>
      </c>
      <c r="J43" s="2796" t="s">
        <v>2562</v>
      </c>
    </row>
    <row r="44" spans="1:13">
      <c r="A44" s="2784" t="s">
        <v>2544</v>
      </c>
      <c r="B44" s="2785" t="s">
        <v>2545</v>
      </c>
      <c r="C44" s="2786" t="s">
        <v>2546</v>
      </c>
      <c r="D44" s="2790">
        <v>0.5</v>
      </c>
      <c r="E44" s="2787" t="s">
        <v>2547</v>
      </c>
      <c r="F44" s="2788"/>
      <c r="G44" s="2789"/>
      <c r="I44" s="2796">
        <v>30</v>
      </c>
      <c r="J44" s="2796">
        <v>81.7</v>
      </c>
    </row>
    <row r="45" spans="1:13" ht="14.25" thickBot="1">
      <c r="A45" s="2791" t="s">
        <v>2548</v>
      </c>
      <c r="B45" s="2792" t="s">
        <v>2535</v>
      </c>
      <c r="C45" s="2793" t="s">
        <v>2535</v>
      </c>
      <c r="D45" s="2793" t="s">
        <v>2549</v>
      </c>
      <c r="E45" s="2794" t="s">
        <v>2550</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zoomScaleNormal="100" zoomScaleSheetLayoutView="100" workbookViewId="0">
      <selection activeCell="K15" sqref="K15"/>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09" customWidth="1"/>
    <col min="12" max="13" width="10" style="2410"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8" t="s">
        <v>2162</v>
      </c>
      <c r="B1" s="3259" t="str">
        <f>IF(B10="北京市","北京市",C10)&amp;F10&amp;IF(结果表!G1="在建","出让国有建设用地使用权及在建建筑物",IF(结果表!G1="土地","出让国有建设用地使用权",))&amp;B9&amp;"预评估"</f>
        <v>北京市房地产抵押价值预评估</v>
      </c>
      <c r="C1" s="3260"/>
      <c r="D1" s="3260"/>
      <c r="E1" s="3260"/>
      <c r="F1" s="3260"/>
      <c r="G1" s="3260"/>
      <c r="H1" s="3260"/>
      <c r="I1" s="3261"/>
      <c r="J1" s="2242"/>
      <c r="K1" s="2180"/>
      <c r="L1" s="2181"/>
      <c r="M1" s="2181"/>
      <c r="N1" s="2179"/>
      <c r="O1" s="1465"/>
      <c r="P1" s="2179"/>
      <c r="Q1" s="2179"/>
      <c r="R1" s="2179"/>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79" t="s">
        <v>2163</v>
      </c>
      <c r="B2" s="122"/>
      <c r="D2" s="2444"/>
      <c r="E2" s="2437"/>
      <c r="F2" s="2437"/>
      <c r="G2" s="2438"/>
      <c r="H2" s="2438"/>
      <c r="I2" s="2438"/>
      <c r="J2" s="2242"/>
      <c r="K2" s="2180"/>
      <c r="L2" s="2181"/>
      <c r="M2" s="2181"/>
      <c r="N2" s="2179"/>
      <c r="O2" s="1465"/>
      <c r="P2" s="2179"/>
      <c r="Q2" s="2179"/>
      <c r="R2" s="2179"/>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2164</v>
      </c>
      <c r="B3" s="2182">
        <v>45383</v>
      </c>
      <c r="C3" s="2183" t="s">
        <v>2165</v>
      </c>
      <c r="D3" s="2182">
        <f>B3</f>
        <v>45383</v>
      </c>
      <c r="E3" s="2438"/>
      <c r="F3" s="2438"/>
      <c r="G3" s="2438"/>
      <c r="H3" s="2438"/>
      <c r="I3" s="2438"/>
      <c r="J3" s="2242"/>
      <c r="K3" s="2180"/>
      <c r="L3" s="2181"/>
      <c r="M3" s="2181"/>
      <c r="N3" s="2179"/>
      <c r="O3" s="1465"/>
      <c r="P3" s="2179"/>
      <c r="Q3" s="2179"/>
      <c r="R3" s="2179"/>
      <c r="S3" s="1560"/>
      <c r="T3" s="1617"/>
      <c r="U3" s="1617"/>
      <c r="V3" s="1617"/>
      <c r="W3" s="1617"/>
      <c r="X3" s="1617"/>
      <c r="Y3" s="1617"/>
      <c r="Z3" s="1617"/>
      <c r="AA3" s="1617"/>
      <c r="AB3" s="1617"/>
    </row>
    <row r="4" spans="1:30" ht="13.5" thickBot="1">
      <c r="A4" s="1027" t="s">
        <v>2166</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CONCATENATE(B4,"（注册号：",C4,")、",D4,"（注册号：",E4,")")</f>
        <v>（注册号：0)、（注册号：0)</v>
      </c>
      <c r="L4" s="2181"/>
      <c r="M4" s="2181"/>
      <c r="N4" s="2179"/>
      <c r="O4" s="1465"/>
      <c r="P4" s="2179"/>
      <c r="Q4" s="2179"/>
      <c r="R4" s="2179"/>
      <c r="S4" s="1560"/>
      <c r="T4" s="1617"/>
      <c r="U4" s="1617"/>
      <c r="V4" s="1617"/>
      <c r="W4" s="1617"/>
      <c r="X4" s="1617"/>
      <c r="Y4" s="1617"/>
      <c r="Z4" s="1617"/>
      <c r="AA4" s="1617"/>
      <c r="AB4" s="1617"/>
    </row>
    <row r="5" spans="1:30" ht="13.5" thickTop="1">
      <c r="A5" s="2187" t="s">
        <v>2167</v>
      </c>
      <c r="B5" s="2188"/>
      <c r="C5" s="2189"/>
      <c r="D5" s="2190"/>
      <c r="E5" s="2438"/>
      <c r="F5" s="2438"/>
      <c r="G5" s="2438"/>
      <c r="H5" s="2438"/>
      <c r="I5" s="2438"/>
      <c r="J5" s="2242"/>
      <c r="K5" s="2186" t="str">
        <f>IF(F4="——","",IF(H4="——",F4&amp;"（注册号："&amp;G4&amp;")",CONCATENATE(F4,"（注册号：",G4,")、",H4,"（注册号：",I4,")")))</f>
        <v>（注册号：0)、（注册号：0)</v>
      </c>
      <c r="L5" s="2181"/>
      <c r="M5" s="2181"/>
      <c r="N5" s="2179"/>
      <c r="O5" s="1465"/>
      <c r="P5" s="2179"/>
      <c r="Q5" s="2179"/>
      <c r="R5" s="2179"/>
      <c r="S5" s="1617"/>
      <c r="T5" s="1617"/>
      <c r="U5" s="1617"/>
      <c r="V5" s="1617"/>
      <c r="W5" s="1617"/>
      <c r="X5" s="1617"/>
      <c r="Y5" s="1617"/>
      <c r="Z5" s="1617"/>
      <c r="AA5" s="1617"/>
      <c r="AB5" s="1617"/>
    </row>
    <row r="6" spans="1:30">
      <c r="A6" s="2191" t="s">
        <v>2168</v>
      </c>
      <c r="B6" s="2192"/>
      <c r="C6" s="2193"/>
      <c r="D6" s="2194"/>
      <c r="E6" s="2437"/>
      <c r="F6" s="2438"/>
      <c r="G6" s="2438"/>
      <c r="H6" s="2438"/>
      <c r="I6" s="2438"/>
      <c r="J6" s="2242"/>
      <c r="K6" s="2397" t="str">
        <f>IF(COUNTIF(B6,"*上海银行*"),"上海银行","")</f>
        <v/>
      </c>
      <c r="L6" s="2395"/>
      <c r="M6" s="2395"/>
      <c r="N6" s="2242"/>
      <c r="O6" s="1669"/>
      <c r="P6" s="2242"/>
      <c r="Q6" s="2242"/>
      <c r="R6" s="2242"/>
    </row>
    <row r="7" spans="1:30">
      <c r="A7" s="2191" t="s">
        <v>2169</v>
      </c>
      <c r="B7" s="2195"/>
      <c r="C7" s="2193"/>
      <c r="D7" s="2194"/>
      <c r="E7" s="2437"/>
      <c r="F7" s="2438"/>
      <c r="G7" s="2438"/>
      <c r="H7" s="2438"/>
      <c r="I7" s="2438"/>
      <c r="J7" s="2242"/>
      <c r="K7" s="2398"/>
      <c r="L7" s="2395"/>
      <c r="M7" s="2395"/>
      <c r="N7" s="2242"/>
      <c r="O7" s="1669"/>
      <c r="P7" s="2242"/>
      <c r="Q7" s="2242"/>
      <c r="R7" s="2242"/>
    </row>
    <row r="8" spans="1:30">
      <c r="A8" s="2196" t="s">
        <v>2170</v>
      </c>
      <c r="B8" s="2197" t="s">
        <v>3374</v>
      </c>
      <c r="C8" s="2198"/>
      <c r="D8" s="3262" t="s">
        <v>2171</v>
      </c>
      <c r="E8" s="2199" t="s">
        <v>3375</v>
      </c>
      <c r="F8" s="2200"/>
      <c r="G8" s="2438"/>
      <c r="H8" s="2438"/>
      <c r="I8" s="2438"/>
      <c r="J8" s="2242"/>
      <c r="K8" s="2396"/>
      <c r="L8" s="2395"/>
      <c r="M8" s="2395"/>
      <c r="N8" s="2242"/>
      <c r="O8" s="1669"/>
      <c r="P8" s="2242"/>
      <c r="Q8" s="2242"/>
      <c r="R8" s="2242"/>
    </row>
    <row r="9" spans="1:30" ht="13.5" thickBot="1">
      <c r="A9" s="2201" t="s">
        <v>2172</v>
      </c>
      <c r="B9" s="2202" t="s">
        <v>3375</v>
      </c>
      <c r="C9" s="2203"/>
      <c r="D9" s="3263"/>
      <c r="E9" s="2202" t="s">
        <v>43</v>
      </c>
      <c r="F9" s="2204"/>
      <c r="G9" s="2439"/>
      <c r="H9" s="2439"/>
      <c r="I9" s="2439"/>
      <c r="J9" s="2242"/>
      <c r="K9" s="2398"/>
      <c r="L9" s="2395"/>
      <c r="M9" s="2395"/>
      <c r="N9" s="2242"/>
      <c r="O9" s="1669"/>
      <c r="P9" s="2242"/>
      <c r="Q9" s="2242"/>
      <c r="R9" s="2242"/>
    </row>
    <row r="10" spans="1:30" ht="13.5" thickTop="1">
      <c r="A10" s="2205" t="s">
        <v>2173</v>
      </c>
      <c r="B10" s="2206" t="s">
        <v>3874</v>
      </c>
      <c r="C10" s="2207"/>
      <c r="D10" s="2190"/>
      <c r="E10" s="2208" t="s">
        <v>2174</v>
      </c>
      <c r="F10" s="2440"/>
      <c r="G10" s="2441"/>
      <c r="H10" s="2442"/>
      <c r="I10" s="2443"/>
      <c r="J10" s="2242"/>
      <c r="K10" s="2398"/>
      <c r="L10" s="2395"/>
      <c r="M10" s="2395"/>
      <c r="N10" s="2242"/>
      <c r="O10" s="1669"/>
      <c r="P10" s="2242"/>
      <c r="Q10" s="2242"/>
      <c r="R10" s="2242"/>
    </row>
    <row r="11" spans="1:30">
      <c r="A11" s="2209" t="s">
        <v>2175</v>
      </c>
      <c r="B11" s="2210" t="s">
        <v>3873</v>
      </c>
      <c r="C11" s="2211"/>
      <c r="D11" s="2212"/>
      <c r="E11" s="2179"/>
      <c r="F11" s="2179"/>
      <c r="G11" s="2179"/>
      <c r="H11" s="2179"/>
      <c r="I11" s="2179"/>
      <c r="J11" s="2798"/>
      <c r="K11" s="2395"/>
      <c r="L11" s="2395"/>
      <c r="M11" s="2395"/>
      <c r="N11" s="2242"/>
      <c r="O11" s="1669"/>
      <c r="P11" s="2242"/>
      <c r="Q11" s="2242"/>
      <c r="R11" s="2242"/>
    </row>
    <row r="12" spans="1:30">
      <c r="A12" s="2213" t="s">
        <v>2176</v>
      </c>
      <c r="B12" s="315" t="s">
        <v>2177</v>
      </c>
      <c r="C12" s="2214" t="s">
        <v>2178</v>
      </c>
      <c r="D12" s="2214" t="s">
        <v>2179</v>
      </c>
      <c r="E12" s="2214" t="s">
        <v>2180</v>
      </c>
      <c r="F12" s="2214" t="s">
        <v>2181</v>
      </c>
      <c r="G12" s="2214" t="s">
        <v>2182</v>
      </c>
      <c r="H12" s="2214" t="s">
        <v>2183</v>
      </c>
      <c r="I12" s="2797" t="s">
        <v>2563</v>
      </c>
      <c r="J12" s="2799"/>
      <c r="K12" s="2395"/>
      <c r="L12" s="2395"/>
      <c r="M12" s="2242"/>
      <c r="N12" s="1669"/>
      <c r="O12" s="2242"/>
      <c r="P12" s="2242"/>
      <c r="Q12" s="2242"/>
      <c r="AD12" s="1617"/>
    </row>
    <row r="13" spans="1:30">
      <c r="A13" s="3118" t="s">
        <v>3318</v>
      </c>
      <c r="B13" s="2215" t="s">
        <v>2184</v>
      </c>
      <c r="C13" s="803"/>
      <c r="D13" s="803"/>
      <c r="E13" s="803">
        <v>58567</v>
      </c>
      <c r="F13" s="803">
        <v>58567</v>
      </c>
      <c r="G13" s="803">
        <v>58567</v>
      </c>
      <c r="H13" s="803"/>
      <c r="I13" s="803"/>
      <c r="J13" s="2799"/>
      <c r="K13" s="2395"/>
      <c r="L13" s="2395"/>
      <c r="M13" s="2242"/>
      <c r="N13" s="1669"/>
      <c r="O13" s="2242"/>
      <c r="P13" s="2242"/>
      <c r="Q13" s="2242"/>
      <c r="AD13" s="1617"/>
    </row>
    <row r="14" spans="1:30">
      <c r="A14" s="1018"/>
      <c r="B14" s="2215" t="s">
        <v>2185</v>
      </c>
      <c r="C14" s="2216"/>
      <c r="D14" s="2216"/>
      <c r="E14" s="2216">
        <v>50</v>
      </c>
      <c r="F14" s="2216">
        <v>50</v>
      </c>
      <c r="G14" s="2216">
        <v>50</v>
      </c>
      <c r="H14" s="2216"/>
      <c r="I14" s="2216"/>
      <c r="J14" s="2800"/>
      <c r="K14" s="2395"/>
      <c r="L14" s="2395"/>
      <c r="M14" s="2242"/>
      <c r="N14" s="1669"/>
      <c r="O14" s="2242"/>
      <c r="P14" s="2242"/>
      <c r="Q14" s="2242"/>
      <c r="AD14" s="1617"/>
    </row>
    <row r="15" spans="1:30">
      <c r="A15" s="312"/>
      <c r="B15" s="2217" t="s">
        <v>2186</v>
      </c>
      <c r="C15" s="2218" t="str">
        <f>IF(A13="出让",IF(C13="","",ROUNDDOWN(MIN((C13-$D$3)/365,C14),2)),C14)</f>
        <v/>
      </c>
      <c r="D15" s="2218" t="str">
        <f>IF(A13="出让",IF(D13="","",ROUNDDOWN(MIN((D13-$D$3)/365,D14),2)),D14)</f>
        <v/>
      </c>
      <c r="E15" s="2218">
        <f>IF(A13="出让",IF(E13="","",ROUNDDOWN(MIN((E13-$D$3)/365,E14),2)),E14)</f>
        <v>36.119999999999997</v>
      </c>
      <c r="F15" s="2218">
        <f>IF(A13="出让",IF(F13="","",ROUNDDOWN(MIN((F13-$D$3)/365,F14),2)),F14)</f>
        <v>36.119999999999997</v>
      </c>
      <c r="G15" s="2218">
        <f>IF(A13="出让",IF(G13="","",ROUNDDOWN(MIN((G13-$D$3)/365,G14),2)),G14)</f>
        <v>36.119999999999997</v>
      </c>
      <c r="H15" s="2218" t="str">
        <f>IF(A13="出让",IF(H13="","",ROUNDDOWN(MIN((H13-$D$3)/365,H14),2)),H14)</f>
        <v/>
      </c>
      <c r="I15" s="2218" t="str">
        <f>IF(A13="出让",IF(I13="","",ROUNDDOWN(MIN((I13-$D$3)/365,I14),2)),I14)</f>
        <v/>
      </c>
      <c r="J15" s="2801"/>
      <c r="K15" s="1669"/>
      <c r="L15" s="1669"/>
      <c r="M15" s="2242"/>
      <c r="N15" s="1669"/>
      <c r="O15" s="2242"/>
      <c r="P15" s="2242"/>
      <c r="Q15" s="2242"/>
      <c r="AD15" s="1617"/>
    </row>
    <row r="16" spans="1:30">
      <c r="A16" s="2208" t="s">
        <v>2187</v>
      </c>
      <c r="B16" s="3269"/>
      <c r="C16" s="3270"/>
      <c r="D16" s="3271"/>
      <c r="E16" s="2219" t="s">
        <v>2188</v>
      </c>
      <c r="F16" s="3272"/>
      <c r="G16" s="3273"/>
      <c r="H16" s="3273"/>
      <c r="I16" s="3274"/>
      <c r="J16" s="2242"/>
      <c r="K16" s="2399"/>
      <c r="L16" s="1669"/>
      <c r="M16" s="1669"/>
      <c r="N16" s="2242"/>
      <c r="O16" s="1669"/>
      <c r="P16" s="2242"/>
      <c r="Q16" s="2242"/>
      <c r="R16" s="2242"/>
    </row>
    <row r="17" spans="1:28">
      <c r="A17" s="305" t="s">
        <v>2189</v>
      </c>
      <c r="B17" s="294" t="s">
        <v>2190</v>
      </c>
      <c r="C17" s="8">
        <f>'数据-汇总表'!E3</f>
        <v>1232.79</v>
      </c>
      <c r="D17" s="1255" t="s">
        <v>2191</v>
      </c>
      <c r="E17" s="3275" t="s">
        <v>2192</v>
      </c>
      <c r="F17" s="3276"/>
      <c r="G17" s="3276"/>
      <c r="H17" s="3276"/>
      <c r="I17" s="3277"/>
      <c r="J17" s="2242"/>
      <c r="K17" s="2400"/>
      <c r="L17" s="1669"/>
      <c r="M17" s="1669"/>
      <c r="N17" s="2242"/>
      <c r="O17" s="1669"/>
      <c r="P17" s="2242"/>
      <c r="Q17" s="2242"/>
      <c r="R17" s="2242"/>
      <c r="S17" s="2242"/>
      <c r="T17" s="2242"/>
      <c r="U17" s="2242"/>
      <c r="V17" s="2242"/>
    </row>
    <row r="18" spans="1:28" ht="24.75" thickBot="1">
      <c r="A18" s="2220" t="s">
        <v>2193</v>
      </c>
      <c r="B18" s="1027" t="s">
        <v>2194</v>
      </c>
      <c r="C18" s="2221">
        <f>'数据-汇总表'!D3</f>
        <v>891.05</v>
      </c>
      <c r="D18" s="1029" t="s">
        <v>2195</v>
      </c>
      <c r="E18" s="3278" t="s">
        <v>2196</v>
      </c>
      <c r="F18" s="3279"/>
      <c r="G18" s="3279"/>
      <c r="H18" s="3279"/>
      <c r="I18" s="3280"/>
      <c r="J18" s="2242"/>
      <c r="K18" s="2400"/>
      <c r="L18" s="1669"/>
      <c r="M18" s="1669"/>
      <c r="N18" s="2242"/>
      <c r="O18" s="1669"/>
      <c r="P18" s="2242"/>
      <c r="Q18" s="2242"/>
      <c r="R18" s="2242"/>
      <c r="S18" s="2242"/>
      <c r="T18" s="2242"/>
      <c r="U18" s="2242"/>
      <c r="V18" s="2242"/>
    </row>
    <row r="19" spans="1:28" ht="37.5" thickTop="1" thickBot="1">
      <c r="A19" s="319" t="s">
        <v>1050</v>
      </c>
      <c r="B19" s="299" t="s">
        <v>2197</v>
      </c>
      <c r="C19" s="1454"/>
      <c r="D19" s="1455" t="s">
        <v>2198</v>
      </c>
      <c r="E19" s="1456"/>
      <c r="F19" s="1457" t="str">
        <f>IF(AND(C19="是",E19="否"),"是否提供他项权证或相关说明","")</f>
        <v/>
      </c>
      <c r="G19" s="1458"/>
      <c r="H19" s="2438"/>
      <c r="I19" s="2438"/>
      <c r="J19" s="2242"/>
      <c r="K19" s="2398"/>
      <c r="L19" s="2395"/>
      <c r="M19" s="2395"/>
      <c r="N19" s="2242"/>
      <c r="O19" s="1669"/>
      <c r="P19" s="2242"/>
      <c r="Q19" s="2242"/>
      <c r="R19" s="2242"/>
      <c r="S19" s="2242"/>
      <c r="T19" s="2242"/>
      <c r="U19" s="2242"/>
      <c r="V19" s="2242"/>
    </row>
    <row r="20" spans="1:28">
      <c r="A20" s="2413" t="s">
        <v>2199</v>
      </c>
      <c r="B20" s="3265" t="s">
        <v>2200</v>
      </c>
      <c r="C20" s="3266"/>
      <c r="D20" s="3267" t="s">
        <v>2201</v>
      </c>
      <c r="E20" s="3268"/>
      <c r="F20" s="2426" t="s">
        <v>1051</v>
      </c>
      <c r="G20" s="2438"/>
      <c r="H20" s="2438"/>
      <c r="I20" s="2438"/>
      <c r="J20" s="2242"/>
      <c r="K20" s="3264" t="s">
        <v>2202</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5"/>
      <c r="P20" s="2179"/>
      <c r="Q20" s="2179"/>
      <c r="R20" s="2179"/>
      <c r="S20" s="2179"/>
      <c r="T20" s="2179"/>
      <c r="U20" s="2179"/>
      <c r="V20" s="2179"/>
      <c r="W20" s="1617"/>
      <c r="X20" s="1617"/>
      <c r="Y20" s="1617"/>
      <c r="Z20" s="1617"/>
      <c r="AA20" s="1617"/>
      <c r="AB20" s="1617"/>
    </row>
    <row r="21" spans="1:28" ht="24.75" thickBot="1">
      <c r="A21" s="2413"/>
      <c r="B21" s="2414" t="s">
        <v>2203</v>
      </c>
      <c r="C21" s="2293" t="s">
        <v>1052</v>
      </c>
      <c r="D21" s="1459" t="s">
        <v>2204</v>
      </c>
      <c r="E21" s="2415" t="s">
        <v>1052</v>
      </c>
      <c r="F21" s="2427"/>
      <c r="G21" s="2438"/>
      <c r="H21" s="2438"/>
      <c r="I21" s="2438"/>
      <c r="J21" s="2242"/>
      <c r="K21" s="326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5"/>
      <c r="P21" s="2179"/>
      <c r="Q21" s="2179"/>
      <c r="R21" s="2179"/>
      <c r="S21" s="2179"/>
      <c r="T21" s="2179"/>
      <c r="U21" s="2179"/>
      <c r="V21" s="2179"/>
      <c r="W21" s="1617"/>
      <c r="X21" s="1617"/>
      <c r="Y21" s="1617"/>
      <c r="Z21" s="1617"/>
      <c r="AA21" s="1617"/>
      <c r="AB21" s="1617"/>
    </row>
    <row r="22" spans="1:28" ht="24.75" thickBot="1">
      <c r="A22" s="2413"/>
      <c r="B22" s="2416" t="s">
        <v>2205</v>
      </c>
      <c r="C22" s="2293" t="s">
        <v>1053</v>
      </c>
      <c r="D22" s="2438"/>
      <c r="E22" s="2438"/>
      <c r="F22" s="2438"/>
      <c r="G22" s="2438"/>
      <c r="H22" s="2438"/>
      <c r="I22" s="2438"/>
      <c r="J22" s="2242"/>
      <c r="K22" s="326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5"/>
      <c r="P22" s="2179"/>
      <c r="Q22" s="2179"/>
      <c r="R22" s="2179"/>
      <c r="S22" s="2179"/>
      <c r="T22" s="2179"/>
      <c r="U22" s="2179"/>
      <c r="V22" s="2179"/>
      <c r="W22" s="1617"/>
      <c r="X22" s="1617"/>
      <c r="Y22" s="1617"/>
      <c r="Z22" s="1617"/>
      <c r="AA22" s="1617"/>
      <c r="AB22" s="1617"/>
    </row>
    <row r="23" spans="1:28">
      <c r="A23" s="2417" t="s">
        <v>2206</v>
      </c>
      <c r="B23" s="2290" t="s">
        <v>2207</v>
      </c>
      <c r="C23" s="2418"/>
      <c r="D23" s="2419" t="s">
        <v>2207</v>
      </c>
      <c r="E23" s="2420"/>
      <c r="F23" s="2438"/>
      <c r="G23" s="2438"/>
      <c r="H23" s="2438"/>
      <c r="I23" s="2438"/>
      <c r="J23" s="2242"/>
      <c r="K23" s="2397"/>
      <c r="L23" s="121"/>
      <c r="M23" s="2395"/>
      <c r="N23" s="2242"/>
      <c r="O23" s="1669"/>
      <c r="P23" s="2242"/>
      <c r="Q23" s="2242"/>
      <c r="R23" s="2242"/>
      <c r="S23" s="2242"/>
      <c r="T23" s="2242"/>
      <c r="U23" s="2242"/>
      <c r="V23" s="2242"/>
    </row>
    <row r="24" spans="1:28">
      <c r="A24" s="2417"/>
      <c r="B24" s="2290" t="s">
        <v>1054</v>
      </c>
      <c r="C24" s="2268"/>
      <c r="D24" s="2417" t="s">
        <v>1054</v>
      </c>
      <c r="E24" s="2421"/>
      <c r="F24" s="2438"/>
      <c r="G24" s="2438"/>
      <c r="H24" s="2438"/>
      <c r="I24" s="2438"/>
      <c r="J24" s="2242"/>
      <c r="K24" s="2397"/>
      <c r="L24" s="121"/>
      <c r="M24" s="2395"/>
      <c r="N24" s="2242"/>
      <c r="O24" s="1669"/>
      <c r="P24" s="2242"/>
      <c r="Q24" s="2242"/>
      <c r="R24" s="2242"/>
      <c r="S24" s="2242"/>
      <c r="T24" s="2242"/>
      <c r="U24" s="2242"/>
      <c r="V24" s="2242"/>
    </row>
    <row r="25" spans="1:28">
      <c r="A25" s="2417"/>
      <c r="B25" s="2290" t="s">
        <v>1055</v>
      </c>
      <c r="C25" s="2268"/>
      <c r="D25" s="2417" t="s">
        <v>1055</v>
      </c>
      <c r="E25" s="2421"/>
      <c r="F25" s="2438"/>
      <c r="G25" s="2438"/>
      <c r="H25" s="2438"/>
      <c r="I25" s="2438"/>
      <c r="J25" s="2242"/>
      <c r="K25" s="2398"/>
      <c r="L25" s="2395"/>
      <c r="M25" s="2395"/>
      <c r="N25" s="2242"/>
      <c r="O25" s="1669"/>
      <c r="P25" s="2242"/>
      <c r="Q25" s="2242"/>
      <c r="R25" s="2242"/>
      <c r="S25" s="2242"/>
      <c r="T25" s="2242"/>
      <c r="U25" s="2242"/>
      <c r="V25" s="2242"/>
    </row>
    <row r="26" spans="1:28" ht="13.5" thickBot="1">
      <c r="A26" s="2422"/>
      <c r="B26" s="2423" t="s">
        <v>1056</v>
      </c>
      <c r="C26" s="2424"/>
      <c r="D26" s="2422" t="s">
        <v>1056</v>
      </c>
      <c r="E26" s="2425"/>
      <c r="F26" s="2439"/>
      <c r="G26" s="2439"/>
      <c r="H26" s="2439"/>
      <c r="I26" s="2439"/>
      <c r="J26" s="2242"/>
      <c r="K26" s="2398"/>
      <c r="L26" s="2395"/>
      <c r="M26" s="2395"/>
      <c r="N26" s="2242"/>
      <c r="O26" s="1669"/>
      <c r="P26" s="2242"/>
      <c r="Q26" s="2242"/>
      <c r="R26" s="2242"/>
      <c r="S26" s="2242"/>
      <c r="T26" s="2242"/>
      <c r="U26" s="2242"/>
      <c r="V26" s="2242"/>
    </row>
    <row r="27" spans="1:28" ht="13.5" thickTop="1">
      <c r="A27" s="3253" t="s">
        <v>2208</v>
      </c>
      <c r="B27" s="312" t="s">
        <v>2209</v>
      </c>
      <c r="C27" s="2222"/>
      <c r="D27" s="2223"/>
      <c r="E27" s="2438"/>
      <c r="F27" s="2438"/>
      <c r="G27" s="2438"/>
      <c r="H27" s="2438"/>
      <c r="I27" s="2438"/>
      <c r="J27" s="2242"/>
      <c r="K27" s="2399"/>
      <c r="L27" s="1669"/>
      <c r="M27" s="1669"/>
      <c r="N27" s="2242"/>
      <c r="O27" s="1669"/>
      <c r="P27" s="2242"/>
      <c r="Q27" s="2242"/>
      <c r="R27" s="2242"/>
      <c r="S27" s="2242"/>
      <c r="T27" s="2242"/>
      <c r="U27" s="2242"/>
      <c r="V27" s="2242"/>
    </row>
    <row r="28" spans="1:28">
      <c r="A28" s="3253"/>
      <c r="B28" s="294" t="s">
        <v>2210</v>
      </c>
      <c r="C28" s="2224"/>
      <c r="D28" s="2225"/>
      <c r="E28" s="2438"/>
      <c r="F28" s="2438"/>
      <c r="G28" s="2438"/>
      <c r="H28" s="2438"/>
      <c r="I28" s="2438"/>
      <c r="J28" s="2242"/>
      <c r="K28" s="2398"/>
      <c r="L28" s="2395"/>
      <c r="M28" s="2395"/>
      <c r="N28" s="2242"/>
      <c r="O28" s="1669"/>
      <c r="P28" s="2242"/>
      <c r="Q28" s="2242"/>
      <c r="R28" s="2242"/>
      <c r="S28" s="2242"/>
      <c r="T28" s="2242"/>
      <c r="U28" s="2242"/>
      <c r="V28" s="2242"/>
    </row>
    <row r="29" spans="1:28">
      <c r="A29" s="3253"/>
      <c r="B29" s="294" t="s">
        <v>2211</v>
      </c>
      <c r="C29" s="2226"/>
      <c r="D29" s="2227"/>
      <c r="E29" s="2438"/>
      <c r="F29" s="2438"/>
      <c r="G29" s="2438"/>
      <c r="H29" s="2438"/>
      <c r="I29" s="2438"/>
      <c r="J29" s="2242"/>
      <c r="K29" s="2398"/>
      <c r="L29" s="2395"/>
      <c r="M29" s="2395"/>
      <c r="N29" s="2242"/>
      <c r="O29" s="1669"/>
      <c r="P29" s="2242"/>
      <c r="Q29" s="2242"/>
      <c r="R29" s="2242"/>
      <c r="S29" s="2242"/>
      <c r="T29" s="2242"/>
      <c r="U29" s="2242"/>
      <c r="V29" s="2242"/>
    </row>
    <row r="30" spans="1:28">
      <c r="A30" s="3254"/>
      <c r="B30" s="294" t="s">
        <v>2212</v>
      </c>
      <c r="C30" s="3255"/>
      <c r="D30" s="3256"/>
      <c r="E30" s="2438"/>
      <c r="F30" s="2438"/>
      <c r="G30" s="2438"/>
      <c r="H30" s="2438"/>
      <c r="I30" s="2438"/>
      <c r="J30" s="2242"/>
      <c r="K30" s="2398"/>
      <c r="L30" s="2395"/>
      <c r="M30" s="2395"/>
      <c r="N30" s="2242"/>
      <c r="O30" s="1669"/>
      <c r="P30" s="2242"/>
      <c r="Q30" s="2242"/>
      <c r="R30" s="2242"/>
      <c r="S30" s="2242"/>
      <c r="T30" s="2242"/>
      <c r="U30" s="2242"/>
      <c r="V30" s="2242"/>
    </row>
    <row r="31" spans="1:28">
      <c r="A31" s="3257" t="s">
        <v>2213</v>
      </c>
      <c r="B31" s="2228"/>
      <c r="C31" s="12" t="str">
        <f>IF(B31="现房","成新及维护状况正常否",IF(B31="在建","工程状态是否正常",IF(B31="土地","是否闲置","-")))</f>
        <v>-</v>
      </c>
      <c r="D31" s="1280"/>
      <c r="E31" s="2229"/>
      <c r="F31" s="2438"/>
      <c r="G31" s="2438"/>
      <c r="H31" s="2438"/>
      <c r="I31" s="2438"/>
      <c r="J31" s="2242"/>
      <c r="K31" s="2397"/>
      <c r="L31" s="2395"/>
      <c r="M31" s="2395"/>
      <c r="N31" s="2242"/>
      <c r="O31" s="1669"/>
      <c r="P31" s="2242"/>
      <c r="Q31" s="2242"/>
      <c r="R31" s="2242"/>
      <c r="S31" s="2242"/>
      <c r="T31" s="2242"/>
      <c r="U31" s="2242"/>
      <c r="V31" s="2242"/>
    </row>
    <row r="32" spans="1:28">
      <c r="A32" s="3258"/>
      <c r="B32" s="2228"/>
      <c r="C32" s="12" t="str">
        <f>IF(B32="现房","成新及维护状况是否正常",IF(B32="在建","工程状态是否正常",IF(B32="土地","是否闲置","-")))</f>
        <v>-</v>
      </c>
      <c r="D32" s="1280"/>
      <c r="E32" s="2229"/>
      <c r="F32" s="2438"/>
      <c r="G32" s="2438"/>
      <c r="H32" s="2438"/>
      <c r="I32" s="2438"/>
      <c r="J32" s="2242"/>
      <c r="K32" s="2398"/>
      <c r="L32" s="2395"/>
      <c r="M32" s="2395"/>
      <c r="N32" s="2242"/>
      <c r="O32" s="1669"/>
      <c r="P32" s="2242"/>
      <c r="Q32" s="2242"/>
      <c r="R32" s="2242"/>
      <c r="S32" s="2242"/>
      <c r="T32" s="2242"/>
      <c r="U32" s="2242"/>
      <c r="V32" s="2242"/>
    </row>
    <row r="33" spans="1:30">
      <c r="A33" s="3258"/>
      <c r="B33" s="2231"/>
      <c r="C33" s="1477" t="str">
        <f>IF(B33="现房","成新及维护状况是否正常",IF(B33="在建","工程状态是否正常",IF(B33="土地","是否闲置","-")))</f>
        <v>-</v>
      </c>
      <c r="D33" s="1273"/>
      <c r="E33" s="2232"/>
      <c r="F33" s="2438"/>
      <c r="G33" s="2438"/>
      <c r="H33" s="2438"/>
      <c r="I33" s="2438"/>
      <c r="J33" s="2242"/>
      <c r="K33" s="2398"/>
      <c r="L33" s="2395"/>
      <c r="M33" s="2395"/>
      <c r="N33" s="2242"/>
      <c r="O33" s="1669"/>
      <c r="P33" s="2242"/>
      <c r="Q33" s="2242"/>
      <c r="R33" s="2242"/>
      <c r="S33" s="2242"/>
      <c r="T33" s="2242"/>
      <c r="U33" s="2242"/>
      <c r="V33" s="2242"/>
    </row>
    <row r="34" spans="1:30">
      <c r="A34" s="294" t="s">
        <v>2214</v>
      </c>
      <c r="B34" s="1867"/>
      <c r="C34" s="1867"/>
      <c r="D34" s="1867"/>
      <c r="E34" s="1867"/>
      <c r="F34" s="1867"/>
      <c r="G34" s="1867"/>
      <c r="H34" s="1867"/>
      <c r="I34" s="2438"/>
      <c r="J34" s="2242"/>
      <c r="K34" s="8">
        <f>COUNTIF(B34:H34,"——")</f>
        <v>0</v>
      </c>
      <c r="L34" s="315" t="s">
        <v>2215</v>
      </c>
      <c r="M34" s="315" t="s">
        <v>2216</v>
      </c>
      <c r="N34" s="315" t="s">
        <v>2217</v>
      </c>
      <c r="O34" s="315" t="s">
        <v>2218</v>
      </c>
      <c r="P34" s="315" t="s">
        <v>2219</v>
      </c>
      <c r="Q34" s="315" t="s">
        <v>2220</v>
      </c>
      <c r="R34" s="315" t="s">
        <v>2221</v>
      </c>
      <c r="S34" s="3252" t="s">
        <v>2222</v>
      </c>
      <c r="T34" s="315" t="str">
        <f>NUMBERSTRING(7-K34,1)&amp;"通"</f>
        <v>七通</v>
      </c>
      <c r="U34" s="2242"/>
      <c r="V34" s="2242"/>
    </row>
    <row r="35" spans="1:30">
      <c r="A35" s="2233"/>
      <c r="B35" s="3252" t="s">
        <v>2223</v>
      </c>
      <c r="C35" s="3252"/>
      <c r="D35" s="3252"/>
      <c r="E35" s="3252"/>
      <c r="F35" s="8">
        <f>C10</f>
        <v>0</v>
      </c>
      <c r="G35" s="2438"/>
      <c r="H35" s="2438"/>
      <c r="I35" s="2438"/>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2"/>
      <c r="T35" s="138" t="str">
        <f>IF(T34="一通",L35,IF(T34="二通",M35,IF(T34="三通",N35,IF(T34="四通",O35,IF(T34="五通",P35,IF(T34="六通",Q35,R35))))))</f>
        <v>、、、、、、</v>
      </c>
      <c r="U35" s="2242"/>
      <c r="V35" s="2242"/>
    </row>
    <row r="36" spans="1:30">
      <c r="A36" s="2180"/>
      <c r="B36" s="8" t="s">
        <v>2179</v>
      </c>
      <c r="C36" s="8" t="s">
        <v>2180</v>
      </c>
      <c r="D36" s="8" t="s">
        <v>2178</v>
      </c>
      <c r="E36" s="8" t="s">
        <v>2183</v>
      </c>
      <c r="F36" s="2797" t="s">
        <v>2566</v>
      </c>
      <c r="G36" s="2438"/>
      <c r="H36" s="2438"/>
      <c r="I36" s="2438"/>
      <c r="J36" s="2242"/>
      <c r="K36" s="2398"/>
      <c r="L36" s="2395"/>
      <c r="M36" s="2395"/>
      <c r="N36" s="2242"/>
      <c r="O36" s="1669"/>
      <c r="P36" s="2242"/>
      <c r="Q36" s="2242"/>
      <c r="R36" s="2242"/>
      <c r="S36" s="2242"/>
      <c r="T36" s="2242"/>
      <c r="U36" s="2242"/>
      <c r="V36" s="2242"/>
    </row>
    <row r="37" spans="1:30">
      <c r="A37" s="2411" t="s">
        <v>2224</v>
      </c>
      <c r="B37" s="2234"/>
      <c r="C37" s="2234" t="s">
        <v>305</v>
      </c>
      <c r="D37" s="2234"/>
      <c r="E37" s="2234"/>
      <c r="F37" s="2234"/>
      <c r="G37" s="2438"/>
      <c r="H37" s="2438"/>
      <c r="I37" s="2438"/>
      <c r="J37" s="2242"/>
      <c r="K37" s="2398"/>
      <c r="L37" s="2395"/>
      <c r="M37" s="2395"/>
      <c r="N37" s="2242"/>
      <c r="O37" s="1669"/>
      <c r="P37" s="2242"/>
      <c r="Q37" s="2242"/>
      <c r="R37" s="2242"/>
      <c r="S37" s="2242"/>
      <c r="T37" s="2242"/>
      <c r="U37" s="2242"/>
      <c r="V37" s="2242"/>
    </row>
    <row r="38" spans="1:30" ht="13.5" thickBot="1">
      <c r="A38" s="2412" t="s">
        <v>2225</v>
      </c>
      <c r="B38" s="2235"/>
      <c r="C38" s="2235" t="s">
        <v>289</v>
      </c>
      <c r="D38" s="2235"/>
      <c r="E38" s="2235"/>
      <c r="F38" s="2235"/>
      <c r="G38" s="2439"/>
      <c r="H38" s="2439"/>
      <c r="I38" s="2439"/>
      <c r="J38" s="2242"/>
      <c r="K38" s="2398"/>
      <c r="L38" s="2395"/>
      <c r="M38" s="2395"/>
      <c r="N38" s="2242"/>
      <c r="O38" s="1669"/>
      <c r="P38" s="2242"/>
      <c r="Q38" s="2242"/>
      <c r="R38" s="2242"/>
      <c r="S38" s="2242"/>
      <c r="T38" s="2242"/>
      <c r="U38" s="2242"/>
      <c r="V38" s="2242"/>
    </row>
    <row r="39" spans="1:30" s="2238" customFormat="1" ht="14.25" thickTop="1" thickBot="1">
      <c r="A39" s="2236" t="s">
        <v>2226</v>
      </c>
      <c r="B39" s="2237"/>
      <c r="C39" s="2237"/>
      <c r="D39" s="2237"/>
      <c r="E39" s="2237"/>
      <c r="F39" s="2237"/>
      <c r="G39" s="2237"/>
      <c r="H39" s="2237"/>
      <c r="I39" s="2237"/>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9"/>
      <c r="B40" s="2179"/>
      <c r="C40" s="2179"/>
      <c r="D40" s="2179"/>
      <c r="E40" s="2179"/>
      <c r="F40" s="2179"/>
      <c r="G40" s="2179"/>
      <c r="H40" s="2179"/>
      <c r="I40" s="1465"/>
      <c r="J40" s="2242"/>
      <c r="K40" s="2397"/>
      <c r="L40" s="1669"/>
      <c r="M40" s="1669"/>
      <c r="N40" s="2242"/>
      <c r="O40" s="1669"/>
      <c r="P40" s="2242"/>
      <c r="Q40" s="2242"/>
      <c r="R40" s="2242"/>
      <c r="S40" s="2242"/>
      <c r="T40" s="2242"/>
      <c r="U40" s="2242"/>
      <c r="V40" s="2242"/>
    </row>
    <row r="41" spans="1:30">
      <c r="A41" s="2239" t="s">
        <v>2227</v>
      </c>
      <c r="B41" s="1626"/>
      <c r="C41" s="1280"/>
      <c r="D41" s="2179"/>
      <c r="E41" s="2179"/>
      <c r="F41" s="2179"/>
      <c r="G41" s="2179"/>
      <c r="H41" s="2179"/>
      <c r="I41" s="1465"/>
      <c r="J41" s="2242"/>
      <c r="K41" s="2398"/>
      <c r="L41" s="2395"/>
      <c r="M41" s="2395"/>
      <c r="N41" s="2242"/>
      <c r="O41" s="1669"/>
      <c r="P41" s="2242"/>
      <c r="Q41" s="2242"/>
      <c r="R41" s="2242"/>
      <c r="S41" s="2242"/>
      <c r="T41" s="2242"/>
      <c r="U41" s="2242"/>
      <c r="V41" s="2242"/>
    </row>
    <row r="42" spans="1:30" ht="25.5">
      <c r="A42" s="315" t="s">
        <v>2228</v>
      </c>
      <c r="B42" s="8" t="s">
        <v>2229</v>
      </c>
      <c r="C42" s="8" t="s">
        <v>2230</v>
      </c>
      <c r="D42" s="8" t="s">
        <v>2231</v>
      </c>
      <c r="E42" s="8" t="s">
        <v>2232</v>
      </c>
      <c r="F42" s="8" t="s">
        <v>2233</v>
      </c>
      <c r="G42" s="8" t="s">
        <v>2234</v>
      </c>
      <c r="H42" s="8" t="s">
        <v>2235</v>
      </c>
      <c r="I42" s="8" t="s">
        <v>2236</v>
      </c>
      <c r="J42" s="2407" t="s">
        <v>2237</v>
      </c>
      <c r="K42" s="2408" t="s">
        <v>2238</v>
      </c>
      <c r="L42" s="2408" t="s">
        <v>2239</v>
      </c>
      <c r="M42" s="2408" t="s">
        <v>2240</v>
      </c>
      <c r="N42" s="2401" t="s">
        <v>2241</v>
      </c>
      <c r="O42" s="2401" t="s">
        <v>2242</v>
      </c>
      <c r="P42" s="2401" t="s">
        <v>2243</v>
      </c>
      <c r="Q42" s="2402" t="s">
        <v>2244</v>
      </c>
      <c r="R42" s="2402" t="s">
        <v>2245</v>
      </c>
      <c r="S42" s="2242"/>
      <c r="T42" s="2242"/>
      <c r="U42" s="2242"/>
      <c r="V42" s="2242"/>
    </row>
    <row r="43" spans="1:30" s="1615" customFormat="1">
      <c r="A43" s="1461"/>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5" customFormat="1">
      <c r="A44" s="1461"/>
      <c r="B44" s="1461"/>
      <c r="C44" s="628"/>
      <c r="D44" s="628"/>
      <c r="E44" s="628"/>
      <c r="F44" s="628"/>
      <c r="G44" s="628"/>
      <c r="H44" s="628"/>
      <c r="I44" s="628"/>
      <c r="J44" s="2240"/>
      <c r="K44" s="2241"/>
      <c r="L44" s="2241"/>
      <c r="M44" s="628"/>
      <c r="N44" s="628"/>
      <c r="O44" s="628"/>
      <c r="P44" s="628"/>
      <c r="Q44" s="628"/>
      <c r="R44" s="628"/>
      <c r="S44" s="2242"/>
      <c r="T44" s="2242"/>
      <c r="U44" s="2242"/>
      <c r="V44" s="2242"/>
    </row>
    <row r="45" spans="1:30" s="1615" customFormat="1">
      <c r="A45" s="1461"/>
      <c r="B45" s="1461"/>
      <c r="C45" s="628"/>
      <c r="D45" s="628"/>
      <c r="E45" s="628"/>
      <c r="F45" s="628"/>
      <c r="G45" s="628"/>
      <c r="H45" s="628"/>
      <c r="I45" s="628"/>
      <c r="J45" s="2240"/>
      <c r="K45" s="2241"/>
      <c r="L45" s="2241"/>
      <c r="M45" s="628"/>
      <c r="N45" s="628"/>
      <c r="O45" s="628"/>
      <c r="P45" s="628"/>
      <c r="Q45" s="628"/>
      <c r="R45" s="628"/>
      <c r="S45" s="2242"/>
      <c r="T45" s="2242"/>
      <c r="U45" s="2242"/>
      <c r="V45" s="2242"/>
    </row>
    <row r="46" spans="1:30" s="1615" customFormat="1">
      <c r="A46" s="1461"/>
      <c r="B46" s="1461"/>
      <c r="C46" s="628"/>
      <c r="D46" s="628"/>
      <c r="E46" s="628"/>
      <c r="F46" s="628"/>
      <c r="G46" s="628"/>
      <c r="H46" s="628"/>
      <c r="I46" s="628"/>
      <c r="J46" s="2240"/>
      <c r="K46" s="2241"/>
      <c r="L46" s="2241"/>
      <c r="M46" s="628"/>
      <c r="N46" s="628"/>
      <c r="O46" s="628"/>
      <c r="P46" s="628"/>
      <c r="Q46" s="628"/>
      <c r="R46" s="628"/>
      <c r="S46" s="2242"/>
      <c r="T46" s="2242"/>
      <c r="U46" s="2242"/>
      <c r="V46" s="2242"/>
    </row>
    <row r="47" spans="1:30" s="1615" customFormat="1">
      <c r="A47" s="1461"/>
      <c r="B47" s="1461"/>
      <c r="C47" s="628"/>
      <c r="D47" s="628"/>
      <c r="E47" s="628"/>
      <c r="F47" s="628"/>
      <c r="G47" s="628"/>
      <c r="H47" s="628"/>
      <c r="I47" s="628"/>
      <c r="J47" s="2240"/>
      <c r="K47" s="2241"/>
      <c r="L47" s="2241"/>
      <c r="M47" s="628"/>
      <c r="N47" s="628"/>
      <c r="O47" s="628"/>
      <c r="P47" s="628"/>
      <c r="Q47" s="628"/>
      <c r="R47" s="628"/>
      <c r="S47" s="2242"/>
      <c r="T47" s="2242"/>
      <c r="U47" s="2242"/>
      <c r="V47" s="2242"/>
    </row>
    <row r="48" spans="1:30" s="1615" customFormat="1">
      <c r="A48" s="1461"/>
      <c r="B48" s="1461"/>
      <c r="C48" s="628"/>
      <c r="D48" s="628"/>
      <c r="E48" s="628"/>
      <c r="F48" s="628"/>
      <c r="G48" s="628"/>
      <c r="H48" s="628"/>
      <c r="I48" s="628"/>
      <c r="J48" s="2240"/>
      <c r="K48" s="2241"/>
      <c r="L48" s="2241"/>
      <c r="M48" s="628"/>
      <c r="N48" s="628"/>
      <c r="O48" s="628"/>
      <c r="P48" s="628"/>
      <c r="Q48" s="628"/>
      <c r="R48" s="628"/>
      <c r="S48" s="2242"/>
      <c r="T48" s="2242"/>
      <c r="U48" s="2242"/>
      <c r="V48" s="2242"/>
    </row>
    <row r="49" spans="1:22" s="1615" customFormat="1">
      <c r="A49" s="1461"/>
      <c r="B49" s="1461"/>
      <c r="C49" s="628"/>
      <c r="D49" s="628"/>
      <c r="E49" s="628"/>
      <c r="F49" s="628"/>
      <c r="G49" s="628"/>
      <c r="H49" s="628"/>
      <c r="I49" s="628"/>
      <c r="J49" s="2240"/>
      <c r="K49" s="2241"/>
      <c r="L49" s="2241"/>
      <c r="M49" s="628"/>
      <c r="N49" s="628"/>
      <c r="O49" s="628"/>
      <c r="P49" s="628"/>
      <c r="Q49" s="628"/>
      <c r="R49" s="628"/>
      <c r="S49" s="2242"/>
      <c r="T49" s="2242"/>
      <c r="U49" s="2242"/>
      <c r="V49" s="2242"/>
    </row>
    <row r="50" spans="1:22" s="1615" customFormat="1">
      <c r="A50" s="1461"/>
      <c r="B50" s="1461"/>
      <c r="C50" s="628"/>
      <c r="D50" s="628"/>
      <c r="E50" s="628"/>
      <c r="F50" s="628"/>
      <c r="G50" s="628"/>
      <c r="H50" s="628"/>
      <c r="I50" s="628"/>
      <c r="J50" s="2240"/>
      <c r="K50" s="2241"/>
      <c r="L50" s="2241"/>
      <c r="M50" s="628"/>
      <c r="N50" s="628"/>
      <c r="O50" s="628"/>
      <c r="P50" s="628"/>
      <c r="Q50" s="628"/>
      <c r="R50" s="628"/>
      <c r="S50" s="2242"/>
      <c r="T50" s="2242"/>
      <c r="U50" s="2242"/>
      <c r="V50" s="2242"/>
    </row>
    <row r="51" spans="1:22" s="1615" customFormat="1">
      <c r="A51" s="1461"/>
      <c r="B51" s="1461"/>
      <c r="C51" s="628"/>
      <c r="D51" s="628"/>
      <c r="E51" s="628"/>
      <c r="F51" s="628"/>
      <c r="G51" s="628"/>
      <c r="H51" s="628"/>
      <c r="I51" s="628"/>
      <c r="J51" s="2240"/>
      <c r="K51" s="2241"/>
      <c r="L51" s="2241"/>
      <c r="M51" s="628"/>
      <c r="N51" s="628"/>
      <c r="O51" s="628"/>
      <c r="P51" s="628"/>
      <c r="Q51" s="628"/>
      <c r="R51" s="628"/>
    </row>
    <row r="52" spans="1:22" s="1615" customFormat="1">
      <c r="A52" s="1461"/>
      <c r="B52" s="1461"/>
      <c r="C52" s="1461"/>
      <c r="D52" s="1461"/>
      <c r="E52" s="1461"/>
      <c r="F52" s="628"/>
      <c r="G52" s="1461"/>
      <c r="H52" s="1461"/>
      <c r="I52" s="1461"/>
      <c r="J52" s="2243"/>
      <c r="K52" s="2241"/>
      <c r="L52" s="2241"/>
      <c r="M52" s="2241"/>
      <c r="N52" s="1461"/>
      <c r="O52" s="1461"/>
      <c r="P52" s="1461"/>
      <c r="Q52" s="1461"/>
      <c r="R52" s="1461"/>
    </row>
    <row r="53" spans="1:22" s="1615" customFormat="1">
      <c r="A53" s="1461"/>
      <c r="B53" s="1461"/>
      <c r="C53" s="1461"/>
      <c r="D53" s="1461"/>
      <c r="E53" s="1461"/>
      <c r="F53" s="628"/>
      <c r="G53" s="1461"/>
      <c r="H53" s="1461"/>
      <c r="I53" s="1461"/>
      <c r="J53" s="2243"/>
      <c r="K53" s="2241"/>
      <c r="L53" s="2241"/>
      <c r="M53" s="2241"/>
      <c r="N53" s="1461"/>
      <c r="O53" s="1461"/>
      <c r="P53" s="1461"/>
      <c r="Q53" s="1461"/>
      <c r="R53" s="1461"/>
    </row>
    <row r="54" spans="1:22" s="1615" customFormat="1">
      <c r="A54" s="1461"/>
      <c r="B54" s="1461"/>
      <c r="C54" s="1461"/>
      <c r="D54" s="1461"/>
      <c r="E54" s="1461"/>
      <c r="F54" s="628"/>
      <c r="G54" s="1461"/>
      <c r="H54" s="1461"/>
      <c r="I54" s="1461"/>
      <c r="J54" s="2243"/>
      <c r="K54" s="2241"/>
      <c r="L54" s="2241"/>
      <c r="M54" s="2241"/>
      <c r="N54" s="1461"/>
      <c r="O54" s="1461"/>
      <c r="P54" s="1461"/>
      <c r="Q54" s="1461"/>
      <c r="R54" s="1461"/>
    </row>
    <row r="55" spans="1:22" s="1615" customFormat="1">
      <c r="A55" s="1461"/>
      <c r="B55" s="1461"/>
      <c r="C55" s="1461"/>
      <c r="D55" s="1461"/>
      <c r="E55" s="1461"/>
      <c r="F55" s="628"/>
      <c r="G55" s="1461"/>
      <c r="H55" s="1461"/>
      <c r="I55" s="1461"/>
      <c r="J55" s="2243"/>
      <c r="K55" s="2241"/>
      <c r="L55" s="2241"/>
      <c r="M55" s="2241"/>
      <c r="N55" s="1461"/>
      <c r="O55" s="1461"/>
      <c r="P55" s="1461"/>
      <c r="Q55" s="1461"/>
      <c r="R55" s="1461"/>
    </row>
    <row r="56" spans="1:22" s="1615" customFormat="1">
      <c r="A56" s="1461"/>
      <c r="B56" s="1461"/>
      <c r="C56" s="1461"/>
      <c r="D56" s="1461"/>
      <c r="E56" s="1461"/>
      <c r="F56" s="628"/>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C00-000000000000}">
      <formula1>"自然人,企业"</formula1>
    </dataValidation>
    <dataValidation type="list" allowBlank="1" showInputMessage="1" showErrorMessage="1" sqref="B10" xr:uid="{00000000-0002-0000-0C00-000001000000}">
      <formula1>"北京市,其他："</formula1>
    </dataValidation>
    <dataValidation type="list" allowBlank="1" showInputMessage="1" showErrorMessage="1" sqref="C27" xr:uid="{00000000-0002-0000-0C00-000002000000}">
      <formula1>"居住项目,商业项目,办公项目,工业项目,综合项目（居住、综合）,综合项目（商业、办公）"</formula1>
    </dataValidation>
    <dataValidation type="list" allowBlank="1" showInputMessage="1" showErrorMessage="1" sqref="C29" xr:uid="{00000000-0002-0000-0C00-000003000000}">
      <formula1>"否,全部为保障性住房,含保障性住房"</formula1>
    </dataValidation>
    <dataValidation type="list" allowBlank="1" showInputMessage="1" showErrorMessage="1" sqref="C28" xr:uid="{00000000-0002-0000-0C00-000004000000}">
      <formula1>"无,低密度住宅,商场,酒店,旅游地产,仓储物流,高新技术产业用地,其他特殊："</formula1>
    </dataValidation>
    <dataValidation type="list" showInputMessage="1" showErrorMessage="1" sqref="B31:B33" xr:uid="{00000000-0002-0000-0C00-000005000000}">
      <formula1>"现房,在建,土地,-"</formula1>
    </dataValidation>
    <dataValidation type="list" allowBlank="1" showInputMessage="1" showErrorMessage="1" sqref="B37:F37" xr:uid="{00000000-0002-0000-0C00-000006000000}">
      <formula1>土地级别</formula1>
    </dataValidation>
    <dataValidation type="list" allowBlank="1" showInputMessage="1" showErrorMessage="1" sqref="E38" xr:uid="{00000000-0002-0000-0C00-000007000000}">
      <formula1>INDIRECT($E$37)</formula1>
    </dataValidation>
    <dataValidation type="list" allowBlank="1" showInputMessage="1" showErrorMessage="1" sqref="B38" xr:uid="{00000000-0002-0000-0C00-000008000000}">
      <formula1>INDIRECT(B37)</formula1>
    </dataValidation>
    <dataValidation type="list" allowBlank="1" showInputMessage="1" showErrorMessage="1" sqref="C38" xr:uid="{00000000-0002-0000-0C00-000009000000}">
      <formula1>INDIRECT($C$37)</formula1>
    </dataValidation>
    <dataValidation type="list" allowBlank="1" showInputMessage="1" showErrorMessage="1" sqref="D38" xr:uid="{00000000-0002-0000-0C00-00000A000000}">
      <formula1>INDIRECT($D$37)</formula1>
    </dataValidation>
    <dataValidation type="list" allowBlank="1" showInputMessage="1" showErrorMessage="1" sqref="B9" xr:uid="{00000000-0002-0000-0C00-00000B000000}">
      <formula1>"房地产抵押价值,房地产市场价值"</formula1>
    </dataValidation>
    <dataValidation type="list" allowBlank="1" showInputMessage="1" showErrorMessage="1" sqref="B8" xr:uid="{00000000-0002-0000-0C00-00000C000000}">
      <formula1>"抵押,核定资产,出让"</formula1>
    </dataValidation>
    <dataValidation type="list" allowBlank="1" showInputMessage="1" showErrorMessage="1" sqref="H4 B4 F4 D4" xr:uid="{00000000-0002-0000-0C00-00000D000000}">
      <formula1>注册房地产估价师</formula1>
    </dataValidation>
    <dataValidation type="list" allowBlank="1" showInputMessage="1" showErrorMessage="1" sqref="E8" xr:uid="{00000000-0002-0000-0C00-00000E000000}">
      <formula1>价值类型2</formula1>
    </dataValidation>
    <dataValidation type="list" allowBlank="1" showInputMessage="1" showErrorMessage="1" sqref="E9" xr:uid="{00000000-0002-0000-0C00-00000F000000}">
      <formula1>"抵押净值,——"</formula1>
    </dataValidation>
    <dataValidation type="list" allowBlank="1" showInputMessage="1" showErrorMessage="1" sqref="B34:H34" xr:uid="{00000000-0002-0000-0C00-000010000000}">
      <formula1>七通一平</formula1>
    </dataValidation>
    <dataValidation type="list" allowBlank="1" showInputMessage="1" showErrorMessage="1" sqref="C19 E19 G19" xr:uid="{00000000-0002-0000-0C00-000011000000}">
      <formula1>估价范围判定</formula1>
    </dataValidation>
    <dataValidation type="list" allowBlank="1" showInputMessage="1" showErrorMessage="1" sqref="B21:B22" xr:uid="{00000000-0002-0000-0C00-000012000000}">
      <formula1>"《房屋所有权证》,《国有土地使用证》,《不动产权证书》,——"</formula1>
    </dataValidation>
    <dataValidation type="list" allowBlank="1" showInputMessage="1" showErrorMessage="1" sqref="C21:C22 E21" xr:uid="{00000000-0002-0000-0C00-000013000000}">
      <formula1>"原件,复印件,——"</formula1>
    </dataValidation>
    <dataValidation type="list" allowBlank="1" showInputMessage="1" showErrorMessage="1" sqref="A13" xr:uid="{00000000-0002-0000-0C00-000014000000}">
      <formula1>"出让,划拨"</formula1>
    </dataValidation>
    <dataValidation type="list" allowBlank="1" showInputMessage="1" showErrorMessage="1" sqref="C14:I14" xr:uid="{00000000-0002-0000-0C00-000015000000}">
      <formula1>法定最高年限</formula1>
    </dataValidation>
    <dataValidation type="list" allowBlank="1" showInputMessage="1" showErrorMessage="1" sqref="A18" xr:uid="{00000000-0002-0000-0C00-000016000000}">
      <formula1>"建筑与土地面积依据相同,——"</formula1>
    </dataValidation>
    <dataValidation type="list" allowBlank="1" showInputMessage="1" showErrorMessage="1" sqref="F38" xr:uid="{00000000-0002-0000-0C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6" sqref="M26"/>
    </sheetView>
  </sheetViews>
  <sheetFormatPr defaultColWidth="8.875" defaultRowHeight="14.25"/>
  <cols>
    <col min="1" max="1" width="10.625" style="1462" customWidth="1"/>
    <col min="2" max="2" width="11" style="1462" customWidth="1"/>
    <col min="3" max="3" width="20.875" style="1462" bestFit="1"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1057</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1058</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1059</v>
      </c>
      <c r="B2" s="8" t="s">
        <v>1060</v>
      </c>
      <c r="C2" s="8" t="s">
        <v>1061</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1062</v>
      </c>
      <c r="AZ2" s="987" t="s">
        <v>1063</v>
      </c>
      <c r="BA2" s="8" t="s">
        <v>1064</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v>21560.34</v>
      </c>
      <c r="B3" s="11">
        <f>IF(C3="否",G5-AT5,G5)</f>
        <v>29829.400000000009</v>
      </c>
      <c r="C3" s="1468" t="s">
        <v>1065</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1066</v>
      </c>
      <c r="B5" s="1258"/>
      <c r="C5" s="1258"/>
      <c r="D5" s="1259"/>
      <c r="E5" s="13" t="s">
        <v>0</v>
      </c>
      <c r="F5" s="13">
        <f>SUM(F13:F587)</f>
        <v>0</v>
      </c>
      <c r="G5" s="13">
        <f>SUM(G13:G587)</f>
        <v>29829.400000000009</v>
      </c>
      <c r="H5" s="13">
        <f t="shared" ref="H5:AT5" si="0">SUM(H13:H656)</f>
        <v>29829.400000000009</v>
      </c>
      <c r="I5" s="13">
        <f t="shared" si="0"/>
        <v>15418.45</v>
      </c>
      <c r="J5" s="13">
        <f t="shared" si="0"/>
        <v>0</v>
      </c>
      <c r="K5" s="13">
        <f t="shared" si="0"/>
        <v>14410.950000000003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1066</v>
      </c>
      <c r="AW5" s="1258"/>
      <c r="AX5" s="1258"/>
      <c r="AY5" s="14" t="s">
        <v>2</v>
      </c>
      <c r="AZ5" s="15">
        <f t="shared" ref="AZ5:BT5" si="1">SUM(AZ13:AZ656)</f>
        <v>1232.79</v>
      </c>
      <c r="BA5" s="15">
        <f t="shared" si="1"/>
        <v>1232.79</v>
      </c>
      <c r="BB5" s="15">
        <f t="shared" si="1"/>
        <v>742.75</v>
      </c>
      <c r="BC5" s="15">
        <f t="shared" si="1"/>
        <v>490.04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1067</v>
      </c>
      <c r="B6" s="1473"/>
      <c r="C6" s="1473"/>
      <c r="D6" s="1474"/>
      <c r="E6" s="13">
        <f>H6+AC6+AT6</f>
        <v>21560.34</v>
      </c>
      <c r="F6" s="13" t="s">
        <v>0</v>
      </c>
      <c r="G6" s="13" t="s">
        <v>1</v>
      </c>
      <c r="H6" s="17">
        <f>SUMIF(I$12:AB$12,"总值",I6:AB6)</f>
        <v>21560.34</v>
      </c>
      <c r="I6" s="13">
        <f t="shared" ref="I6:AB6" si="2">ROUND($A$3*I5/$B$3,2)</f>
        <v>11144.27</v>
      </c>
      <c r="J6" s="13">
        <f t="shared" si="2"/>
        <v>0</v>
      </c>
      <c r="K6" s="13">
        <f t="shared" si="2"/>
        <v>10416.07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1067</v>
      </c>
      <c r="AW6" s="1473"/>
      <c r="AX6" s="1473"/>
      <c r="AY6" s="18">
        <f>IF(AY3&gt;0,AY3,ROUND($A$3*AZ5/$B$3,2))</f>
        <v>891.05</v>
      </c>
      <c r="AZ6" s="13" t="s">
        <v>2</v>
      </c>
      <c r="BA6" s="13">
        <f>ROUND($AY$6*BA5/$AZ$5,2)</f>
        <v>891.05</v>
      </c>
      <c r="BB6" s="13">
        <f>ROUND($AY$6*BB5/$AZ$5,2)</f>
        <v>536.85</v>
      </c>
      <c r="BC6" s="13">
        <f t="shared" ref="BC6:BH6" si="4">ROUND($AY$6*BC5/$AZ$5,2)</f>
        <v>354.2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1068</v>
      </c>
      <c r="B7" s="1460" t="s">
        <v>1069</v>
      </c>
      <c r="C7" s="1460" t="s">
        <v>1070</v>
      </c>
      <c r="D7" s="1460" t="s">
        <v>1071</v>
      </c>
      <c r="E7" s="1460" t="s">
        <v>1072</v>
      </c>
      <c r="F7" s="1460" t="s">
        <v>1073</v>
      </c>
      <c r="G7" s="1477" t="s">
        <v>1074</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1075</v>
      </c>
      <c r="AV7" s="20" t="s">
        <v>1076</v>
      </c>
      <c r="AW7" s="1465" t="s">
        <v>1077</v>
      </c>
      <c r="AX7" s="20" t="s">
        <v>1070</v>
      </c>
      <c r="AY7" s="1258" t="s">
        <v>1078</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1079</v>
      </c>
      <c r="H8" s="1483" t="s">
        <v>1080</v>
      </c>
      <c r="I8" s="1484"/>
      <c r="J8" s="1268"/>
      <c r="K8" s="1268"/>
      <c r="L8" s="1268"/>
      <c r="M8" s="1268"/>
      <c r="N8" s="1268"/>
      <c r="O8" s="1268"/>
      <c r="P8" s="1268"/>
      <c r="Q8" s="1268"/>
      <c r="R8" s="1268"/>
      <c r="S8" s="1268"/>
      <c r="T8" s="1268"/>
      <c r="U8" s="1268"/>
      <c r="V8" s="1485"/>
      <c r="W8" s="1268"/>
      <c r="X8" s="1268"/>
      <c r="Y8" s="1268"/>
      <c r="Z8" s="1268"/>
      <c r="AA8" s="1485"/>
      <c r="AB8" s="1486"/>
      <c r="AC8" s="761" t="s">
        <v>1081</v>
      </c>
      <c r="AD8" s="1487"/>
      <c r="AE8" s="1479"/>
      <c r="AF8" s="1268"/>
      <c r="AG8" s="1268"/>
      <c r="AH8" s="1268"/>
      <c r="AI8" s="1268"/>
      <c r="AJ8" s="1268"/>
      <c r="AK8" s="1268"/>
      <c r="AL8" s="1268"/>
      <c r="AM8" s="1268"/>
      <c r="AN8" s="1268"/>
      <c r="AO8" s="1268"/>
      <c r="AP8" s="1268"/>
      <c r="AQ8" s="1268"/>
      <c r="AR8" s="1268"/>
      <c r="AS8" s="1268"/>
      <c r="AT8" s="1007" t="s">
        <v>1082</v>
      </c>
      <c r="AU8" s="1481" t="s">
        <v>1083</v>
      </c>
      <c r="AV8" s="1007"/>
      <c r="AW8" s="1466"/>
      <c r="AX8" s="1007"/>
      <c r="AY8" s="1465" t="s">
        <v>1084</v>
      </c>
      <c r="AZ8" s="1267" t="s">
        <v>1085</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1086</v>
      </c>
      <c r="I9" s="1490" t="s">
        <v>3458</v>
      </c>
      <c r="J9" s="761"/>
      <c r="K9" s="1490" t="s">
        <v>3459</v>
      </c>
      <c r="L9" s="761"/>
      <c r="M9" s="1490"/>
      <c r="N9" s="761"/>
      <c r="O9" s="1490"/>
      <c r="P9" s="761"/>
      <c r="Q9" s="1490"/>
      <c r="R9" s="761"/>
      <c r="S9" s="1490"/>
      <c r="T9" s="761"/>
      <c r="U9" s="1490"/>
      <c r="V9" s="761"/>
      <c r="W9" s="1490"/>
      <c r="X9" s="1491"/>
      <c r="Y9" s="1490"/>
      <c r="Z9" s="761"/>
      <c r="AA9" s="1490"/>
      <c r="AB9" s="761"/>
      <c r="AC9" s="1482" t="s">
        <v>1086</v>
      </c>
      <c r="AD9" s="12" t="s">
        <v>1087</v>
      </c>
      <c r="AE9" s="1013"/>
      <c r="AF9" s="12" t="s">
        <v>1088</v>
      </c>
      <c r="AG9" s="1013"/>
      <c r="AH9" s="12" t="s">
        <v>1087</v>
      </c>
      <c r="AI9" s="1013"/>
      <c r="AJ9" s="12" t="s">
        <v>1088</v>
      </c>
      <c r="AK9" s="1013"/>
      <c r="AL9" s="12" t="s">
        <v>1087</v>
      </c>
      <c r="AM9" s="1013"/>
      <c r="AN9" s="12" t="s">
        <v>1088</v>
      </c>
      <c r="AO9" s="1013"/>
      <c r="AP9" s="12" t="s">
        <v>1087</v>
      </c>
      <c r="AQ9" s="1013"/>
      <c r="AR9" s="12" t="s">
        <v>1088</v>
      </c>
      <c r="AS9" s="1492"/>
      <c r="AT9" s="1481"/>
      <c r="AU9" s="1481" t="s">
        <v>1089</v>
      </c>
      <c r="AV9" s="1007"/>
      <c r="AW9" s="1466"/>
      <c r="AX9" s="1007"/>
      <c r="AY9" s="25"/>
      <c r="AZ9" s="25" t="s">
        <v>1079</v>
      </c>
      <c r="BA9" s="1493" t="s">
        <v>1090</v>
      </c>
      <c r="BB9" s="1494"/>
      <c r="BC9" s="1025"/>
      <c r="BD9" s="1025"/>
      <c r="BE9" s="1025"/>
      <c r="BF9" s="1025"/>
      <c r="BG9" s="1025"/>
      <c r="BH9" s="1025"/>
      <c r="BI9" s="1025"/>
      <c r="BJ9" s="1025"/>
      <c r="BK9" s="1495"/>
      <c r="BL9" s="12" t="s">
        <v>1091</v>
      </c>
      <c r="BM9" s="1268"/>
      <c r="BN9" s="1484"/>
      <c r="BO9" s="1268"/>
      <c r="BP9" s="1268"/>
      <c r="BQ9" s="1268"/>
      <c r="BR9" s="1268"/>
      <c r="BS9" s="1268"/>
      <c r="BT9" s="23"/>
    </row>
    <row r="10" spans="1:72" s="1488" customFormat="1" ht="12.75">
      <c r="A10" s="1481"/>
      <c r="B10" s="1481"/>
      <c r="C10" s="1481"/>
      <c r="D10" s="1481"/>
      <c r="E10" s="1481"/>
      <c r="F10" s="1481"/>
      <c r="G10" s="1007"/>
      <c r="H10" s="25"/>
      <c r="I10" s="1490"/>
      <c r="J10" s="761"/>
      <c r="K10" s="1496"/>
      <c r="L10" s="761"/>
      <c r="M10" s="1496"/>
      <c r="N10" s="761"/>
      <c r="O10" s="1496"/>
      <c r="P10" s="761"/>
      <c r="Q10" s="1496"/>
      <c r="R10" s="761"/>
      <c r="S10" s="1496"/>
      <c r="T10" s="761"/>
      <c r="U10" s="1496"/>
      <c r="V10" s="761"/>
      <c r="W10" s="1496"/>
      <c r="X10" s="761"/>
      <c r="Y10" s="1496"/>
      <c r="Z10" s="761"/>
      <c r="AA10" s="1496"/>
      <c r="AB10" s="761"/>
      <c r="AC10" s="1007"/>
      <c r="AD10" s="12" t="s">
        <v>1092</v>
      </c>
      <c r="AE10" s="1497"/>
      <c r="AF10" s="12" t="s">
        <v>1092</v>
      </c>
      <c r="AG10" s="1497"/>
      <c r="AH10" s="12" t="s">
        <v>1093</v>
      </c>
      <c r="AI10" s="1497"/>
      <c r="AJ10" s="12" t="s">
        <v>1093</v>
      </c>
      <c r="AK10" s="1497"/>
      <c r="AL10" s="12" t="s">
        <v>1094</v>
      </c>
      <c r="AM10" s="1013"/>
      <c r="AN10" s="12" t="s">
        <v>1094</v>
      </c>
      <c r="AO10" s="1013"/>
      <c r="AP10" s="12" t="s">
        <v>1095</v>
      </c>
      <c r="AQ10" s="1013"/>
      <c r="AR10" s="12" t="s">
        <v>1095</v>
      </c>
      <c r="AS10" s="1013"/>
      <c r="AT10" s="1481"/>
      <c r="AU10" s="1481"/>
      <c r="AV10" s="1007"/>
      <c r="AW10" s="1466"/>
      <c r="AX10" s="1007"/>
      <c r="AY10" s="25"/>
      <c r="AZ10" s="25"/>
      <c r="BA10" s="1498" t="s">
        <v>1086</v>
      </c>
      <c r="BB10" s="1499" t="str">
        <f>I9</f>
        <v>地上</v>
      </c>
      <c r="BC10" s="26" t="str">
        <f>K9</f>
        <v>地下</v>
      </c>
      <c r="BD10" s="26">
        <f>M9</f>
        <v>0</v>
      </c>
      <c r="BE10" s="26">
        <f>O9</f>
        <v>0</v>
      </c>
      <c r="BF10" s="26">
        <f>Q9</f>
        <v>0</v>
      </c>
      <c r="BG10" s="26">
        <f>S9</f>
        <v>0</v>
      </c>
      <c r="BH10" s="26">
        <f>U9</f>
        <v>0</v>
      </c>
      <c r="BI10" s="26">
        <f>W9</f>
        <v>0</v>
      </c>
      <c r="BJ10" s="26">
        <f>Y9</f>
        <v>0</v>
      </c>
      <c r="BK10" s="26">
        <f>AA9</f>
        <v>0</v>
      </c>
      <c r="BL10" s="22" t="s">
        <v>1086</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1096</v>
      </c>
      <c r="AE11" s="1269"/>
      <c r="AF11" s="1503" t="s">
        <v>1096</v>
      </c>
      <c r="AG11" s="1269"/>
      <c r="AH11" s="1503" t="s">
        <v>1097</v>
      </c>
      <c r="AI11" s="1504"/>
      <c r="AJ11" s="1503" t="s">
        <v>1097</v>
      </c>
      <c r="AK11" s="1269"/>
      <c r="AL11" s="1267"/>
      <c r="AM11" s="1269"/>
      <c r="AN11" s="1267"/>
      <c r="AO11" s="1269"/>
      <c r="AP11" s="1267"/>
      <c r="AQ11" s="1269"/>
      <c r="AR11" s="1267"/>
      <c r="AS11" s="1269"/>
      <c r="AT11" s="1466"/>
      <c r="AU11" s="1481"/>
      <c r="AV11" s="1007"/>
      <c r="AW11" s="1466"/>
      <c r="AX11" s="1007"/>
      <c r="AY11" s="25"/>
      <c r="AZ11" s="25"/>
      <c r="BA11" s="25"/>
      <c r="BB11" s="1486">
        <f>I10</f>
        <v>0</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1098</v>
      </c>
      <c r="J12" s="8" t="s">
        <v>1099</v>
      </c>
      <c r="K12" s="8" t="s">
        <v>1098</v>
      </c>
      <c r="L12" s="8" t="s">
        <v>1099</v>
      </c>
      <c r="M12" s="8" t="s">
        <v>1098</v>
      </c>
      <c r="N12" s="8" t="s">
        <v>1099</v>
      </c>
      <c r="O12" s="8" t="s">
        <v>1098</v>
      </c>
      <c r="P12" s="8" t="s">
        <v>1099</v>
      </c>
      <c r="Q12" s="8" t="s">
        <v>1098</v>
      </c>
      <c r="R12" s="8" t="s">
        <v>1099</v>
      </c>
      <c r="S12" s="8" t="s">
        <v>1098</v>
      </c>
      <c r="T12" s="8" t="s">
        <v>1099</v>
      </c>
      <c r="U12" s="8" t="s">
        <v>1098</v>
      </c>
      <c r="V12" s="1257" t="s">
        <v>1099</v>
      </c>
      <c r="W12" s="8" t="s">
        <v>1098</v>
      </c>
      <c r="X12" s="8" t="s">
        <v>1099</v>
      </c>
      <c r="Y12" s="8" t="s">
        <v>1098</v>
      </c>
      <c r="Z12" s="8" t="s">
        <v>1099</v>
      </c>
      <c r="AA12" s="8" t="s">
        <v>1098</v>
      </c>
      <c r="AB12" s="8" t="s">
        <v>1099</v>
      </c>
      <c r="AC12" s="1508"/>
      <c r="AD12" s="1259" t="s">
        <v>1098</v>
      </c>
      <c r="AE12" s="8" t="s">
        <v>1099</v>
      </c>
      <c r="AF12" s="8" t="s">
        <v>1098</v>
      </c>
      <c r="AG12" s="8" t="s">
        <v>1099</v>
      </c>
      <c r="AH12" s="8" t="s">
        <v>1098</v>
      </c>
      <c r="AI12" s="8" t="s">
        <v>1099</v>
      </c>
      <c r="AJ12" s="8" t="s">
        <v>1098</v>
      </c>
      <c r="AK12" s="8" t="s">
        <v>1099</v>
      </c>
      <c r="AL12" s="8" t="s">
        <v>1098</v>
      </c>
      <c r="AM12" s="8" t="s">
        <v>1099</v>
      </c>
      <c r="AN12" s="8" t="s">
        <v>1098</v>
      </c>
      <c r="AO12" s="8" t="s">
        <v>1099</v>
      </c>
      <c r="AP12" s="8" t="s">
        <v>1098</v>
      </c>
      <c r="AQ12" s="8" t="s">
        <v>1099</v>
      </c>
      <c r="AR12" s="27" t="s">
        <v>1098</v>
      </c>
      <c r="AS12" s="1506" t="s">
        <v>1099</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4.25" customHeight="1">
      <c r="A13" s="628"/>
      <c r="B13" s="628"/>
      <c r="C13" s="628" t="str">
        <f>Sheet1!B4</f>
        <v>昌平区顺沙路58号院1号</v>
      </c>
      <c r="D13" s="1512" t="s">
        <v>3460</v>
      </c>
      <c r="E13" s="13">
        <f>IF($C$3="是",ROUND($A$3*G13/$B$3,2),ROUND($A$3*(G13-AT13)/$B$3,2))</f>
        <v>1379.54</v>
      </c>
      <c r="F13" s="29"/>
      <c r="G13" s="30">
        <f>H13+AC13+AT13</f>
        <v>1908.63</v>
      </c>
      <c r="H13" s="17">
        <f>SUMIF(I$12:AB$12,"总值",I13:AB13)</f>
        <v>1908.63</v>
      </c>
      <c r="I13" s="1513">
        <f>Sheet1!D4</f>
        <v>1118.68</v>
      </c>
      <c r="J13" s="1513"/>
      <c r="K13" s="1513">
        <f>Sheet1!E4</f>
        <v>789.95</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t="str">
        <f t="shared" si="6"/>
        <v>昌平区顺沙路58号院1号</v>
      </c>
      <c r="AY13" s="125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4.25" customHeight="1">
      <c r="A14" s="628"/>
      <c r="B14" s="628"/>
      <c r="C14" s="628" t="str">
        <f>Sheet1!B5</f>
        <v>昌平区顺沙路58号院2号</v>
      </c>
      <c r="D14" s="1512" t="s">
        <v>3460</v>
      </c>
      <c r="E14" s="13">
        <f>IF($C$3="是",ROUND($A$3*G14/$B$3,2),ROUND($A$3*(G14-AT14)/$B$3,2))</f>
        <v>891.05</v>
      </c>
      <c r="F14" s="29"/>
      <c r="G14" s="30">
        <f>H14+AC14+AT14</f>
        <v>1232.79</v>
      </c>
      <c r="H14" s="17">
        <f>SUMIF(I$12:AB$12,"总值",I14:AB14)</f>
        <v>1232.79</v>
      </c>
      <c r="I14" s="1513">
        <f>Sheet1!D5</f>
        <v>742.75</v>
      </c>
      <c r="J14" s="1513"/>
      <c r="K14" s="1513">
        <f>Sheet1!E5</f>
        <v>490.04</v>
      </c>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t="str">
        <f t="shared" si="6"/>
        <v>昌平区顺沙路58号院2号</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4.25" customHeight="1">
      <c r="A15" s="628"/>
      <c r="B15" s="628"/>
      <c r="C15" s="628" t="str">
        <f>Sheet1!B6</f>
        <v>昌平区顺沙路58号院3号</v>
      </c>
      <c r="D15" s="1512" t="s">
        <v>3460</v>
      </c>
      <c r="E15" s="13">
        <f>IF($C$3="是",ROUND($A$3*G15/$B$3,2),ROUND($A$3*(G15-AT15)/$B$3,2))</f>
        <v>890.3</v>
      </c>
      <c r="F15" s="29"/>
      <c r="G15" s="30">
        <f>H15+AC15+AT15</f>
        <v>1231.76</v>
      </c>
      <c r="H15" s="17">
        <f>SUMIF(I$12:AB$12,"总值",I15:AB15)</f>
        <v>1231.76</v>
      </c>
      <c r="I15" s="1513">
        <f>Sheet1!D6</f>
        <v>742.75</v>
      </c>
      <c r="J15" s="1513"/>
      <c r="K15" s="1513">
        <f>Sheet1!E6</f>
        <v>489.01</v>
      </c>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t="str">
        <f t="shared" si="6"/>
        <v>昌平区顺沙路58号院3号</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4.25" customHeight="1">
      <c r="A16" s="628"/>
      <c r="B16" s="628"/>
      <c r="C16" s="628" t="str">
        <f>Sheet1!B7</f>
        <v>昌平区顺沙路58号院4号</v>
      </c>
      <c r="D16" s="1512" t="s">
        <v>3460</v>
      </c>
      <c r="E16" s="13">
        <f>IF($C$3="是",ROUND($A$3*G16/$B$3,2),ROUND($A$3*(G16-AT16)/$B$3,2))</f>
        <v>485.51</v>
      </c>
      <c r="F16" s="29"/>
      <c r="G16" s="30">
        <f>H16+AC16+AT16</f>
        <v>671.72</v>
      </c>
      <c r="H16" s="17">
        <f>SUMIF(I$12:AB$12,"总值",I16:AB16)</f>
        <v>671.72</v>
      </c>
      <c r="I16" s="1513">
        <f>Sheet1!D7</f>
        <v>671.72</v>
      </c>
      <c r="J16" s="1513"/>
      <c r="K16" s="1513">
        <f>Sheet1!E7</f>
        <v>0</v>
      </c>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t="str">
        <f t="shared" si="6"/>
        <v>昌平区顺沙路58号院4号</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4.25" customHeight="1">
      <c r="A17" s="628"/>
      <c r="B17" s="628"/>
      <c r="C17" s="628" t="str">
        <f>Sheet1!B8</f>
        <v>昌平区顺沙路58号院5号</v>
      </c>
      <c r="D17" s="1512" t="s">
        <v>3460</v>
      </c>
      <c r="E17" s="13">
        <f>IF($C$3="是",ROUND($A$3*G17/$B$3,2),ROUND($A$3*(G17-AT17)/$B$3,2))</f>
        <v>709.65</v>
      </c>
      <c r="F17" s="29"/>
      <c r="G17" s="30">
        <f>H17+AC17+AT17</f>
        <v>981.81999999999994</v>
      </c>
      <c r="H17" s="17">
        <f>SUMIF(I$12:AB$12,"总值",I17:AB17)</f>
        <v>981.81999999999994</v>
      </c>
      <c r="I17" s="1513">
        <f>Sheet1!D8</f>
        <v>598.38</v>
      </c>
      <c r="J17" s="1513"/>
      <c r="K17" s="1513">
        <f>Sheet1!E8</f>
        <v>383.44</v>
      </c>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t="str">
        <f t="shared" si="6"/>
        <v>昌平区顺沙路58号院5号</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4.25" customHeight="1">
      <c r="A18" s="6"/>
      <c r="B18" s="31"/>
      <c r="C18" s="628" t="str">
        <f>Sheet1!B9</f>
        <v>昌平区顺沙路58号院6号</v>
      </c>
      <c r="D18" s="1512" t="s">
        <v>3460</v>
      </c>
      <c r="E18" s="32">
        <f t="shared" ref="E18:E112" si="7">IF($C$3="是",ROUND($A$3*G18/$B$3,2),ROUND($A$3*(G18-AT18)/$B$3,2))</f>
        <v>891.05</v>
      </c>
      <c r="F18" s="33"/>
      <c r="G18" s="34">
        <f t="shared" ref="G18:G109" si="8">H18+AC18+AT18</f>
        <v>1232.79</v>
      </c>
      <c r="H18" s="35">
        <f t="shared" ref="H18:H109" si="9">SUMIF(I$12:AB$12,"总值",I18:AB18)</f>
        <v>1232.79</v>
      </c>
      <c r="I18" s="1513">
        <f>Sheet1!D9</f>
        <v>742.75</v>
      </c>
      <c r="J18" s="36"/>
      <c r="K18" s="1513">
        <f>Sheet1!E9</f>
        <v>490.04</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t="str">
        <f t="shared" ref="AX18:AX112" si="13">C18</f>
        <v>昌平区顺沙路58号院6号</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ht="14.25" customHeight="1">
      <c r="A19" s="6"/>
      <c r="B19" s="31"/>
      <c r="C19" s="628" t="str">
        <f>Sheet1!B10</f>
        <v>昌平区顺沙路58号院7号</v>
      </c>
      <c r="D19" s="1515" t="s">
        <v>3460</v>
      </c>
      <c r="E19" s="32">
        <f t="shared" si="7"/>
        <v>891.05</v>
      </c>
      <c r="F19" s="33"/>
      <c r="G19" s="34">
        <f t="shared" si="8"/>
        <v>1232.79</v>
      </c>
      <c r="H19" s="35">
        <f t="shared" si="9"/>
        <v>1232.79</v>
      </c>
      <c r="I19" s="1513">
        <f>Sheet1!D10</f>
        <v>742.75</v>
      </c>
      <c r="J19" s="36"/>
      <c r="K19" s="1513">
        <f>Sheet1!E10</f>
        <v>490.04</v>
      </c>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t="str">
        <f t="shared" si="13"/>
        <v>昌平区顺沙路58号院7号</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ht="14.25" customHeight="1">
      <c r="A20" s="6"/>
      <c r="B20" s="31"/>
      <c r="C20" s="628" t="str">
        <f>Sheet1!B11</f>
        <v>昌平区顺沙路58号院8号</v>
      </c>
      <c r="D20" s="1512" t="s">
        <v>3460</v>
      </c>
      <c r="E20" s="32">
        <f t="shared" si="7"/>
        <v>1379.54</v>
      </c>
      <c r="F20" s="33"/>
      <c r="G20" s="34">
        <f t="shared" si="8"/>
        <v>1908.63</v>
      </c>
      <c r="H20" s="35">
        <f t="shared" si="9"/>
        <v>1908.63</v>
      </c>
      <c r="I20" s="1513">
        <f>Sheet1!D11</f>
        <v>1118.68</v>
      </c>
      <c r="J20" s="36"/>
      <c r="K20" s="1513">
        <f>Sheet1!E11</f>
        <v>789.95</v>
      </c>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t="str">
        <f t="shared" si="13"/>
        <v>昌平区顺沙路58号院8号</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ht="14.25" customHeight="1">
      <c r="A21" s="6"/>
      <c r="B21" s="31"/>
      <c r="C21" s="628" t="str">
        <f>Sheet1!B12</f>
        <v>昌平区顺沙路58号院9号</v>
      </c>
      <c r="D21" s="1512" t="s">
        <v>3460</v>
      </c>
      <c r="E21" s="32">
        <f t="shared" si="7"/>
        <v>1379.54</v>
      </c>
      <c r="F21" s="33"/>
      <c r="G21" s="34">
        <f t="shared" si="8"/>
        <v>1908.63</v>
      </c>
      <c r="H21" s="35">
        <f t="shared" si="9"/>
        <v>1908.63</v>
      </c>
      <c r="I21" s="1513">
        <f>Sheet1!D12</f>
        <v>1118.68</v>
      </c>
      <c r="J21" s="36"/>
      <c r="K21" s="1513">
        <f>Sheet1!E12</f>
        <v>789.95</v>
      </c>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t="str">
        <f t="shared" si="13"/>
        <v>昌平区顺沙路58号院9号</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ht="14.25" customHeight="1">
      <c r="A22" s="6"/>
      <c r="B22" s="31"/>
      <c r="C22" s="628" t="str">
        <f>Sheet1!B13</f>
        <v>昌平区顺沙路58号院10号</v>
      </c>
      <c r="D22" s="1512" t="s">
        <v>3460</v>
      </c>
      <c r="E22" s="32">
        <f t="shared" si="7"/>
        <v>891.05</v>
      </c>
      <c r="F22" s="33"/>
      <c r="G22" s="34">
        <f t="shared" si="8"/>
        <v>1232.79</v>
      </c>
      <c r="H22" s="35">
        <f t="shared" si="9"/>
        <v>1232.79</v>
      </c>
      <c r="I22" s="1513">
        <f>Sheet1!D13</f>
        <v>742.75</v>
      </c>
      <c r="J22" s="36"/>
      <c r="K22" s="1513">
        <f>Sheet1!E13</f>
        <v>490.04</v>
      </c>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t="str">
        <f t="shared" si="13"/>
        <v>昌平区顺沙路58号院10号</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ht="14.25" customHeight="1">
      <c r="A23" s="6"/>
      <c r="B23" s="31"/>
      <c r="C23" s="628" t="str">
        <f>Sheet1!B14</f>
        <v>昌平区顺沙路58号院11号</v>
      </c>
      <c r="D23" s="1512" t="s">
        <v>3461</v>
      </c>
      <c r="E23" s="32">
        <f t="shared" si="7"/>
        <v>891.05</v>
      </c>
      <c r="F23" s="33"/>
      <c r="G23" s="34">
        <f t="shared" si="8"/>
        <v>1232.79</v>
      </c>
      <c r="H23" s="35">
        <f t="shared" si="9"/>
        <v>1232.79</v>
      </c>
      <c r="I23" s="1513">
        <f>Sheet1!D14</f>
        <v>742.75</v>
      </c>
      <c r="J23" s="36"/>
      <c r="K23" s="1513">
        <f>Sheet1!E14</f>
        <v>490.04</v>
      </c>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t="str">
        <f t="shared" si="13"/>
        <v>昌平区顺沙路58号院11号</v>
      </c>
      <c r="AY23" s="38">
        <f t="shared" si="14"/>
        <v>891.05</v>
      </c>
      <c r="AZ23" s="32">
        <f t="shared" si="15"/>
        <v>1232.79</v>
      </c>
      <c r="BA23" s="32">
        <f t="shared" si="16"/>
        <v>1232.79</v>
      </c>
      <c r="BB23" s="32">
        <f t="shared" si="17"/>
        <v>742.75</v>
      </c>
      <c r="BC23" s="32">
        <f t="shared" si="18"/>
        <v>490.04</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ht="14.25" customHeight="1">
      <c r="A24" s="6"/>
      <c r="B24" s="31"/>
      <c r="C24" s="628" t="str">
        <f>Sheet1!B15</f>
        <v>昌平区顺沙路58号院12号</v>
      </c>
      <c r="D24" s="1512" t="s">
        <v>3460</v>
      </c>
      <c r="E24" s="32">
        <f t="shared" si="7"/>
        <v>891.05</v>
      </c>
      <c r="F24" s="33"/>
      <c r="G24" s="34">
        <f t="shared" si="8"/>
        <v>1232.79</v>
      </c>
      <c r="H24" s="35">
        <f t="shared" si="9"/>
        <v>1232.79</v>
      </c>
      <c r="I24" s="1513">
        <f>Sheet1!D15</f>
        <v>742.75</v>
      </c>
      <c r="J24" s="36"/>
      <c r="K24" s="1513">
        <f>Sheet1!E15</f>
        <v>490.04</v>
      </c>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t="str">
        <f t="shared" si="13"/>
        <v>昌平区顺沙路58号院12号</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ht="14.25" customHeight="1">
      <c r="A25" s="6"/>
      <c r="B25" s="31"/>
      <c r="C25" s="628" t="str">
        <f>Sheet1!B16</f>
        <v>昌平区顺沙路58号院13号</v>
      </c>
      <c r="D25" s="1512" t="s">
        <v>3460</v>
      </c>
      <c r="E25" s="32">
        <f t="shared" si="7"/>
        <v>891.05</v>
      </c>
      <c r="F25" s="33"/>
      <c r="G25" s="34">
        <f t="shared" si="8"/>
        <v>1232.79</v>
      </c>
      <c r="H25" s="35">
        <f t="shared" si="9"/>
        <v>1232.79</v>
      </c>
      <c r="I25" s="1513">
        <f>Sheet1!D16</f>
        <v>742.75</v>
      </c>
      <c r="J25" s="36"/>
      <c r="K25" s="1513">
        <f>Sheet1!E16</f>
        <v>490.04</v>
      </c>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t="str">
        <f t="shared" si="13"/>
        <v>昌平区顺沙路58号院13号</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ht="14.25" customHeight="1">
      <c r="A26" s="6"/>
      <c r="B26" s="31"/>
      <c r="C26" s="628" t="str">
        <f>Sheet1!B17</f>
        <v>昌平区顺沙路58号院14号</v>
      </c>
      <c r="D26" s="1512" t="s">
        <v>3460</v>
      </c>
      <c r="E26" s="32">
        <f t="shared" si="7"/>
        <v>891.05</v>
      </c>
      <c r="F26" s="33"/>
      <c r="G26" s="34">
        <f t="shared" si="8"/>
        <v>1232.79</v>
      </c>
      <c r="H26" s="35">
        <f t="shared" si="9"/>
        <v>1232.79</v>
      </c>
      <c r="I26" s="1513">
        <f>Sheet1!D17</f>
        <v>742.75</v>
      </c>
      <c r="J26" s="36"/>
      <c r="K26" s="1513">
        <f>Sheet1!E17</f>
        <v>490.04</v>
      </c>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t="str">
        <f t="shared" si="13"/>
        <v>昌平区顺沙路58号院14号</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ht="14.25" customHeight="1">
      <c r="A27" s="6"/>
      <c r="B27" s="31"/>
      <c r="C27" s="628" t="str">
        <f>Sheet1!B18</f>
        <v>昌平区顺沙路58号院15号</v>
      </c>
      <c r="D27" s="1512" t="s">
        <v>3460</v>
      </c>
      <c r="E27" s="32">
        <f t="shared" si="7"/>
        <v>891.05</v>
      </c>
      <c r="F27" s="33"/>
      <c r="G27" s="34">
        <f t="shared" si="8"/>
        <v>1232.79</v>
      </c>
      <c r="H27" s="35">
        <f t="shared" si="9"/>
        <v>1232.79</v>
      </c>
      <c r="I27" s="1513">
        <f>Sheet1!D18</f>
        <v>742.75</v>
      </c>
      <c r="J27" s="36"/>
      <c r="K27" s="1513">
        <f>Sheet1!E18</f>
        <v>490.04</v>
      </c>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t="str">
        <f t="shared" si="13"/>
        <v>昌平区顺沙路58号院15号</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ht="14.25" customHeight="1">
      <c r="A28" s="6"/>
      <c r="B28" s="31"/>
      <c r="C28" s="628" t="str">
        <f>Sheet1!B19</f>
        <v>昌平区顺沙路58号院16号</v>
      </c>
      <c r="D28" s="1512" t="s">
        <v>3460</v>
      </c>
      <c r="E28" s="32">
        <f t="shared" si="7"/>
        <v>1348.81</v>
      </c>
      <c r="F28" s="33"/>
      <c r="G28" s="34">
        <f t="shared" si="8"/>
        <v>1866.1200000000001</v>
      </c>
      <c r="H28" s="35">
        <f t="shared" si="9"/>
        <v>1866.1200000000001</v>
      </c>
      <c r="I28" s="1513">
        <f>Sheet1!D19</f>
        <v>1129.8800000000001</v>
      </c>
      <c r="J28" s="36"/>
      <c r="K28" s="1513">
        <f>Sheet1!E19</f>
        <v>736.24</v>
      </c>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t="str">
        <f t="shared" si="13"/>
        <v>昌平区顺沙路58号院16号</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ht="14.25" customHeight="1">
      <c r="A29" s="6"/>
      <c r="B29" s="31"/>
      <c r="C29" s="628" t="str">
        <f>Sheet1!B20</f>
        <v>昌平区顺沙路58号院17号</v>
      </c>
      <c r="D29" s="1512" t="s">
        <v>3460</v>
      </c>
      <c r="E29" s="32">
        <f t="shared" si="7"/>
        <v>890.14</v>
      </c>
      <c r="F29" s="33"/>
      <c r="G29" s="34">
        <f t="shared" si="8"/>
        <v>1231.54</v>
      </c>
      <c r="H29" s="35">
        <f t="shared" si="9"/>
        <v>1231.54</v>
      </c>
      <c r="I29" s="1513">
        <f>Sheet1!D20</f>
        <v>742.75</v>
      </c>
      <c r="J29" s="36"/>
      <c r="K29" s="1513">
        <f>Sheet1!E20</f>
        <v>488.79</v>
      </c>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t="str">
        <f t="shared" si="13"/>
        <v>昌平区顺沙路58号院17号</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ht="14.25" customHeight="1">
      <c r="A30" s="6"/>
      <c r="B30" s="31"/>
      <c r="C30" s="628" t="str">
        <f>Sheet1!B21</f>
        <v>昌平区顺沙路58号院18号</v>
      </c>
      <c r="D30" s="1512" t="s">
        <v>3460</v>
      </c>
      <c r="E30" s="32">
        <f t="shared" si="7"/>
        <v>890.14</v>
      </c>
      <c r="F30" s="33"/>
      <c r="G30" s="34">
        <f t="shared" si="8"/>
        <v>1231.54</v>
      </c>
      <c r="H30" s="35">
        <f t="shared" si="9"/>
        <v>1231.54</v>
      </c>
      <c r="I30" s="1513">
        <f>Sheet1!D21</f>
        <v>742.75</v>
      </c>
      <c r="J30" s="36"/>
      <c r="K30" s="1513">
        <f>Sheet1!E21</f>
        <v>488.79</v>
      </c>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t="str">
        <f t="shared" si="13"/>
        <v>昌平区顺沙路58号院18号</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ht="14.25" customHeight="1">
      <c r="A31" s="6"/>
      <c r="B31" s="31"/>
      <c r="C31" s="628" t="str">
        <f>Sheet1!B22</f>
        <v>昌平区顺沙路58号院19号</v>
      </c>
      <c r="D31" s="1512" t="s">
        <v>3460</v>
      </c>
      <c r="E31" s="32">
        <f t="shared" si="7"/>
        <v>895.87</v>
      </c>
      <c r="F31" s="33"/>
      <c r="G31" s="34">
        <f t="shared" si="8"/>
        <v>1239.47</v>
      </c>
      <c r="H31" s="35">
        <f t="shared" si="9"/>
        <v>1239.47</v>
      </c>
      <c r="I31" s="1513">
        <f>Sheet1!D22</f>
        <v>749.43</v>
      </c>
      <c r="J31" s="36"/>
      <c r="K31" s="1513">
        <f>Sheet1!E22</f>
        <v>490.04</v>
      </c>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t="str">
        <f t="shared" si="13"/>
        <v>昌平区顺沙路58号院19号</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ht="14.25" customHeight="1">
      <c r="A32" s="6"/>
      <c r="B32" s="31"/>
      <c r="C32" s="3161" t="s">
        <v>3457</v>
      </c>
      <c r="D32" s="1512" t="s">
        <v>3460</v>
      </c>
      <c r="E32" s="32">
        <f t="shared" si="7"/>
        <v>3291.89</v>
      </c>
      <c r="F32" s="33"/>
      <c r="G32" s="34">
        <f t="shared" si="8"/>
        <v>4554.43</v>
      </c>
      <c r="H32" s="35">
        <f t="shared" si="9"/>
        <v>4554.43</v>
      </c>
      <c r="I32" s="1513">
        <f>Sheet1!D23</f>
        <v>0</v>
      </c>
      <c r="J32" s="36"/>
      <c r="K32" s="1513">
        <f>Sheet1!E23</f>
        <v>4554.43</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t="str">
        <f t="shared" si="13"/>
        <v>地下环形车道及设备用房</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1125</v>
      </c>
      <c r="B1" s="1071"/>
      <c r="C1" s="1071"/>
      <c r="D1" s="1071"/>
      <c r="E1" s="1071"/>
      <c r="F1" s="1071"/>
      <c r="G1" s="1071"/>
      <c r="H1" s="1071"/>
      <c r="I1" s="1071"/>
      <c r="J1" s="1071"/>
      <c r="K1" s="1071"/>
      <c r="L1" s="1071"/>
      <c r="M1" s="1071"/>
      <c r="N1" s="1071"/>
      <c r="O1" s="1071"/>
      <c r="P1" s="1071"/>
    </row>
    <row r="2" spans="1:16" ht="15">
      <c r="A2" s="3290" t="s">
        <v>1126</v>
      </c>
      <c r="B2" s="3290"/>
      <c r="C2" s="3290"/>
      <c r="D2" s="748" t="s">
        <v>1102</v>
      </c>
      <c r="E2" s="1522" t="s">
        <v>1103</v>
      </c>
      <c r="F2" s="2435"/>
      <c r="G2" s="2428"/>
      <c r="H2" s="2429"/>
      <c r="I2" s="2143" t="s">
        <v>1127</v>
      </c>
      <c r="J2" s="2435"/>
      <c r="K2" s="2435"/>
      <c r="L2" s="2435"/>
      <c r="M2" s="2435"/>
      <c r="N2" s="2436"/>
      <c r="O2" s="2435"/>
      <c r="P2" s="2435"/>
    </row>
    <row r="3" spans="1:16" ht="15.75" thickBot="1">
      <c r="A3" s="3291" t="s">
        <v>1100</v>
      </c>
      <c r="B3" s="3291"/>
      <c r="C3" s="3291"/>
      <c r="D3" s="41">
        <f>'数据-基础表'!AY6</f>
        <v>891.05</v>
      </c>
      <c r="E3" s="41">
        <f>'数据-基础表'!AZ5</f>
        <v>1232.79</v>
      </c>
      <c r="F3" s="2435"/>
      <c r="G3" s="42"/>
      <c r="H3" s="43" t="s">
        <v>1101</v>
      </c>
      <c r="I3" s="802">
        <f>ROUND('数据-基础表'!B3/'数据-基础表'!A3,2)</f>
        <v>1.38</v>
      </c>
      <c r="J3" s="2435"/>
      <c r="K3" s="2435"/>
      <c r="L3" s="2435"/>
      <c r="M3" s="2435"/>
      <c r="N3" s="2436"/>
      <c r="O3" s="2435"/>
      <c r="P3" s="2435"/>
    </row>
    <row r="4" spans="1:16" ht="15">
      <c r="A4" s="3292"/>
      <c r="B4" s="3293"/>
      <c r="C4" s="3294"/>
      <c r="D4" s="1523" t="s">
        <v>1102</v>
      </c>
      <c r="E4" s="1524" t="s">
        <v>1103</v>
      </c>
      <c r="F4" s="2435"/>
      <c r="G4" s="2430" t="s">
        <v>1128</v>
      </c>
      <c r="H4" s="43" t="s">
        <v>1108</v>
      </c>
      <c r="I4" s="802">
        <f>ROUND(SUMIF('数据-基础表'!I9:AS9,"地上",'数据-基础表'!I5:AS5)/'数据-基础表'!A3,2)</f>
        <v>0.72</v>
      </c>
      <c r="J4" s="2435"/>
      <c r="K4" s="2435"/>
      <c r="L4" s="2435"/>
      <c r="M4" s="2435"/>
      <c r="N4" s="2436"/>
      <c r="O4" s="2435"/>
      <c r="P4" s="2435"/>
    </row>
    <row r="5" spans="1:16">
      <c r="A5" s="42" t="s">
        <v>1104</v>
      </c>
      <c r="B5" s="3295" t="s">
        <v>1105</v>
      </c>
      <c r="C5" s="3295"/>
      <c r="D5" s="43">
        <f>ROUND($D$3*E5/$E$3,2)</f>
        <v>0</v>
      </c>
      <c r="E5" s="44">
        <f>SUMIF('数据-基础表'!$11:$11,"住宅",'数据-基础表'!$5:$5)</f>
        <v>0</v>
      </c>
      <c r="F5" s="2435"/>
      <c r="G5" s="42"/>
      <c r="H5" s="43" t="s">
        <v>1101</v>
      </c>
      <c r="I5" s="802">
        <f>ROUND(E31/D31,2)</f>
        <v>1.38</v>
      </c>
      <c r="J5" s="2435"/>
      <c r="K5" s="2435"/>
      <c r="L5" s="2435"/>
      <c r="M5" s="2435"/>
      <c r="N5" s="2435"/>
      <c r="O5" s="2435"/>
      <c r="P5" s="2435"/>
    </row>
    <row r="6" spans="1:16" ht="15" thickBot="1">
      <c r="A6" s="1526"/>
      <c r="B6" s="3295" t="s">
        <v>1106</v>
      </c>
      <c r="C6" s="3295"/>
      <c r="D6" s="43">
        <f>ROUND($D$3*E6/$E$3,2)</f>
        <v>891.05</v>
      </c>
      <c r="E6" s="44">
        <f>E3-E5</f>
        <v>1232.79</v>
      </c>
      <c r="F6" s="2435"/>
      <c r="G6" s="1528" t="s">
        <v>1107</v>
      </c>
      <c r="H6" s="45" t="s">
        <v>1108</v>
      </c>
      <c r="I6" s="2431">
        <f>ROUND(F31/D31,2)</f>
        <v>0.83</v>
      </c>
      <c r="J6" s="2435"/>
      <c r="K6" s="2435"/>
      <c r="L6" s="2435"/>
      <c r="M6" s="2435"/>
      <c r="N6" s="2435"/>
      <c r="O6" s="2435"/>
      <c r="P6" s="2435"/>
    </row>
    <row r="7" spans="1:16" ht="15.75" thickBot="1">
      <c r="A7" s="3287"/>
      <c r="B7" s="3288"/>
      <c r="C7" s="3289"/>
      <c r="D7" s="1523" t="s">
        <v>1102</v>
      </c>
      <c r="E7" s="1527" t="s">
        <v>1109</v>
      </c>
      <c r="F7" s="2435"/>
      <c r="G7" s="2432" t="s">
        <v>1110</v>
      </c>
      <c r="H7" s="95"/>
      <c r="I7" s="2433">
        <v>1</v>
      </c>
      <c r="J7" s="2435"/>
      <c r="K7" s="2435"/>
      <c r="L7" s="2435"/>
      <c r="M7" s="2435"/>
      <c r="N7" s="2435"/>
      <c r="O7" s="2435"/>
      <c r="P7" s="2435"/>
    </row>
    <row r="8" spans="1:16">
      <c r="A8" s="42" t="s">
        <v>1111</v>
      </c>
      <c r="B8" s="45" t="s">
        <v>1112</v>
      </c>
      <c r="C8" s="43" t="s">
        <v>1113</v>
      </c>
      <c r="D8" s="43">
        <f t="shared" ref="D8:D15" si="0">ROUND($D$3*E8/$E$3,2)</f>
        <v>536.85</v>
      </c>
      <c r="E8" s="46">
        <f>SUMIF('数据-基础表'!BB10:BK10,"地上",'数据-基础表'!BB5:BK5)</f>
        <v>742.75</v>
      </c>
      <c r="F8" s="2435"/>
      <c r="G8" s="2435"/>
      <c r="H8" s="2435"/>
      <c r="I8" s="2435"/>
      <c r="J8" s="2435"/>
      <c r="K8" s="2435"/>
      <c r="L8" s="2435"/>
      <c r="M8" s="2435"/>
      <c r="N8" s="2435"/>
      <c r="O8" s="2435"/>
      <c r="P8" s="2435"/>
    </row>
    <row r="9" spans="1:16">
      <c r="A9" s="1528"/>
      <c r="B9" s="1529"/>
      <c r="C9" s="43" t="s">
        <v>1114</v>
      </c>
      <c r="D9" s="43">
        <f t="shared" si="0"/>
        <v>0</v>
      </c>
      <c r="E9" s="47">
        <v>0</v>
      </c>
      <c r="F9" s="2435"/>
      <c r="G9" s="2435"/>
      <c r="H9" s="2435"/>
      <c r="I9" s="2435"/>
      <c r="J9" s="2435"/>
      <c r="K9" s="2435"/>
      <c r="L9" s="2435"/>
      <c r="M9" s="2435"/>
      <c r="N9" s="2435"/>
      <c r="O9" s="2435"/>
      <c r="P9" s="2435"/>
    </row>
    <row r="10" spans="1:16">
      <c r="A10" s="1528"/>
      <c r="B10" s="1529"/>
      <c r="C10" s="43" t="s">
        <v>1123</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8"/>
      <c r="B11" s="1529"/>
      <c r="C11" s="43" t="s">
        <v>1115</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8"/>
      <c r="B12" s="1529"/>
      <c r="C12" s="43" t="s">
        <v>1116</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8"/>
      <c r="B13" s="1529"/>
      <c r="C13" s="43" t="s">
        <v>1117</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8"/>
      <c r="B14" s="1529"/>
      <c r="C14" s="43" t="s">
        <v>1129</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8"/>
      <c r="B15" s="1529"/>
      <c r="C15" s="43" t="s">
        <v>1124</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6"/>
      <c r="B16" s="1529"/>
      <c r="C16" s="45" t="s">
        <v>1118</v>
      </c>
      <c r="D16" s="45">
        <f>SUM(D8:D15)</f>
        <v>536.85</v>
      </c>
      <c r="E16" s="48">
        <f>SUM(E8:E15)</f>
        <v>742.75</v>
      </c>
      <c r="F16" s="2435"/>
      <c r="G16" s="2435"/>
      <c r="H16" s="1530" t="s">
        <v>1130</v>
      </c>
      <c r="I16" s="1531"/>
      <c r="J16" s="1071"/>
      <c r="K16" s="3284" t="s">
        <v>1130</v>
      </c>
      <c r="L16" s="3285"/>
      <c r="M16" s="3285"/>
      <c r="N16" s="3285"/>
      <c r="O16" s="3285"/>
      <c r="P16" s="3286"/>
    </row>
    <row r="17" spans="1:19" ht="15">
      <c r="A17" s="1532" t="s">
        <v>1131</v>
      </c>
      <c r="B17" s="1533" t="s">
        <v>1132</v>
      </c>
      <c r="C17" s="1534" t="s">
        <v>1133</v>
      </c>
      <c r="D17" s="1535" t="s">
        <v>1121</v>
      </c>
      <c r="E17" s="1536" t="s">
        <v>1122</v>
      </c>
      <c r="F17" s="1537"/>
      <c r="G17" s="1538"/>
      <c r="H17" s="1539" t="s">
        <v>1134</v>
      </c>
      <c r="I17" s="1540" t="s">
        <v>1119</v>
      </c>
      <c r="J17" s="1071"/>
      <c r="K17" s="3281" t="s">
        <v>1135</v>
      </c>
      <c r="L17" s="3282"/>
      <c r="M17" s="3283"/>
      <c r="N17" s="3281" t="s">
        <v>1136</v>
      </c>
      <c r="O17" s="3282"/>
      <c r="P17" s="3283"/>
      <c r="R17" s="769" t="s">
        <v>1137</v>
      </c>
      <c r="S17" s="54"/>
    </row>
    <row r="18" spans="1:19" ht="15">
      <c r="A18" s="1528"/>
      <c r="B18" s="1525"/>
      <c r="C18" s="1541"/>
      <c r="D18" s="1542"/>
      <c r="E18" s="1543" t="s">
        <v>1138</v>
      </c>
      <c r="F18" s="1544" t="s">
        <v>1139</v>
      </c>
      <c r="G18" s="1545" t="s">
        <v>1140</v>
      </c>
      <c r="H18" s="980" t="s">
        <v>1141</v>
      </c>
      <c r="I18" s="1546" t="s">
        <v>1142</v>
      </c>
      <c r="J18" s="1071"/>
      <c r="K18" s="980" t="s">
        <v>1143</v>
      </c>
      <c r="L18" s="1547" t="s">
        <v>1144</v>
      </c>
      <c r="M18" s="802" t="s">
        <v>1145</v>
      </c>
      <c r="N18" s="980" t="s">
        <v>1143</v>
      </c>
      <c r="O18" s="1547" t="s">
        <v>1144</v>
      </c>
      <c r="P18" s="802" t="s">
        <v>1145</v>
      </c>
      <c r="R18" s="43" t="s">
        <v>1146</v>
      </c>
      <c r="S18" s="43" t="s">
        <v>1147</v>
      </c>
    </row>
    <row r="19" spans="1:19">
      <c r="A19" s="1548"/>
      <c r="B19" s="45" t="s">
        <v>1120</v>
      </c>
      <c r="C19" s="3112" t="s">
        <v>3907</v>
      </c>
      <c r="D19" s="43">
        <f>ROUND($D$3*E19/$E$3,2)</f>
        <v>891.05</v>
      </c>
      <c r="E19" s="51">
        <f t="shared" ref="E19:E26" si="1">SUM(F19:G19)</f>
        <v>1232.79</v>
      </c>
      <c r="F19" s="2554">
        <f>'数据-基础表'!I23</f>
        <v>742.75</v>
      </c>
      <c r="G19" s="1242">
        <f>'数据-基础表'!K23</f>
        <v>490.04</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891.05</v>
      </c>
      <c r="S19" s="51">
        <f t="shared" si="5"/>
        <v>1232.79</v>
      </c>
    </row>
    <row r="20" spans="1:19">
      <c r="A20" s="1548"/>
      <c r="B20" s="45" t="s">
        <v>1148</v>
      </c>
      <c r="C20" s="3112"/>
      <c r="D20" s="43">
        <f t="shared" ref="D20:D26" si="6">ROUND($D$3*E20/$E$3,2)</f>
        <v>0</v>
      </c>
      <c r="E20" s="51">
        <f t="shared" si="1"/>
        <v>0</v>
      </c>
      <c r="F20" s="2554"/>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1148</v>
      </c>
      <c r="C21" s="3112"/>
      <c r="D21" s="43">
        <f t="shared" si="6"/>
        <v>0</v>
      </c>
      <c r="E21" s="51">
        <f t="shared" si="1"/>
        <v>0</v>
      </c>
      <c r="F21" s="2554"/>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1148</v>
      </c>
      <c r="C22" s="3113"/>
      <c r="D22" s="43">
        <f t="shared" si="6"/>
        <v>0</v>
      </c>
      <c r="E22" s="51">
        <f t="shared" si="1"/>
        <v>0</v>
      </c>
      <c r="F22" s="2555"/>
      <c r="G22" s="2556"/>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1148</v>
      </c>
      <c r="C23" s="3113"/>
      <c r="D23" s="43">
        <f>ROUND($D$3*E23/$E$3,2)</f>
        <v>0</v>
      </c>
      <c r="E23" s="51">
        <f>SUM(F23:G23)</f>
        <v>0</v>
      </c>
      <c r="F23" s="2555"/>
      <c r="G23" s="2556"/>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1148</v>
      </c>
      <c r="C24" s="3113"/>
      <c r="D24" s="43">
        <f>ROUND($D$3*E24/$E$3,2)</f>
        <v>0</v>
      </c>
      <c r="E24" s="51">
        <f>SUM(F24:G24)</f>
        <v>0</v>
      </c>
      <c r="F24" s="2555"/>
      <c r="G24" s="2556"/>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1148</v>
      </c>
      <c r="C25" s="3113"/>
      <c r="D25" s="43">
        <f t="shared" si="6"/>
        <v>0</v>
      </c>
      <c r="E25" s="51">
        <f t="shared" si="1"/>
        <v>0</v>
      </c>
      <c r="F25" s="2555"/>
      <c r="G25" s="2556"/>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1148</v>
      </c>
      <c r="C26" s="53"/>
      <c r="D26" s="43">
        <f t="shared" si="6"/>
        <v>0</v>
      </c>
      <c r="E26" s="51">
        <f t="shared" si="1"/>
        <v>0</v>
      </c>
      <c r="F26" s="2555"/>
      <c r="G26" s="2556"/>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1149</v>
      </c>
      <c r="D27" s="1072">
        <f>SUM(D19:D26)</f>
        <v>891.05</v>
      </c>
      <c r="E27" s="1073">
        <f>IF(SUM(E19:E26)='数据-基础表'!BA5,SUM(E19:E26),IF(F27="地上面积有误","面积有误","地下面积有误"))</f>
        <v>1232.79</v>
      </c>
      <c r="F27" s="1072">
        <f>IF(SUM(F19:F26)=E8,SUM(F19:F26),"地上面积有误")</f>
        <v>742.75</v>
      </c>
      <c r="G27" s="1074">
        <f>SUM(G19:G26)</f>
        <v>490.04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891.05</v>
      </c>
      <c r="S27" s="43">
        <f>IF(SUM(S19:S26)=$E$3,SUM(S19:S26),SUM(S19:S26)&amp;"误差"&amp;ROUND(SUM(S19:S26)-E3,2))</f>
        <v>1232.79</v>
      </c>
    </row>
    <row r="28" spans="1:19">
      <c r="A28" s="1548"/>
      <c r="B28" s="45" t="s">
        <v>1150</v>
      </c>
      <c r="C28" s="54" t="s">
        <v>1151</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8"/>
      <c r="B29" s="45" t="s">
        <v>1150</v>
      </c>
      <c r="C29" s="1554" t="s">
        <v>1152</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8"/>
      <c r="B30" s="45"/>
      <c r="C30" s="1555" t="s">
        <v>1149</v>
      </c>
      <c r="D30" s="1072">
        <f>SUM(D28:D29)</f>
        <v>0</v>
      </c>
      <c r="E30" s="1072">
        <f>SUM(E28:E29)</f>
        <v>0</v>
      </c>
      <c r="F30" s="1072">
        <f>SUM(F28:F29)</f>
        <v>0</v>
      </c>
      <c r="G30" s="1074">
        <f>SUM(G28:G29)</f>
        <v>0</v>
      </c>
      <c r="H30" s="2435"/>
      <c r="I30" s="2435"/>
      <c r="J30" s="2435"/>
      <c r="K30" s="2435"/>
      <c r="L30" s="2435"/>
      <c r="M30" s="2435"/>
      <c r="N30" s="2435"/>
      <c r="O30" s="2435"/>
      <c r="P30" s="2435"/>
    </row>
    <row r="31" spans="1:19" ht="15.75" thickBot="1">
      <c r="A31" s="1556"/>
      <c r="B31" s="96"/>
      <c r="C31" s="785" t="s">
        <v>1153</v>
      </c>
      <c r="D31" s="643">
        <f>D27+D30</f>
        <v>891.05</v>
      </c>
      <c r="E31" s="643">
        <f>E27+E30</f>
        <v>1232.79</v>
      </c>
      <c r="F31" s="644">
        <f>F27+F30</f>
        <v>742.75</v>
      </c>
      <c r="G31" s="645">
        <f>G27+G30</f>
        <v>490.04</v>
      </c>
      <c r="H31" s="2435"/>
      <c r="I31" s="2435"/>
      <c r="J31" s="2435"/>
      <c r="K31" s="2435"/>
      <c r="L31" s="2435"/>
      <c r="M31" s="2435"/>
      <c r="N31" s="2435"/>
      <c r="O31" s="2435"/>
      <c r="P31" s="2435"/>
    </row>
    <row r="32" spans="1:19">
      <c r="A32" s="1525"/>
      <c r="B32" s="1525" t="s">
        <v>1154</v>
      </c>
      <c r="C32" s="1525"/>
      <c r="D32" s="1525"/>
      <c r="E32" s="990">
        <f>SUMIF(C19:C26,"*住宅*",E19:E26)</f>
        <v>0</v>
      </c>
      <c r="F32" s="1525"/>
      <c r="G32" s="1525"/>
      <c r="H32" s="2435"/>
      <c r="I32" s="2435"/>
      <c r="J32" s="2435"/>
      <c r="K32" s="2435"/>
      <c r="L32" s="2435"/>
      <c r="M32" s="2435"/>
      <c r="N32" s="2435"/>
      <c r="O32" s="2435"/>
      <c r="P32" s="2435"/>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I27" sqref="I2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1155</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0" customFormat="1" ht="15.75" thickBot="1">
      <c r="A2" s="1561" t="s">
        <v>1156</v>
      </c>
      <c r="B2" s="984">
        <f>项目基本情况!D3</f>
        <v>45383</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5"/>
      <c r="AO2" s="2435"/>
      <c r="AP2" s="2435"/>
      <c r="AQ2" s="2435"/>
      <c r="AR2" s="2435"/>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5"/>
      <c r="AO3" s="2435"/>
      <c r="AP3" s="2435"/>
      <c r="AQ3" s="2435"/>
      <c r="AR3" s="2435"/>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1157</v>
      </c>
      <c r="B4" s="1563"/>
      <c r="C4" s="1564"/>
      <c r="D4" s="1565"/>
      <c r="E4" s="1564" t="s">
        <v>1158</v>
      </c>
      <c r="F4" s="1564"/>
      <c r="G4" s="1564"/>
      <c r="H4" s="1564"/>
      <c r="I4" s="1564"/>
      <c r="J4" s="1566"/>
      <c r="K4" s="1567"/>
      <c r="L4" s="1568"/>
      <c r="M4" s="1564"/>
      <c r="N4" s="1564" t="s">
        <v>1159</v>
      </c>
      <c r="O4" s="1564"/>
      <c r="P4" s="1564"/>
      <c r="Q4" s="1564"/>
      <c r="R4" s="1564"/>
      <c r="S4" s="1566"/>
      <c r="T4" s="2434" t="str">
        <f>'数据-汇总表'!I17</f>
        <v>按面积比例</v>
      </c>
      <c r="U4" s="1563" t="s">
        <v>1160</v>
      </c>
      <c r="V4" s="1564"/>
      <c r="W4" s="1564"/>
      <c r="X4" s="1564"/>
      <c r="Y4" s="1566"/>
      <c r="Z4" s="1534" t="s">
        <v>1161</v>
      </c>
      <c r="AA4" s="1534"/>
      <c r="AB4" s="1534"/>
      <c r="AC4" s="1534"/>
      <c r="AD4" s="1534"/>
      <c r="AE4" s="1532" t="s">
        <v>1162</v>
      </c>
      <c r="AF4" s="1534"/>
      <c r="AG4" s="1569"/>
      <c r="AH4" s="1563"/>
      <c r="AI4" s="1564"/>
      <c r="AJ4" s="1564"/>
      <c r="AK4" s="1564"/>
      <c r="AL4" s="1564"/>
      <c r="AM4" s="1566"/>
      <c r="AN4" s="2435"/>
      <c r="AO4" s="2435"/>
      <c r="AP4" s="2435"/>
      <c r="AQ4" s="2435"/>
      <c r="AR4" s="2435"/>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1163</v>
      </c>
      <c r="B5" s="1571" t="s">
        <v>1164</v>
      </c>
      <c r="C5" s="1572" t="s">
        <v>1165</v>
      </c>
      <c r="D5" s="1573" t="s">
        <v>1166</v>
      </c>
      <c r="E5" s="504" t="s">
        <v>1167</v>
      </c>
      <c r="F5" s="1574" t="s">
        <v>1168</v>
      </c>
      <c r="G5" s="504" t="s">
        <v>1169</v>
      </c>
      <c r="H5" s="504" t="s">
        <v>1170</v>
      </c>
      <c r="I5" s="504" t="s">
        <v>1171</v>
      </c>
      <c r="J5" s="1246" t="s">
        <v>1172</v>
      </c>
      <c r="K5" s="1575" t="s">
        <v>1173</v>
      </c>
      <c r="L5" s="1576" t="s">
        <v>1174</v>
      </c>
      <c r="M5" s="1577" t="s">
        <v>1175</v>
      </c>
      <c r="N5" s="1578" t="s">
        <v>3462</v>
      </c>
      <c r="O5" s="1576" t="s">
        <v>1176</v>
      </c>
      <c r="P5" s="1579" t="s">
        <v>1177</v>
      </c>
      <c r="Q5" s="58" t="s">
        <v>1178</v>
      </c>
      <c r="R5" s="1580" t="s">
        <v>1179</v>
      </c>
      <c r="S5" s="1581" t="s">
        <v>1180</v>
      </c>
      <c r="T5" s="1582" t="s">
        <v>1181</v>
      </c>
      <c r="U5" s="985" t="s">
        <v>1182</v>
      </c>
      <c r="V5" s="504" t="s">
        <v>1183</v>
      </c>
      <c r="W5" s="504" t="s">
        <v>1184</v>
      </c>
      <c r="X5" s="60"/>
      <c r="Y5" s="59" t="s">
        <v>1185</v>
      </c>
      <c r="Z5" s="1100" t="s">
        <v>1182</v>
      </c>
      <c r="AA5" s="504" t="s">
        <v>1183</v>
      </c>
      <c r="AB5" s="504" t="s">
        <v>1184</v>
      </c>
      <c r="AC5" s="60"/>
      <c r="AD5" s="60" t="s">
        <v>1185</v>
      </c>
      <c r="AE5" s="985" t="s">
        <v>1186</v>
      </c>
      <c r="AF5" s="504" t="s">
        <v>1187</v>
      </c>
      <c r="AG5" s="59" t="s">
        <v>1188</v>
      </c>
      <c r="AH5" s="985" t="s">
        <v>1189</v>
      </c>
      <c r="AI5" s="1100" t="s">
        <v>1190</v>
      </c>
      <c r="AJ5" s="1100" t="s">
        <v>1191</v>
      </c>
      <c r="AK5" s="504" t="s">
        <v>1192</v>
      </c>
      <c r="AL5" s="504" t="s">
        <v>1193</v>
      </c>
      <c r="AM5" s="59" t="s">
        <v>1194</v>
      </c>
      <c r="AN5" s="1583" t="s">
        <v>1195</v>
      </c>
      <c r="AO5" s="1453" t="s">
        <v>1196</v>
      </c>
      <c r="AP5" s="968" t="s">
        <v>1197</v>
      </c>
      <c r="AQ5" s="1584" t="s">
        <v>1198</v>
      </c>
      <c r="AR5" s="1584" t="s">
        <v>1199</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11号楼</v>
      </c>
      <c r="B6" s="1586" t="str">
        <f>IF(A6=0,"","经营性")</f>
        <v>经营性</v>
      </c>
      <c r="C6" s="1587" t="s">
        <v>21</v>
      </c>
      <c r="D6" s="805">
        <f>SUMIF(项目基本情况!C$12:I$12,C6,项目基本情况!C$14:I$14)</f>
        <v>50</v>
      </c>
      <c r="E6" s="804">
        <f>IF(B6="","",SUMIF(项目基本情况!C$12:I$12,C6,项目基本情况!C$13:I$13))</f>
        <v>58567</v>
      </c>
      <c r="F6" s="61">
        <f>SUMIF(项目基本情况!C$12:I$12,C6,项目基本情况!C$15:I$15)</f>
        <v>36.119999999999997</v>
      </c>
      <c r="G6" s="62">
        <f>IF(ISERROR(ROUND(POWER(1+H6,D6-F6)*(POWER(1+H6,F6)-1)/(POWER(1+H6,D6)-1),3)),0,ROUND(POWER(1+H6,D6-F6)*(POWER(1+H6,F6)-1)/(POWER(1+H6,D6)-1),3))</f>
        <v>0.91900000000000004</v>
      </c>
      <c r="H6" s="691">
        <v>5.5E-2</v>
      </c>
      <c r="I6" s="691">
        <v>0.06</v>
      </c>
      <c r="J6" s="63">
        <v>7.4999999999999997E-2</v>
      </c>
      <c r="K6" s="970">
        <f>SUMIF('数据-汇总表'!C$19:C$33,A6,'数据-汇总表'!E$19:E$33)</f>
        <v>1232.79</v>
      </c>
      <c r="L6" s="3187">
        <v>9000</v>
      </c>
      <c r="M6" s="64">
        <f t="shared" ref="M6:M14" si="0">ROUND(K6*L6/10000,0)</f>
        <v>1110</v>
      </c>
      <c r="N6" s="690">
        <f>ROUND(1-(2024-2019)/60,2)</f>
        <v>0.92</v>
      </c>
      <c r="O6" s="64" t="str">
        <f>IF($N$5="成新度","——",ROUND(M6*N6,0))</f>
        <v>——</v>
      </c>
      <c r="P6" s="65" t="str">
        <f>IF($N$5="成新度","——",M6-O6)</f>
        <v>——</v>
      </c>
      <c r="Q6" s="3188">
        <v>0.18</v>
      </c>
      <c r="R6" s="66">
        <f ca="1">SUMIF('数据-汇总表'!C$19:C$33,A6,'数据-汇总表'!R$19:R$27)</f>
        <v>891.05</v>
      </c>
      <c r="S6" s="49">
        <f>IF('数据-汇总表'!$I$17="按面积比例",SUMIF('数据-汇总表'!C$19:C$33,A6,'数据-汇总表'!K$19:K$33),SUMIF('数据-汇总表'!C$19:C$33,A6,'数据-汇总表'!N$19:N$33))</f>
        <v>0</v>
      </c>
      <c r="T6" s="1092">
        <f>ROUND($L$14*S6/10000,0)</f>
        <v>0</v>
      </c>
      <c r="U6" s="3189">
        <v>2.2999999999999998</v>
      </c>
      <c r="V6" s="67">
        <v>0.02</v>
      </c>
      <c r="W6" s="67">
        <v>0.2</v>
      </c>
      <c r="X6" s="979"/>
      <c r="Y6" s="68">
        <f>N6</f>
        <v>0.92</v>
      </c>
      <c r="Z6" s="69"/>
      <c r="AA6" s="63"/>
      <c r="AB6" s="63"/>
      <c r="AC6" s="979"/>
      <c r="AD6" s="70"/>
      <c r="AE6" s="980">
        <f ca="1">IF(AN6="",0,SUMIF(INDIRECT("'"&amp;AN6&amp;"'"&amp;"!E:E"),$AE$5,INDIRECT("'"&amp;AN6&amp;"'"&amp;"!F:F")))</f>
        <v>36.119999999999997</v>
      </c>
      <c r="AF6" s="74"/>
      <c r="AG6" s="130">
        <f>IF(AF6="",0,AE6-AF6)</f>
        <v>0</v>
      </c>
      <c r="AH6" s="71"/>
      <c r="AI6" s="73">
        <v>365</v>
      </c>
      <c r="AJ6" s="74"/>
      <c r="AK6" s="3190">
        <v>5.0000000000000001E-3</v>
      </c>
      <c r="AL6" s="76">
        <v>2E-3</v>
      </c>
      <c r="AM6" s="77">
        <v>0.02</v>
      </c>
      <c r="AN6" s="1588" t="s">
        <v>3463</v>
      </c>
      <c r="AO6" s="50">
        <f ca="1">SUMIF(INDIRECT("'"&amp;AN6&amp;"'"&amp;"!A:A"),"总价",INDIRECT("'"&amp;AN6&amp;"'"&amp;"!B:B"))</f>
        <v>1100</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4"/>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3"/>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3"/>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3"/>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3"/>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5"/>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hidden="1">
      <c r="A14" s="1590" t="s">
        <v>1200</v>
      </c>
      <c r="B14" s="1586" t="s">
        <v>1201</v>
      </c>
      <c r="C14" s="1591" t="s">
        <v>1200</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5"/>
      <c r="AO14" s="2435"/>
      <c r="AP14" s="2435"/>
      <c r="AQ14" s="2435"/>
      <c r="AR14" s="2435"/>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1202</v>
      </c>
      <c r="B15" s="1586" t="s">
        <v>1201</v>
      </c>
      <c r="C15" s="1591" t="s">
        <v>1203</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5"/>
      <c r="AO15" s="2435"/>
      <c r="AP15" s="2435"/>
      <c r="AQ15" s="2435"/>
      <c r="AR15" s="2435"/>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1204</v>
      </c>
      <c r="B16" s="82"/>
      <c r="C16" s="783"/>
      <c r="D16" s="1593"/>
      <c r="E16" s="82"/>
      <c r="F16" s="82"/>
      <c r="G16" s="83">
        <f>ROUND(SUMPRODUCT(G6:G13,K6:K13)/SUMPRODUCT((G6:G13&gt;0)*(K6:K13)),3)</f>
        <v>0.91900000000000004</v>
      </c>
      <c r="H16" s="84">
        <f>ROUND(SUMPRODUCT(H6:H13,K6:K13)/SUMPRODUCT((H6:H13&gt;0)*(K6:K13)),3)</f>
        <v>5.5E-2</v>
      </c>
      <c r="I16" s="85"/>
      <c r="J16" s="85"/>
      <c r="K16" s="86">
        <f>SUM(K6:K15)</f>
        <v>1232.79</v>
      </c>
      <c r="L16" s="87">
        <f>ROUND(M16*10000/SUM(K6:K14),0)</f>
        <v>9004</v>
      </c>
      <c r="M16" s="87">
        <f>SUM(M6:M14)</f>
        <v>1110</v>
      </c>
      <c r="N16" s="88">
        <f>ROUND(SUMPRODUCT(M6:M14,N6:N14)/M16,3)</f>
        <v>0.92</v>
      </c>
      <c r="O16" s="87">
        <f>SUM(O6:O14)</f>
        <v>0</v>
      </c>
      <c r="P16" s="87">
        <f>SUM(P6:P14)</f>
        <v>0</v>
      </c>
      <c r="Q16" s="89">
        <f>ROUND(SUMPRODUCT(Q6:Q13,K6:K13)/SUMPRODUCT((Q6:Q13&gt;0)*(K6:K13)),2)</f>
        <v>0.18</v>
      </c>
      <c r="R16" s="974">
        <f ca="1">SUM(R6:R13)</f>
        <v>891.05</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5"/>
      <c r="AP16" s="2435"/>
      <c r="AQ16" s="2435"/>
      <c r="AR16" s="2435"/>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1205</v>
      </c>
      <c r="B18" s="2457"/>
      <c r="C18" s="2435"/>
      <c r="D18" s="2448"/>
      <c r="E18" s="2435"/>
      <c r="F18" s="2435"/>
      <c r="G18" s="2435"/>
      <c r="H18" s="2435"/>
      <c r="I18" s="2435"/>
      <c r="J18" s="2435"/>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5" t="s">
        <v>1206</v>
      </c>
      <c r="B19" s="97">
        <v>0</v>
      </c>
      <c r="C19" s="2557" t="s">
        <v>2288</v>
      </c>
      <c r="D19" s="2448"/>
      <c r="E19" s="2435"/>
      <c r="F19" s="2435"/>
      <c r="G19" s="2435"/>
      <c r="H19" s="2435"/>
      <c r="I19" s="2435"/>
      <c r="J19" s="2435"/>
      <c r="K19" s="2446"/>
      <c r="L19" s="2446"/>
      <c r="M19" s="2445"/>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6" t="s">
        <v>1207</v>
      </c>
      <c r="B20" s="98">
        <v>3</v>
      </c>
      <c r="C20" s="2558" t="s">
        <v>2286</v>
      </c>
      <c r="D20" s="2448"/>
      <c r="E20" s="2435"/>
      <c r="F20" s="2435"/>
      <c r="G20" s="2435"/>
      <c r="H20" s="2435"/>
      <c r="I20" s="2435"/>
      <c r="J20" s="2435"/>
      <c r="K20" s="2446"/>
      <c r="L20" s="2446"/>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7" t="s">
        <v>1208</v>
      </c>
      <c r="B21" s="98">
        <v>3</v>
      </c>
      <c r="C21" s="2435"/>
      <c r="D21" s="2448"/>
      <c r="E21" s="2435"/>
      <c r="F21" s="2435"/>
      <c r="G21" s="2435"/>
      <c r="H21" s="2435"/>
      <c r="I21" s="2435"/>
      <c r="J21" s="2435"/>
      <c r="K21" s="2446"/>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6" t="s">
        <v>1209</v>
      </c>
      <c r="B22" s="99">
        <f>B19+B20</f>
        <v>3</v>
      </c>
      <c r="C22" s="2435"/>
      <c r="D22" s="2448"/>
      <c r="E22" s="2435"/>
      <c r="F22" s="2435"/>
      <c r="G22" s="2435"/>
      <c r="H22" s="2435"/>
      <c r="I22" s="2435"/>
      <c r="J22" s="2435"/>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7" t="s">
        <v>1210</v>
      </c>
      <c r="B23" s="99">
        <f>B19+B21</f>
        <v>3</v>
      </c>
      <c r="C23" s="2435"/>
      <c r="D23" s="2448"/>
      <c r="E23" s="2435"/>
      <c r="F23" s="2435"/>
      <c r="G23" s="2435"/>
      <c r="H23" s="2435"/>
      <c r="I23" s="2435"/>
      <c r="J23" s="2435"/>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1211</v>
      </c>
      <c r="B24" s="100">
        <f>B20-B21</f>
        <v>0</v>
      </c>
      <c r="C24" s="2435"/>
      <c r="D24" s="2448"/>
      <c r="E24" s="2435"/>
      <c r="F24" s="2435"/>
      <c r="G24" s="2435"/>
      <c r="H24" s="2435"/>
      <c r="I24" s="2435"/>
      <c r="J24" s="2435"/>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8"/>
      <c r="B25" s="1541"/>
      <c r="C25" s="2435"/>
      <c r="D25" s="2448"/>
      <c r="E25" s="2435"/>
      <c r="F25" s="2435"/>
      <c r="G25" s="2435"/>
      <c r="H25" s="2435"/>
      <c r="I25" s="2435"/>
      <c r="J25" s="2435"/>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1212</v>
      </c>
      <c r="B26" s="1599" t="s">
        <v>1213</v>
      </c>
      <c r="C26" s="2449" t="s">
        <v>1214</v>
      </c>
      <c r="D26" s="2448"/>
      <c r="E26" s="2435"/>
      <c r="F26" s="2435"/>
      <c r="G26" s="2435"/>
      <c r="H26" s="2435"/>
      <c r="I26" s="2435"/>
      <c r="J26" s="2435"/>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600" t="s">
        <v>1215</v>
      </c>
      <c r="B27" s="101">
        <v>160</v>
      </c>
      <c r="C27" s="2559" t="s">
        <v>2290</v>
      </c>
      <c r="D27" s="2451"/>
      <c r="E27" s="2436"/>
      <c r="F27" s="2436"/>
      <c r="G27" s="2435"/>
      <c r="H27" s="2435"/>
      <c r="I27" s="2435"/>
      <c r="J27" s="2435"/>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1" t="s">
        <v>1216</v>
      </c>
      <c r="B28" s="103">
        <v>200</v>
      </c>
      <c r="C28" s="2452"/>
      <c r="D28" s="2451"/>
      <c r="E28" s="2436"/>
      <c r="F28" s="2436"/>
      <c r="G28" s="2435"/>
      <c r="H28" s="2435"/>
      <c r="I28" s="2435"/>
      <c r="J28" s="2435"/>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2" t="s">
        <v>1217</v>
      </c>
      <c r="B29" s="105">
        <f ca="1">成本法!C10</f>
        <v>25</v>
      </c>
      <c r="C29" s="2560" t="s">
        <v>2279</v>
      </c>
      <c r="D29" s="2451"/>
      <c r="E29" s="2436"/>
      <c r="F29" s="2436"/>
      <c r="G29" s="2435"/>
      <c r="H29" s="2435"/>
      <c r="I29" s="2435"/>
      <c r="J29" s="2435"/>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3" t="s">
        <v>1218</v>
      </c>
      <c r="B30" s="638">
        <v>200</v>
      </c>
      <c r="C30" s="2452"/>
      <c r="D30" s="2451"/>
      <c r="E30" s="2436"/>
      <c r="F30" s="2436"/>
      <c r="G30" s="2435"/>
      <c r="H30" s="2435"/>
      <c r="I30" s="2435"/>
      <c r="J30" s="2435"/>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1" t="s">
        <v>1219</v>
      </c>
      <c r="B31" s="104">
        <f>B30-B32</f>
        <v>200</v>
      </c>
      <c r="C31" s="2450"/>
      <c r="D31" s="2451"/>
      <c r="E31" s="2436"/>
      <c r="F31" s="2436"/>
      <c r="G31" s="2435"/>
      <c r="H31" s="2435"/>
      <c r="I31" s="2435"/>
      <c r="J31" s="2435"/>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4" t="s">
        <v>1220</v>
      </c>
      <c r="B32" s="639">
        <v>0</v>
      </c>
      <c r="C32" s="2452"/>
      <c r="D32" s="2448"/>
      <c r="E32" s="2435"/>
      <c r="F32" s="2435"/>
      <c r="G32" s="2435"/>
      <c r="H32" s="2435"/>
      <c r="I32" s="2435"/>
      <c r="J32" s="2435"/>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600" t="s">
        <v>1221</v>
      </c>
      <c r="B33" s="640">
        <v>0.05</v>
      </c>
      <c r="C33" s="2561" t="s">
        <v>3362</v>
      </c>
      <c r="D33" s="2448"/>
      <c r="E33" s="2435"/>
      <c r="F33" s="2435"/>
      <c r="G33" s="2435"/>
      <c r="H33" s="2435"/>
      <c r="I33" s="2435"/>
      <c r="J33" s="2435"/>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1" t="s">
        <v>1222</v>
      </c>
      <c r="B34" s="106">
        <v>0</v>
      </c>
      <c r="C34" s="2561" t="s">
        <v>2280</v>
      </c>
      <c r="D34" s="2456" t="s">
        <v>2287</v>
      </c>
      <c r="E34" s="2454"/>
      <c r="F34" s="2435"/>
      <c r="G34" s="2435"/>
      <c r="H34" s="2435"/>
      <c r="I34" s="2435"/>
      <c r="J34" s="2435"/>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1" t="s">
        <v>1223</v>
      </c>
      <c r="B35" s="103">
        <v>200</v>
      </c>
      <c r="C35" s="2561" t="s">
        <v>2281</v>
      </c>
      <c r="D35" s="2451"/>
      <c r="E35" s="2436"/>
      <c r="F35" s="2436"/>
      <c r="G35" s="2435"/>
      <c r="H35" s="2435"/>
      <c r="I35" s="2435"/>
      <c r="J35" s="2435"/>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1224</v>
      </c>
      <c r="B36" s="107">
        <v>1.4999999999999999E-2</v>
      </c>
      <c r="C36" s="2561" t="s">
        <v>3363</v>
      </c>
      <c r="D36" s="2448"/>
      <c r="E36" s="2435"/>
      <c r="F36" s="2435"/>
      <c r="G36" s="2435"/>
      <c r="H36" s="2435"/>
      <c r="I36" s="2435"/>
      <c r="J36" s="2435"/>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3" t="s">
        <v>1225</v>
      </c>
      <c r="B37" s="108">
        <v>0.03</v>
      </c>
      <c r="C37" s="2561" t="s">
        <v>2282</v>
      </c>
      <c r="D37" s="2448"/>
      <c r="E37" s="2435"/>
      <c r="F37" s="2435"/>
      <c r="G37" s="2435"/>
      <c r="H37" s="2435"/>
      <c r="I37" s="2435"/>
      <c r="J37" s="2435"/>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1" t="s">
        <v>1226</v>
      </c>
      <c r="B38" s="106">
        <v>0.03</v>
      </c>
      <c r="C38" s="2561" t="s">
        <v>2282</v>
      </c>
      <c r="D38" s="2448"/>
      <c r="E38" s="2435"/>
      <c r="F38" s="2435"/>
      <c r="G38" s="2435"/>
      <c r="H38" s="2435"/>
      <c r="I38" s="2435"/>
      <c r="J38" s="2435"/>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4" t="s">
        <v>1227</v>
      </c>
      <c r="B39" s="309">
        <f ca="1">存贷款利率!I1</f>
        <v>1.4999999999999999E-2</v>
      </c>
      <c r="C39" s="2453"/>
      <c r="D39" s="2448"/>
      <c r="E39" s="2435"/>
      <c r="F39" s="2435"/>
      <c r="G39" s="2435"/>
      <c r="H39" s="2435"/>
      <c r="I39" s="2435"/>
      <c r="J39" s="2435"/>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2297</v>
      </c>
      <c r="B40" s="1015">
        <f ca="1">IF(A40="利息：取LPR",存贷款利率!G1,存贷款利率!G1+C40)</f>
        <v>3.4500000000000003E-2</v>
      </c>
      <c r="C40" s="2569">
        <v>5.0000000000000001E-3</v>
      </c>
      <c r="D40" s="2445"/>
      <c r="E40" s="2448"/>
      <c r="F40" s="2435"/>
      <c r="G40" s="2435"/>
      <c r="H40" s="2435"/>
      <c r="I40" s="2435"/>
      <c r="J40" s="2435"/>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600" t="s">
        <v>1228</v>
      </c>
      <c r="B41" s="109">
        <f>B42+B43</f>
        <v>5.5000000000000007E-2</v>
      </c>
      <c r="C41" s="2450"/>
      <c r="D41" s="2445"/>
      <c r="E41" s="2448"/>
      <c r="F41" s="2435"/>
      <c r="G41" s="2435"/>
      <c r="H41" s="2435"/>
      <c r="I41" s="2435"/>
      <c r="J41" s="2435"/>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5" t="s">
        <v>1229</v>
      </c>
      <c r="B42" s="110">
        <v>0.05</v>
      </c>
      <c r="C42" s="2455">
        <f>IF(B2&lt;DATE(2016,5,1),0,B42)</f>
        <v>0.05</v>
      </c>
      <c r="D42" s="2448"/>
      <c r="E42" s="2435"/>
      <c r="F42" s="2435"/>
      <c r="G42" s="2435"/>
      <c r="H42" s="2435"/>
      <c r="I42" s="2435"/>
      <c r="J42" s="2435"/>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5" t="s">
        <v>1230</v>
      </c>
      <c r="B43" s="111">
        <f>B42*(B44+B45+B46)+B47</f>
        <v>5.000000000000001E-3</v>
      </c>
      <c r="C43" s="2450"/>
      <c r="D43" s="2448"/>
      <c r="E43" s="2435"/>
      <c r="F43" s="2435"/>
      <c r="G43" s="2435"/>
      <c r="H43" s="2435"/>
      <c r="I43" s="2435"/>
      <c r="J43" s="2435"/>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6" t="s">
        <v>1231</v>
      </c>
      <c r="B44" s="112">
        <v>0.05</v>
      </c>
      <c r="C44" s="2561" t="s">
        <v>2291</v>
      </c>
      <c r="D44" s="2448"/>
      <c r="E44" s="2435"/>
      <c r="F44" s="2435"/>
      <c r="G44" s="2435"/>
      <c r="H44" s="2435"/>
      <c r="I44" s="2435"/>
      <c r="J44" s="2435"/>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6" t="s">
        <v>1232</v>
      </c>
      <c r="B45" s="110">
        <v>0.03</v>
      </c>
      <c r="C45" s="2560" t="s">
        <v>2283</v>
      </c>
      <c r="D45" s="2448"/>
      <c r="E45" s="2435"/>
      <c r="F45" s="2435"/>
      <c r="G45" s="2435"/>
      <c r="H45" s="2435"/>
      <c r="I45" s="2435"/>
      <c r="J45" s="2435"/>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6" t="s">
        <v>1233</v>
      </c>
      <c r="B46" s="110">
        <v>0.02</v>
      </c>
      <c r="C46" s="2560" t="s">
        <v>2284</v>
      </c>
      <c r="D46" s="2448"/>
      <c r="E46" s="2435"/>
      <c r="F46" s="2435"/>
      <c r="G46" s="2435"/>
      <c r="H46" s="2435"/>
      <c r="I46" s="2435"/>
      <c r="J46" s="2435"/>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1234</v>
      </c>
      <c r="B47" s="113"/>
      <c r="C47" s="2563" t="s">
        <v>2292</v>
      </c>
      <c r="D47" s="2448"/>
      <c r="E47" s="2435"/>
      <c r="F47" s="2435"/>
      <c r="G47" s="2435"/>
      <c r="H47" s="2435"/>
      <c r="I47" s="2435"/>
      <c r="J47" s="2435"/>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8" t="s">
        <v>1235</v>
      </c>
      <c r="B48" s="114">
        <v>0.03</v>
      </c>
      <c r="C48" s="2560" t="s">
        <v>2283</v>
      </c>
      <c r="D48" s="2448"/>
      <c r="E48" s="2435"/>
      <c r="F48" s="2435"/>
      <c r="G48" s="2435"/>
      <c r="H48" s="2435"/>
      <c r="I48" s="2435"/>
      <c r="J48" s="2435"/>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1236</v>
      </c>
      <c r="B49" s="110">
        <v>5.0000000000000001E-4</v>
      </c>
      <c r="C49" s="2560" t="s">
        <v>2285</v>
      </c>
      <c r="D49" s="2448"/>
      <c r="E49" s="2435"/>
      <c r="F49" s="2435"/>
      <c r="G49" s="2435"/>
      <c r="H49" s="2435"/>
      <c r="I49" s="2435"/>
      <c r="J49" s="2435"/>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9" t="s">
        <v>1237</v>
      </c>
      <c r="B50" s="115">
        <v>1.2E-2</v>
      </c>
      <c r="C50" s="2436"/>
      <c r="D50" s="2448"/>
      <c r="E50" s="2435"/>
      <c r="F50" s="2435"/>
      <c r="G50" s="2435"/>
      <c r="H50" s="2435"/>
      <c r="I50" s="2435"/>
      <c r="J50" s="2435"/>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1238</v>
      </c>
      <c r="B51" s="116">
        <v>0.12</v>
      </c>
      <c r="C51" s="2436"/>
      <c r="D51" s="2448"/>
      <c r="E51" s="2435"/>
      <c r="F51" s="2435"/>
      <c r="G51" s="2435"/>
      <c r="H51" s="2435"/>
      <c r="I51" s="2435"/>
      <c r="J51" s="2435"/>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9" t="s">
        <v>1239</v>
      </c>
      <c r="B52" s="117">
        <f>SUMIF(A54:A63,B53,B54:B63)</f>
        <v>1.5</v>
      </c>
      <c r="C52" s="2436"/>
      <c r="D52" s="2448"/>
      <c r="E52" s="2435"/>
      <c r="F52" s="2435"/>
      <c r="G52" s="2435"/>
      <c r="H52" s="2435"/>
      <c r="I52" s="2435"/>
      <c r="J52" s="2435"/>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1" t="s">
        <v>1240</v>
      </c>
      <c r="B53" s="1610" t="s">
        <v>29</v>
      </c>
      <c r="C53" s="2436" t="s">
        <v>1241</v>
      </c>
      <c r="D53" s="2562" t="s">
        <v>2289</v>
      </c>
      <c r="E53" s="2435"/>
      <c r="F53" s="2435"/>
      <c r="G53" s="2435"/>
      <c r="H53" s="2435"/>
      <c r="I53" s="2435"/>
      <c r="J53" s="2435"/>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1" t="s">
        <v>1242</v>
      </c>
      <c r="B54" s="72"/>
      <c r="C54" s="2436">
        <v>30</v>
      </c>
      <c r="D54" s="2448"/>
      <c r="E54" s="2435"/>
      <c r="F54" s="2435"/>
      <c r="G54" s="2435"/>
      <c r="H54" s="2435"/>
      <c r="I54" s="2435"/>
      <c r="J54" s="2435"/>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1" t="s">
        <v>1243</v>
      </c>
      <c r="B55" s="72"/>
      <c r="C55" s="2436">
        <v>24</v>
      </c>
      <c r="D55" s="2448"/>
      <c r="E55" s="2435"/>
      <c r="F55" s="2435"/>
      <c r="G55" s="2435"/>
      <c r="H55" s="2435"/>
      <c r="I55" s="2435"/>
      <c r="J55" s="2435"/>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1" t="s">
        <v>1244</v>
      </c>
      <c r="B56" s="72"/>
      <c r="C56" s="2436">
        <v>18</v>
      </c>
      <c r="D56" s="2448"/>
      <c r="E56" s="2435"/>
      <c r="F56" s="2435"/>
      <c r="G56" s="2435"/>
      <c r="H56" s="2435"/>
      <c r="I56" s="2435"/>
      <c r="J56" s="2435"/>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1" t="s">
        <v>1245</v>
      </c>
      <c r="B57" s="72"/>
      <c r="C57" s="2436">
        <v>12</v>
      </c>
      <c r="D57" s="2448"/>
      <c r="E57" s="2435"/>
      <c r="F57" s="2435"/>
      <c r="G57" s="2435"/>
      <c r="H57" s="2435"/>
      <c r="I57" s="2435"/>
      <c r="J57" s="2435"/>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1" t="s">
        <v>1246</v>
      </c>
      <c r="B58" s="72"/>
      <c r="C58" s="2436">
        <v>3</v>
      </c>
      <c r="D58" s="2448"/>
      <c r="E58" s="2435"/>
      <c r="F58" s="2435"/>
      <c r="G58" s="2435"/>
      <c r="H58" s="2435"/>
      <c r="I58" s="2435"/>
      <c r="J58" s="2435"/>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1" t="s">
        <v>1247</v>
      </c>
      <c r="B59" s="72">
        <v>1.5</v>
      </c>
      <c r="C59" s="2436">
        <v>1.5</v>
      </c>
      <c r="D59" s="2448"/>
      <c r="E59" s="2435"/>
      <c r="F59" s="2435"/>
      <c r="G59" s="2435"/>
      <c r="H59" s="2435"/>
      <c r="I59" s="2435"/>
      <c r="J59" s="2435"/>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1" t="s">
        <v>1248</v>
      </c>
      <c r="B60" s="72"/>
      <c r="C60" s="2435"/>
      <c r="D60" s="2448"/>
      <c r="E60" s="2435"/>
      <c r="F60" s="2435"/>
      <c r="G60" s="2435"/>
      <c r="H60" s="2435"/>
      <c r="I60" s="2435"/>
      <c r="J60" s="2435"/>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1" t="s">
        <v>1249</v>
      </c>
      <c r="B61" s="72"/>
      <c r="C61" s="2435"/>
      <c r="D61" s="2448"/>
      <c r="E61" s="2435"/>
      <c r="F61" s="2435"/>
      <c r="G61" s="2435"/>
      <c r="H61" s="2435"/>
      <c r="I61" s="2435"/>
      <c r="J61" s="2435"/>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1" t="s">
        <v>1250</v>
      </c>
      <c r="B62" s="72"/>
      <c r="C62" s="2435"/>
      <c r="D62" s="2448"/>
      <c r="E62" s="2435"/>
      <c r="F62" s="2435"/>
      <c r="G62" s="2435"/>
      <c r="H62" s="2435"/>
      <c r="I62" s="2435"/>
      <c r="J62" s="2435"/>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1251</v>
      </c>
      <c r="B63" s="118"/>
      <c r="C63" s="2435"/>
      <c r="D63" s="2448"/>
      <c r="E63" s="2435"/>
      <c r="F63" s="2435"/>
      <c r="G63" s="2435"/>
      <c r="H63" s="2435"/>
      <c r="I63" s="2435"/>
      <c r="J63" s="2435"/>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8"/>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8"/>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8"/>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8"/>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8"/>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1"/>
  </cols>
  <sheetData>
    <row r="1" spans="1:29" s="2256" customFormat="1" ht="18.75" thickBot="1">
      <c r="A1" s="3296" t="s">
        <v>2271</v>
      </c>
      <c r="B1" s="3297"/>
      <c r="C1" s="3297"/>
      <c r="D1" s="3297"/>
      <c r="E1" s="3297"/>
      <c r="F1" s="3297"/>
      <c r="G1" s="3297"/>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2268</v>
      </c>
      <c r="D2" s="1594"/>
      <c r="E2" s="2257"/>
      <c r="F2" s="2260"/>
      <c r="G2" s="2259" t="s">
        <v>2269</v>
      </c>
      <c r="H2" s="751"/>
      <c r="I2" s="751"/>
      <c r="J2" s="751"/>
      <c r="K2" s="751"/>
      <c r="L2" s="751"/>
      <c r="M2" s="751"/>
      <c r="N2" s="751"/>
      <c r="O2" s="751"/>
      <c r="P2" s="751"/>
      <c r="Q2" s="751"/>
    </row>
    <row r="3" spans="1:29" ht="24">
      <c r="A3" s="2244" t="s">
        <v>2270</v>
      </c>
      <c r="B3" s="2261" t="s">
        <v>2246</v>
      </c>
      <c r="C3" s="2262"/>
      <c r="D3" s="2263"/>
      <c r="E3" s="2245" t="s">
        <v>2270</v>
      </c>
      <c r="F3" s="2264" t="s">
        <v>2247</v>
      </c>
      <c r="G3" s="2265"/>
      <c r="H3" s="751"/>
      <c r="I3" s="751"/>
      <c r="J3" s="751"/>
      <c r="K3" s="751"/>
      <c r="L3" s="751"/>
      <c r="M3" s="751"/>
      <c r="N3" s="751"/>
      <c r="O3" s="751"/>
      <c r="P3" s="751"/>
      <c r="Q3" s="751"/>
    </row>
    <row r="4" spans="1:29">
      <c r="A4" s="2245"/>
      <c r="B4" s="315" t="s">
        <v>2248</v>
      </c>
      <c r="C4" s="2266"/>
      <c r="D4" s="2263"/>
      <c r="E4" s="2267"/>
      <c r="F4" s="1280" t="s">
        <v>2249</v>
      </c>
      <c r="G4" s="2268"/>
      <c r="H4" s="751"/>
      <c r="I4" s="751"/>
      <c r="J4" s="751"/>
      <c r="K4" s="751"/>
      <c r="L4" s="751"/>
      <c r="M4" s="751"/>
      <c r="N4" s="751"/>
      <c r="O4" s="751"/>
      <c r="P4" s="751"/>
      <c r="Q4" s="751"/>
    </row>
    <row r="5" spans="1:29">
      <c r="A5" s="2245"/>
      <c r="B5" s="315" t="s">
        <v>2250</v>
      </c>
      <c r="C5" s="2266"/>
      <c r="D5" s="2263"/>
      <c r="E5" s="2267"/>
      <c r="F5" s="315" t="s">
        <v>2251</v>
      </c>
      <c r="G5" s="2268"/>
      <c r="H5" s="751"/>
      <c r="I5" s="751"/>
      <c r="J5" s="751"/>
      <c r="K5" s="751"/>
      <c r="L5" s="751"/>
      <c r="M5" s="751"/>
      <c r="N5" s="751"/>
      <c r="O5" s="751"/>
      <c r="P5" s="751"/>
      <c r="Q5" s="751"/>
    </row>
    <row r="6" spans="1:29">
      <c r="A6" s="2245"/>
      <c r="B6" s="315" t="s">
        <v>2252</v>
      </c>
      <c r="C6" s="2268"/>
      <c r="D6" s="2263"/>
      <c r="E6" s="2267"/>
      <c r="F6" s="315" t="s">
        <v>2253</v>
      </c>
      <c r="G6" s="2268"/>
      <c r="H6" s="751"/>
      <c r="I6" s="751"/>
      <c r="J6" s="751"/>
      <c r="K6" s="751"/>
      <c r="L6" s="751"/>
      <c r="M6" s="751"/>
      <c r="N6" s="751"/>
      <c r="O6" s="751"/>
      <c r="P6" s="751"/>
      <c r="Q6" s="751"/>
    </row>
    <row r="7" spans="1:29" ht="15" thickBot="1">
      <c r="A7" s="2245"/>
      <c r="B7" s="315" t="s">
        <v>2251</v>
      </c>
      <c r="C7" s="2268"/>
      <c r="D7" s="2242"/>
      <c r="E7" s="2269"/>
      <c r="F7" s="2270" t="s">
        <v>2254</v>
      </c>
      <c r="G7" s="2271"/>
      <c r="H7" s="751"/>
      <c r="I7" s="751"/>
      <c r="J7" s="751"/>
      <c r="K7" s="751"/>
      <c r="L7" s="751"/>
      <c r="M7" s="751"/>
      <c r="N7" s="751"/>
      <c r="O7" s="751"/>
      <c r="P7" s="751"/>
      <c r="Q7" s="751"/>
    </row>
    <row r="8" spans="1:29">
      <c r="A8" s="2245"/>
      <c r="B8" s="315" t="s">
        <v>2253</v>
      </c>
      <c r="C8" s="2268"/>
      <c r="D8" s="2242"/>
      <c r="E8" s="2242"/>
      <c r="F8" s="121"/>
      <c r="G8" s="121"/>
      <c r="H8" s="751"/>
      <c r="I8" s="751"/>
      <c r="J8" s="751"/>
      <c r="K8" s="751"/>
      <c r="L8" s="751"/>
      <c r="M8" s="751"/>
      <c r="N8" s="751"/>
      <c r="O8" s="751"/>
      <c r="P8" s="751"/>
      <c r="Q8" s="751"/>
    </row>
    <row r="9" spans="1:29">
      <c r="A9" s="2245"/>
      <c r="B9" s="315" t="s">
        <v>2255</v>
      </c>
      <c r="C9" s="2266"/>
      <c r="D9" s="2263"/>
      <c r="E9" s="2242"/>
      <c r="F9" s="121"/>
      <c r="G9" s="121"/>
      <c r="H9" s="751"/>
      <c r="I9" s="751"/>
      <c r="J9" s="751"/>
      <c r="K9" s="751"/>
      <c r="L9" s="751"/>
      <c r="M9" s="751"/>
      <c r="N9" s="751"/>
      <c r="O9" s="751"/>
      <c r="P9" s="751"/>
      <c r="Q9" s="751"/>
    </row>
    <row r="10" spans="1:29" ht="15" thickBot="1">
      <c r="A10" s="2246"/>
      <c r="B10" s="2272" t="s">
        <v>2256</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2272</v>
      </c>
      <c r="B13" s="2277"/>
      <c r="C13" s="2277"/>
      <c r="D13" s="2276"/>
      <c r="E13" s="2277"/>
      <c r="F13" s="2277"/>
      <c r="G13" s="2277"/>
    </row>
    <row r="14" spans="1:29" ht="15" thickBot="1">
      <c r="A14" s="2282"/>
      <c r="B14" s="2282"/>
      <c r="C14" s="2283" t="s">
        <v>2257</v>
      </c>
      <c r="D14" s="2263"/>
      <c r="E14" s="2284"/>
      <c r="F14" s="2284"/>
      <c r="G14" s="2259" t="s">
        <v>2258</v>
      </c>
    </row>
    <row r="15" spans="1:29" ht="24">
      <c r="A15" s="2247" t="s">
        <v>2259</v>
      </c>
      <c r="B15" s="2285" t="s">
        <v>2246</v>
      </c>
      <c r="C15" s="2286">
        <f>C3</f>
        <v>0</v>
      </c>
      <c r="D15" s="2263"/>
      <c r="E15" s="2248" t="s">
        <v>2260</v>
      </c>
      <c r="F15" s="2285" t="s">
        <v>2261</v>
      </c>
      <c r="G15" s="2287">
        <f>G3</f>
        <v>0</v>
      </c>
    </row>
    <row r="16" spans="1:29">
      <c r="A16" s="2249"/>
      <c r="B16" s="2288" t="s">
        <v>2248</v>
      </c>
      <c r="C16" s="2289">
        <f>C4</f>
        <v>0</v>
      </c>
      <c r="D16" s="2263"/>
      <c r="E16" s="2250"/>
      <c r="F16" s="2290" t="s">
        <v>2249</v>
      </c>
      <c r="G16" s="2291">
        <f>G4</f>
        <v>0</v>
      </c>
    </row>
    <row r="17" spans="1:17">
      <c r="A17" s="2249"/>
      <c r="B17" s="2288" t="s">
        <v>2250</v>
      </c>
      <c r="C17" s="2289">
        <f>C5</f>
        <v>0</v>
      </c>
      <c r="D17" s="2242"/>
      <c r="E17" s="2250"/>
      <c r="F17" s="2290" t="s">
        <v>2262</v>
      </c>
      <c r="G17" s="2292"/>
    </row>
    <row r="18" spans="1:17">
      <c r="A18" s="2249"/>
      <c r="B18" s="2290" t="s">
        <v>2252</v>
      </c>
      <c r="C18" s="2291">
        <f>C6</f>
        <v>0</v>
      </c>
      <c r="D18" s="2242"/>
      <c r="E18" s="2250"/>
      <c r="F18" s="2290" t="s">
        <v>2254</v>
      </c>
      <c r="G18" s="2291">
        <f>G7</f>
        <v>0</v>
      </c>
    </row>
    <row r="19" spans="1:17">
      <c r="A19" s="2249"/>
      <c r="B19" s="2290" t="s">
        <v>2263</v>
      </c>
      <c r="C19" s="2292"/>
      <c r="D19" s="2263"/>
      <c r="E19" s="2250"/>
      <c r="F19" s="315" t="s">
        <v>2251</v>
      </c>
      <c r="G19" s="2291">
        <f>G5</f>
        <v>0</v>
      </c>
    </row>
    <row r="20" spans="1:17">
      <c r="A20" s="2249"/>
      <c r="B20" s="2290" t="s">
        <v>2264</v>
      </c>
      <c r="C20" s="2289">
        <f>C9</f>
        <v>0</v>
      </c>
      <c r="D20" s="2242"/>
      <c r="E20" s="2250"/>
      <c r="F20" s="315" t="s">
        <v>2253</v>
      </c>
      <c r="G20" s="2291">
        <f>G6</f>
        <v>0</v>
      </c>
    </row>
    <row r="21" spans="1:17">
      <c r="A21" s="2249"/>
      <c r="B21" s="315" t="s">
        <v>2251</v>
      </c>
      <c r="C21" s="2291">
        <f>C7</f>
        <v>0</v>
      </c>
      <c r="D21" s="2263"/>
      <c r="E21" s="2250"/>
      <c r="F21" s="2290" t="s">
        <v>2265</v>
      </c>
      <c r="G21" s="2293"/>
    </row>
    <row r="22" spans="1:17" ht="13.5" customHeight="1">
      <c r="A22" s="2249"/>
      <c r="B22" s="315" t="s">
        <v>2253</v>
      </c>
      <c r="C22" s="2291">
        <f>C8</f>
        <v>0</v>
      </c>
      <c r="D22" s="2263"/>
      <c r="E22" s="2250"/>
      <c r="F22" s="2290" t="s">
        <v>2256</v>
      </c>
      <c r="G22" s="2292"/>
    </row>
    <row r="23" spans="1:17" s="751" customFormat="1" ht="15" thickBot="1">
      <c r="A23" s="2249"/>
      <c r="B23" s="2290" t="s">
        <v>2265</v>
      </c>
      <c r="C23" s="2293"/>
      <c r="D23" s="1613"/>
      <c r="E23" s="2251"/>
      <c r="F23" s="2294" t="s">
        <v>2266</v>
      </c>
      <c r="G23" s="2295"/>
      <c r="H23" s="2274"/>
      <c r="I23" s="2274"/>
      <c r="J23" s="2274"/>
      <c r="K23" s="2274"/>
      <c r="L23" s="2274"/>
      <c r="M23" s="2274"/>
      <c r="N23" s="2274"/>
      <c r="O23" s="2274"/>
      <c r="P23" s="2274"/>
      <c r="Q23" s="2274"/>
    </row>
    <row r="24" spans="1:17" s="751" customFormat="1" ht="15" thickBot="1">
      <c r="A24" s="2252"/>
      <c r="B24" s="2294" t="s">
        <v>2267</v>
      </c>
      <c r="C24" s="2296">
        <f>C10</f>
        <v>0</v>
      </c>
      <c r="D24" s="1613"/>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2298" customWidth="1"/>
    <col min="2" max="9" width="15.75" style="2298" customWidth="1"/>
    <col min="10" max="16384" width="9" style="2298"/>
  </cols>
  <sheetData>
    <row r="1" spans="1:11" ht="16.5">
      <c r="A1" s="3196" t="s">
        <v>3875</v>
      </c>
      <c r="B1" s="3196">
        <f>SUM(B14:B23)</f>
        <v>2465.58</v>
      </c>
      <c r="C1" s="3197"/>
      <c r="D1" s="3197"/>
      <c r="E1" s="2458"/>
      <c r="F1" s="2458"/>
      <c r="G1" s="2459"/>
      <c r="H1" s="2459"/>
      <c r="I1" s="2459"/>
      <c r="J1" s="2459"/>
      <c r="K1" s="2459"/>
    </row>
    <row r="2" spans="1:11" ht="16.5">
      <c r="A2" s="3196" t="s">
        <v>3876</v>
      </c>
      <c r="B2" s="3196">
        <f>SUM(C14:C23)</f>
        <v>1782.1</v>
      </c>
      <c r="C2" s="3197"/>
      <c r="D2" s="3197"/>
      <c r="E2" s="2458"/>
      <c r="F2" s="2458"/>
      <c r="G2" s="2459"/>
      <c r="H2" s="2459"/>
      <c r="I2" s="2459"/>
      <c r="J2" s="2459"/>
      <c r="K2" s="2459"/>
    </row>
    <row r="3" spans="1:11" ht="16.5">
      <c r="A3" s="3196" t="s">
        <v>658</v>
      </c>
      <c r="B3" s="3198">
        <f>项目基本情况!D3</f>
        <v>45383</v>
      </c>
      <c r="C3" s="3197"/>
      <c r="D3" s="3197"/>
      <c r="E3" s="2458"/>
      <c r="F3" s="2458"/>
      <c r="G3" s="2459"/>
      <c r="H3" s="2459"/>
      <c r="I3" s="2459"/>
      <c r="J3" s="2459"/>
      <c r="K3" s="2459"/>
    </row>
    <row r="4" spans="1:11" ht="30">
      <c r="A4" s="3196" t="s">
        <v>657</v>
      </c>
      <c r="B4" s="3196" t="s">
        <v>656</v>
      </c>
      <c r="C4" s="3196" t="s">
        <v>655</v>
      </c>
      <c r="D4" s="3196" t="s">
        <v>654</v>
      </c>
      <c r="E4" s="2458"/>
      <c r="F4" s="2459"/>
      <c r="G4" s="2459"/>
      <c r="H4" s="2459"/>
      <c r="I4" s="2459"/>
      <c r="J4" s="2459"/>
      <c r="K4" s="2459"/>
    </row>
    <row r="5" spans="1:11" ht="16.5">
      <c r="A5" s="3196" t="s">
        <v>653</v>
      </c>
      <c r="B5" s="3196">
        <f ca="1">SUM(D14:D23)</f>
        <v>6184</v>
      </c>
      <c r="C5" s="3196">
        <f ca="1">IF(B5=D14,结果表!H102,ROUND(B5*10000/$B$1,0))</f>
        <v>25081</v>
      </c>
      <c r="D5" s="3196">
        <f ca="1">ROUND(B5*10000/$B$2,0)</f>
        <v>34701</v>
      </c>
      <c r="E5" s="2458"/>
      <c r="F5" s="2459"/>
      <c r="G5" s="2459"/>
      <c r="H5" s="2459"/>
      <c r="I5" s="2459"/>
      <c r="J5" s="2459"/>
      <c r="K5" s="2459"/>
    </row>
    <row r="6" spans="1:11" ht="16.5">
      <c r="A6" s="3196" t="s">
        <v>652</v>
      </c>
      <c r="B6" s="3196">
        <f ca="1">SUM(G14:G23)</f>
        <v>6184</v>
      </c>
      <c r="C6" s="3196">
        <f ca="1">IF(B6=G14,结果表!H108,ROUND(B6*10000/$B$1,0))</f>
        <v>25081</v>
      </c>
      <c r="D6" s="3196">
        <f ca="1">ROUND(B6*10000/$B$2,0)</f>
        <v>34701</v>
      </c>
      <c r="E6" s="2458"/>
      <c r="F6" s="2459"/>
      <c r="G6" s="2459"/>
      <c r="H6" s="2459"/>
      <c r="I6" s="2459"/>
      <c r="J6" s="2459"/>
      <c r="K6" s="2459"/>
    </row>
    <row r="7" spans="1:11" ht="16.5">
      <c r="A7" s="2297" t="s">
        <v>660</v>
      </c>
      <c r="B7" s="2297">
        <f>SUM(H14:H23)</f>
        <v>0</v>
      </c>
      <c r="C7" s="2297" t="str">
        <f>IF(B7=H14,结果表!H110,ROUND(B7*10000/$B$1,0))</f>
        <v>——</v>
      </c>
      <c r="D7" s="2297">
        <f>ROUND(B7*10000/$B$2,0)</f>
        <v>0</v>
      </c>
      <c r="E7" s="2458"/>
      <c r="F7" s="2459"/>
      <c r="G7" s="2459"/>
      <c r="H7" s="2459"/>
      <c r="I7" s="2459"/>
      <c r="J7" s="2459"/>
      <c r="K7" s="2459"/>
    </row>
    <row r="8" spans="1:11" ht="16.5">
      <c r="A8" s="2297" t="s">
        <v>587</v>
      </c>
      <c r="B8" s="2297">
        <f>SUM(I14:I23)</f>
        <v>0</v>
      </c>
      <c r="C8" s="2297" t="str">
        <f>IF(B8=I14,结果表!H112,ROUND(B8*10000/$B$1,0))</f>
        <v>——</v>
      </c>
      <c r="D8" s="2297">
        <f>ROUND(B8*10000/$B$2,0)</f>
        <v>0</v>
      </c>
      <c r="E8" s="2458"/>
      <c r="F8" s="2459"/>
      <c r="G8" s="2459"/>
      <c r="H8" s="2459"/>
      <c r="I8" s="2459"/>
      <c r="J8" s="2459"/>
      <c r="K8" s="2459"/>
    </row>
    <row r="9" spans="1:11" ht="16.5">
      <c r="A9" s="2297" t="s">
        <v>651</v>
      </c>
      <c r="B9" s="1243"/>
      <c r="C9" s="2458"/>
      <c r="D9" s="2458"/>
      <c r="E9" s="2458"/>
      <c r="F9" s="2459"/>
      <c r="G9" s="2459"/>
      <c r="H9" s="2459"/>
      <c r="I9" s="2459"/>
      <c r="J9" s="2459"/>
      <c r="K9" s="2459"/>
    </row>
    <row r="10" spans="1:11" ht="16.5">
      <c r="A10" s="2297" t="s">
        <v>650</v>
      </c>
      <c r="B10" s="2297">
        <f>IF(E10="",0,ROUND(B1*(E10*365/G10)/10000,0))</f>
        <v>0</v>
      </c>
      <c r="C10" s="2297" t="s">
        <v>3342</v>
      </c>
      <c r="D10" s="2297" t="s">
        <v>3343</v>
      </c>
      <c r="E10" s="3133"/>
      <c r="F10" s="3137" t="s">
        <v>3344</v>
      </c>
      <c r="G10" s="3134"/>
      <c r="H10" s="2459"/>
      <c r="I10" s="2459"/>
      <c r="J10" s="2459"/>
      <c r="K10" s="2459"/>
    </row>
    <row r="11" spans="1:11" ht="16.5">
      <c r="A11" s="2297" t="s">
        <v>665</v>
      </c>
      <c r="B11" s="1243"/>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299" t="s">
        <v>664</v>
      </c>
      <c r="B13" s="2300" t="s">
        <v>661</v>
      </c>
      <c r="C13" s="2300" t="s">
        <v>663</v>
      </c>
      <c r="D13" s="2300" t="s">
        <v>662</v>
      </c>
      <c r="E13" s="2297" t="s">
        <v>655</v>
      </c>
      <c r="F13" s="2297" t="s">
        <v>654</v>
      </c>
      <c r="G13" s="2300" t="s">
        <v>649</v>
      </c>
      <c r="H13" s="2300" t="s">
        <v>659</v>
      </c>
      <c r="I13" s="2300" t="s">
        <v>648</v>
      </c>
      <c r="J13" s="2459"/>
      <c r="K13" s="2459"/>
    </row>
    <row r="14" spans="1:11" ht="16.5">
      <c r="A14" s="3195" t="s">
        <v>3908</v>
      </c>
      <c r="B14" s="3195">
        <f>Sheet1!C14</f>
        <v>1232.79</v>
      </c>
      <c r="C14" s="3195">
        <f>'数据-汇总表'!D3</f>
        <v>891.05</v>
      </c>
      <c r="D14" s="3195">
        <f ca="1">结果表!G19</f>
        <v>3092</v>
      </c>
      <c r="E14" s="3195">
        <f ca="1">ROUND(D14*10000/B14,0)</f>
        <v>25081</v>
      </c>
      <c r="F14" s="3195">
        <f ca="1">ROUND(D14*10000/C14,0)</f>
        <v>34701</v>
      </c>
      <c r="G14" s="3195">
        <f ca="1">D14</f>
        <v>3092</v>
      </c>
      <c r="H14" s="2302"/>
      <c r="I14" s="2302"/>
      <c r="J14" s="2459"/>
      <c r="K14" s="2459"/>
    </row>
    <row r="15" spans="1:11" ht="16.5">
      <c r="A15" s="3195" t="s">
        <v>3909</v>
      </c>
      <c r="B15" s="3195">
        <f>Sheet1!C15</f>
        <v>1232.79</v>
      </c>
      <c r="C15" s="3195">
        <f>C14</f>
        <v>891.05</v>
      </c>
      <c r="D15" s="3195">
        <f ca="1">[1]结果表!$G$19</f>
        <v>3092</v>
      </c>
      <c r="E15" s="3195">
        <f t="shared" ref="E15:E16" ca="1" si="0">ROUND(D15*10000/B15,0)</f>
        <v>25081</v>
      </c>
      <c r="F15" s="3195">
        <f t="shared" ref="F15:F23" ca="1" si="1">ROUND(D15*10000/C15,0)</f>
        <v>34701</v>
      </c>
      <c r="G15" s="3195">
        <f ca="1">D15</f>
        <v>3092</v>
      </c>
      <c r="H15" s="1243"/>
      <c r="I15" s="2303"/>
      <c r="J15" s="2459"/>
      <c r="K15" s="2459"/>
    </row>
    <row r="16" spans="1:11" ht="16.5">
      <c r="A16" s="3195"/>
      <c r="B16" s="3195"/>
      <c r="C16" s="3195"/>
      <c r="D16" s="3195"/>
      <c r="E16" s="3195" t="e">
        <f t="shared" si="0"/>
        <v>#DIV/0!</v>
      </c>
      <c r="F16" s="3195" t="e">
        <f t="shared" si="1"/>
        <v>#DIV/0!</v>
      </c>
      <c r="G16" s="3195"/>
      <c r="H16" s="1243"/>
      <c r="I16" s="2303"/>
      <c r="J16" s="2459"/>
      <c r="K16" s="2459"/>
    </row>
    <row r="17" spans="1:11" ht="16.5">
      <c r="A17" s="2301" t="s">
        <v>647</v>
      </c>
      <c r="B17" s="2303"/>
      <c r="C17" s="2303"/>
      <c r="D17" s="2303"/>
      <c r="E17" s="2302" t="e">
        <f t="shared" ref="E17:E23" si="2">ROUND(D17*10000/B17,0)</f>
        <v>#DIV/0!</v>
      </c>
      <c r="F17" s="2302" t="e">
        <f t="shared" si="1"/>
        <v>#DIV/0!</v>
      </c>
      <c r="G17" s="1243"/>
      <c r="H17" s="1243"/>
      <c r="I17" s="2303"/>
      <c r="J17" s="2459"/>
      <c r="K17" s="2459"/>
    </row>
    <row r="18" spans="1:11" ht="16.5">
      <c r="A18" s="2301" t="s">
        <v>646</v>
      </c>
      <c r="B18" s="2303"/>
      <c r="C18" s="2303"/>
      <c r="D18" s="2303"/>
      <c r="E18" s="2302" t="e">
        <f t="shared" si="2"/>
        <v>#DIV/0!</v>
      </c>
      <c r="F18" s="2302" t="e">
        <f t="shared" si="1"/>
        <v>#DIV/0!</v>
      </c>
      <c r="G18" s="2303"/>
      <c r="H18" s="2303"/>
      <c r="I18" s="2303"/>
      <c r="J18" s="2459"/>
      <c r="K18" s="2459"/>
    </row>
    <row r="19" spans="1:11" ht="16.5">
      <c r="A19" s="2301" t="s">
        <v>645</v>
      </c>
      <c r="B19" s="2303"/>
      <c r="C19" s="2303"/>
      <c r="D19" s="2303"/>
      <c r="E19" s="2302" t="e">
        <f t="shared" si="2"/>
        <v>#DIV/0!</v>
      </c>
      <c r="F19" s="2302" t="e">
        <f t="shared" si="1"/>
        <v>#DIV/0!</v>
      </c>
      <c r="G19" s="2303"/>
      <c r="H19" s="2303"/>
      <c r="I19" s="2303"/>
      <c r="J19" s="2459"/>
      <c r="K19" s="2459"/>
    </row>
    <row r="20" spans="1:11" ht="16.5">
      <c r="A20" s="2301" t="s">
        <v>644</v>
      </c>
      <c r="B20" s="2303"/>
      <c r="C20" s="2303"/>
      <c r="D20" s="2303"/>
      <c r="E20" s="2302" t="e">
        <f t="shared" si="2"/>
        <v>#DIV/0!</v>
      </c>
      <c r="F20" s="2302" t="e">
        <f t="shared" si="1"/>
        <v>#DIV/0!</v>
      </c>
      <c r="G20" s="2303"/>
      <c r="H20" s="2303"/>
      <c r="I20" s="2303"/>
      <c r="J20" s="2459"/>
      <c r="K20" s="2459"/>
    </row>
    <row r="21" spans="1:11" ht="16.5">
      <c r="A21" s="2301" t="s">
        <v>643</v>
      </c>
      <c r="B21" s="2303"/>
      <c r="C21" s="2303"/>
      <c r="D21" s="2303"/>
      <c r="E21" s="2302" t="e">
        <f t="shared" si="2"/>
        <v>#DIV/0!</v>
      </c>
      <c r="F21" s="2302" t="e">
        <f t="shared" si="1"/>
        <v>#DIV/0!</v>
      </c>
      <c r="G21" s="2303"/>
      <c r="H21" s="2303"/>
      <c r="I21" s="2303"/>
      <c r="J21" s="2459"/>
      <c r="K21" s="2459"/>
    </row>
    <row r="22" spans="1:11" ht="16.5">
      <c r="A22" s="2301" t="s">
        <v>642</v>
      </c>
      <c r="B22" s="2303"/>
      <c r="C22" s="2303"/>
      <c r="D22" s="2303"/>
      <c r="E22" s="2302" t="e">
        <f t="shared" si="2"/>
        <v>#DIV/0!</v>
      </c>
      <c r="F22" s="2302" t="e">
        <f t="shared" si="1"/>
        <v>#DIV/0!</v>
      </c>
      <c r="G22" s="2303"/>
      <c r="H22" s="2303"/>
      <c r="I22" s="2303"/>
      <c r="J22" s="2459"/>
      <c r="K22" s="2459"/>
    </row>
    <row r="23" spans="1:11" ht="16.5">
      <c r="A23" s="2301" t="s">
        <v>641</v>
      </c>
      <c r="B23" s="2303"/>
      <c r="C23" s="2303"/>
      <c r="D23" s="2303"/>
      <c r="E23" s="1243" t="e">
        <f t="shared" si="2"/>
        <v>#DIV/0!</v>
      </c>
      <c r="F23" s="1243" t="e">
        <f t="shared" si="1"/>
        <v>#DIV/0!</v>
      </c>
      <c r="G23" s="2303"/>
      <c r="H23" s="2303"/>
      <c r="I23" s="2303"/>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9" t="str">
        <f>项目基本情况!B1</f>
        <v>北京市房地产抵押价值预评估</v>
      </c>
      <c r="C37" s="3199"/>
      <c r="D37" s="3199"/>
      <c r="E37" s="3199"/>
      <c r="F37" s="3199"/>
      <c r="G37" s="3199"/>
      <c r="H37" s="3199"/>
      <c r="I37" s="3199"/>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SheetLayoutView="100" zoomScalePageLayoutView="80" workbookViewId="0">
      <selection activeCell="K8" sqref="K8"/>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1257</v>
      </c>
      <c r="B1" s="646"/>
      <c r="C1" s="1619"/>
      <c r="D1" s="646"/>
      <c r="E1" s="646"/>
      <c r="F1" s="1620" t="s">
        <v>1258</v>
      </c>
      <c r="G1" s="1452" t="s">
        <v>3831</v>
      </c>
      <c r="H1" s="1620" t="str">
        <f>IF(G1="现房","——","估价对象范围")</f>
        <v>——</v>
      </c>
      <c r="I1" s="1621" t="s">
        <v>3832</v>
      </c>
    </row>
    <row r="2" spans="1:12" ht="21.75" customHeight="1" thickBot="1">
      <c r="A2" s="3332" t="str">
        <f>项目基本情况!S2</f>
        <v>北京市房地产</v>
      </c>
      <c r="B2" s="3333"/>
      <c r="C2" s="3333"/>
      <c r="D2" s="3333"/>
      <c r="E2" s="3333"/>
      <c r="F2" s="3333"/>
      <c r="G2" s="3333"/>
      <c r="H2" s="3333"/>
      <c r="I2" s="3334"/>
    </row>
    <row r="3" spans="1:12" ht="12.75">
      <c r="A3" s="3336" t="s">
        <v>1259</v>
      </c>
      <c r="B3" s="3337"/>
      <c r="C3" s="3337"/>
      <c r="D3" s="3337"/>
      <c r="E3" s="3337"/>
      <c r="F3" s="3337"/>
      <c r="G3" s="3337"/>
      <c r="H3" s="3337"/>
      <c r="I3" s="3337"/>
    </row>
    <row r="4" spans="1:12" ht="14.25">
      <c r="A4" s="1623" t="s">
        <v>1260</v>
      </c>
      <c r="B4" s="1624" t="s">
        <v>1261</v>
      </c>
      <c r="C4" s="1625" t="s">
        <v>3830</v>
      </c>
      <c r="D4" s="1625" t="s">
        <v>3463</v>
      </c>
      <c r="E4" s="3338" t="s">
        <v>1262</v>
      </c>
      <c r="F4" s="3339"/>
      <c r="G4" s="3339"/>
      <c r="H4" s="3339"/>
      <c r="I4" s="334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12" t="s">
        <v>1263</v>
      </c>
      <c r="B5" s="3299">
        <v>25</v>
      </c>
      <c r="C5" s="3315"/>
      <c r="D5" s="3335"/>
      <c r="E5" s="123" t="s">
        <v>1264</v>
      </c>
      <c r="F5" s="1626"/>
      <c r="G5" s="1626"/>
      <c r="H5" s="1626"/>
      <c r="I5" s="1280"/>
    </row>
    <row r="6" spans="1:12" ht="12.75">
      <c r="A6" s="3312"/>
      <c r="B6" s="3299"/>
      <c r="C6" s="3316"/>
      <c r="D6" s="3335"/>
      <c r="E6" s="123" t="s">
        <v>1265</v>
      </c>
      <c r="F6" s="1626"/>
      <c r="G6" s="1626"/>
      <c r="H6" s="1626"/>
      <c r="I6" s="1280"/>
    </row>
    <row r="7" spans="1:12" ht="12.75">
      <c r="A7" s="3312"/>
      <c r="B7" s="3299"/>
      <c r="C7" s="3317"/>
      <c r="D7" s="3335"/>
      <c r="E7" s="123" t="s">
        <v>1266</v>
      </c>
      <c r="F7" s="1626"/>
      <c r="G7" s="1626"/>
      <c r="H7" s="1626"/>
      <c r="I7" s="1280"/>
    </row>
    <row r="8" spans="1:12" ht="12.75">
      <c r="A8" s="3312" t="s">
        <v>1267</v>
      </c>
      <c r="B8" s="3299">
        <v>15</v>
      </c>
      <c r="C8" s="3315"/>
      <c r="D8" s="3335"/>
      <c r="E8" s="123" t="s">
        <v>1268</v>
      </c>
      <c r="F8" s="1626"/>
      <c r="G8" s="1626"/>
      <c r="H8" s="1626"/>
      <c r="I8" s="1280"/>
    </row>
    <row r="9" spans="1:12" ht="12.75">
      <c r="A9" s="3312"/>
      <c r="B9" s="3299"/>
      <c r="C9" s="3317"/>
      <c r="D9" s="3335"/>
      <c r="E9" s="123" t="s">
        <v>1269</v>
      </c>
      <c r="F9" s="1626"/>
      <c r="G9" s="1626"/>
      <c r="H9" s="1626"/>
      <c r="I9" s="1280"/>
    </row>
    <row r="10" spans="1:12" ht="12.75">
      <c r="A10" s="3312" t="s">
        <v>1270</v>
      </c>
      <c r="B10" s="3299">
        <v>15</v>
      </c>
      <c r="C10" s="3315"/>
      <c r="D10" s="3335"/>
      <c r="E10" s="123" t="s">
        <v>1271</v>
      </c>
      <c r="F10" s="1626"/>
      <c r="G10" s="1626"/>
      <c r="H10" s="1626"/>
      <c r="I10" s="1280"/>
    </row>
    <row r="11" spans="1:12" ht="12.75">
      <c r="A11" s="3312"/>
      <c r="B11" s="3299"/>
      <c r="C11" s="3317"/>
      <c r="D11" s="3335"/>
      <c r="E11" s="123" t="s">
        <v>1272</v>
      </c>
      <c r="F11" s="1626"/>
      <c r="G11" s="1626"/>
      <c r="H11" s="1626"/>
      <c r="I11" s="1280"/>
    </row>
    <row r="12" spans="1:12" ht="12.75">
      <c r="A12" s="3312" t="s">
        <v>1273</v>
      </c>
      <c r="B12" s="3299">
        <v>15</v>
      </c>
      <c r="C12" s="3315"/>
      <c r="D12" s="3335"/>
      <c r="E12" s="123" t="s">
        <v>1274</v>
      </c>
      <c r="F12" s="1626"/>
      <c r="G12" s="1626"/>
      <c r="H12" s="1626"/>
      <c r="I12" s="1280"/>
    </row>
    <row r="13" spans="1:12" ht="12.75">
      <c r="A13" s="3312"/>
      <c r="B13" s="3299"/>
      <c r="C13" s="3317"/>
      <c r="D13" s="3335"/>
      <c r="E13" s="123" t="s">
        <v>1275</v>
      </c>
      <c r="F13" s="1626"/>
      <c r="G13" s="1626"/>
      <c r="H13" s="1626"/>
      <c r="I13" s="1280"/>
    </row>
    <row r="14" spans="1:12" ht="12.75">
      <c r="A14" s="3312" t="s">
        <v>1276</v>
      </c>
      <c r="B14" s="3299">
        <v>30</v>
      </c>
      <c r="C14" s="3315">
        <v>7</v>
      </c>
      <c r="D14" s="3335">
        <v>3</v>
      </c>
      <c r="E14" s="123" t="s">
        <v>1277</v>
      </c>
      <c r="F14" s="1626"/>
      <c r="G14" s="1626"/>
      <c r="H14" s="1626"/>
      <c r="I14" s="1280"/>
    </row>
    <row r="15" spans="1:12" ht="12.75">
      <c r="A15" s="3312"/>
      <c r="B15" s="3299"/>
      <c r="C15" s="3316"/>
      <c r="D15" s="3335"/>
      <c r="E15" s="123" t="s">
        <v>1278</v>
      </c>
      <c r="F15" s="1626"/>
      <c r="G15" s="1626"/>
      <c r="H15" s="1626"/>
      <c r="I15" s="1280"/>
    </row>
    <row r="16" spans="1:12" ht="12.75">
      <c r="A16" s="3312"/>
      <c r="B16" s="3299"/>
      <c r="C16" s="3317"/>
      <c r="D16" s="3335"/>
      <c r="E16" s="123" t="s">
        <v>1279</v>
      </c>
      <c r="F16" s="1626"/>
      <c r="G16" s="1626"/>
      <c r="H16" s="1626"/>
      <c r="I16" s="1280"/>
    </row>
    <row r="17" spans="1:36" ht="15">
      <c r="A17" s="1627" t="s">
        <v>1280</v>
      </c>
      <c r="B17" s="54"/>
      <c r="C17" s="124">
        <f>SUM(C5:C16)</f>
        <v>7</v>
      </c>
      <c r="D17" s="124">
        <f>SUM(D5:D16)</f>
        <v>3</v>
      </c>
      <c r="E17" s="121"/>
      <c r="F17" s="121"/>
      <c r="G17" s="121"/>
      <c r="H17" s="121"/>
      <c r="I17" s="121"/>
      <c r="K17" s="294"/>
      <c r="L17" s="294" t="s">
        <v>1281</v>
      </c>
      <c r="M17" s="294" t="s">
        <v>1282</v>
      </c>
    </row>
    <row r="18" spans="1:36" ht="31.9" customHeight="1" thickBot="1">
      <c r="A18" s="1628" t="s">
        <v>1283</v>
      </c>
      <c r="B18" s="1541"/>
      <c r="C18" s="125">
        <f>ROUND(C17/SUM(C17:D17),2)</f>
        <v>0.7</v>
      </c>
      <c r="D18" s="125">
        <f>1-C18</f>
        <v>0.30000000000000004</v>
      </c>
      <c r="E18" s="3322" t="s">
        <v>2125</v>
      </c>
      <c r="F18" s="3323"/>
      <c r="G18" s="3323"/>
      <c r="H18" s="3323"/>
      <c r="I18" s="3323"/>
      <c r="K18" s="294" t="s">
        <v>1284</v>
      </c>
      <c r="L18" s="294">
        <f>IF(C1="",'数据-汇总表'!E3,SUMIF(项目类型,C1,'数据-汇总表'!E17:E26)+SUMIF(项目类型,C1,'数据-汇总表'!I17:I26))</f>
        <v>1232.79</v>
      </c>
      <c r="M18" s="294">
        <f>IF(C1="",'数据-汇总表'!E3,SUMIF(项目类型,C1,'数据-汇总表'!E17:E26))</f>
        <v>1232.79</v>
      </c>
    </row>
    <row r="19" spans="1:36" ht="15">
      <c r="A19" s="1629" t="s">
        <v>1285</v>
      </c>
      <c r="B19" s="1630" t="s">
        <v>1286</v>
      </c>
      <c r="C19" s="126">
        <f ca="1">SUMIF(INDIRECT("'"&amp;C4&amp;"'"&amp;"!A:A"),结果表!B19,INDIRECT("'"&amp;C4&amp;"'"&amp;"!B:B"))</f>
        <v>3945</v>
      </c>
      <c r="D19" s="127">
        <f ca="1">SUMIF(INDIRECT("'"&amp;D4&amp;"'"&amp;"!A:A"),结果表!B19,INDIRECT("'"&amp;D4&amp;"'"&amp;"!B:B"))</f>
        <v>1100</v>
      </c>
      <c r="E19" s="1629" t="s">
        <v>1287</v>
      </c>
      <c r="F19" s="1630" t="s">
        <v>1286</v>
      </c>
      <c r="G19" s="128">
        <f ca="1">ROUND(C19*$C$18+D19*$D$18,0)</f>
        <v>3092</v>
      </c>
      <c r="H19" s="1631" t="s">
        <v>1288</v>
      </c>
      <c r="I19" s="121"/>
      <c r="K19" s="294" t="s">
        <v>1289</v>
      </c>
      <c r="L19" s="294">
        <f>IF(C1="",'数据-汇总表'!D3,SUMIF(项目类型,C1,'数据-汇总表'!D17:D26)+SUMIF(项目类型,C1,'数据-汇总表'!H17:H27))</f>
        <v>891.05</v>
      </c>
      <c r="M19" s="294">
        <f>IF(C1="",'数据-汇总表'!D3,SUMIF(项目类型,C1,'数据-汇总表'!D17:D26))</f>
        <v>891.05</v>
      </c>
    </row>
    <row r="20" spans="1:36" ht="15">
      <c r="A20" s="1632"/>
      <c r="B20" s="43" t="s">
        <v>1290</v>
      </c>
      <c r="C20" s="129">
        <f ca="1">SUMIF(INDIRECT("'"&amp;C4&amp;"'"&amp;"!A:A"),结果表!B20,INDIRECT("'"&amp;C4&amp;"'"&amp;"!B:B"))</f>
        <v>32001</v>
      </c>
      <c r="D20" s="130">
        <f ca="1">SUMIF(INDIRECT("'"&amp;D4&amp;"'"&amp;"!A:A"),结果表!B20,INDIRECT("'"&amp;D4&amp;"'"&amp;"!B:B"))</f>
        <v>8923</v>
      </c>
      <c r="E20" s="1632"/>
      <c r="F20" s="43" t="s">
        <v>1290</v>
      </c>
      <c r="G20" s="131">
        <f ca="1">ROUND(C20*$C$18+D20*$D$18,0)</f>
        <v>25078</v>
      </c>
      <c r="H20" s="760" t="s">
        <v>1291</v>
      </c>
      <c r="I20" s="121"/>
    </row>
    <row r="21" spans="1:36" ht="15" customHeight="1" thickBot="1">
      <c r="A21" s="449"/>
      <c r="B21" s="93" t="s">
        <v>1292</v>
      </c>
      <c r="C21" s="678">
        <f ca="1">ROUND(C19*10000/L19,0)</f>
        <v>44274</v>
      </c>
      <c r="D21" s="679">
        <f ca="1">ROUND(D19*10000/L19,0)</f>
        <v>12345</v>
      </c>
      <c r="E21" s="449"/>
      <c r="F21" s="93" t="s">
        <v>1292</v>
      </c>
      <c r="G21" s="132">
        <f ca="1">ROUND(G19*10000/L19,0)</f>
        <v>34701</v>
      </c>
      <c r="H21" s="1633" t="s">
        <v>1291</v>
      </c>
      <c r="I21" s="121"/>
    </row>
    <row r="22" spans="1:36" ht="15" thickBot="1">
      <c r="A22" s="1563" t="s">
        <v>1293</v>
      </c>
      <c r="B22" s="1634"/>
      <c r="C22" s="1635"/>
      <c r="D22" s="680">
        <f ca="1">IF(C19&lt;D19,D19/C19-1,C19/D19-1)</f>
        <v>2.5863636363636364</v>
      </c>
      <c r="E22" s="121"/>
      <c r="F22" s="121"/>
      <c r="G22" s="121"/>
      <c r="H22" s="121"/>
      <c r="I22" s="121"/>
    </row>
    <row r="23" spans="1:36" ht="13.5" thickBot="1">
      <c r="A23" s="646"/>
      <c r="B23" s="646"/>
      <c r="C23" s="646"/>
      <c r="D23" s="646"/>
      <c r="E23" s="121"/>
      <c r="F23" s="121"/>
      <c r="G23" s="121"/>
      <c r="H23" s="121"/>
      <c r="I23" s="121"/>
    </row>
    <row r="24" spans="1:36" ht="14.25">
      <c r="A24" s="3306" t="s">
        <v>1294</v>
      </c>
      <c r="B24" s="1630" t="s">
        <v>1286</v>
      </c>
      <c r="C24" s="128">
        <f>IF(B30=0,0,D30)</f>
        <v>0</v>
      </c>
      <c r="D24" s="1636"/>
      <c r="E24" s="121"/>
      <c r="F24" s="121"/>
      <c r="G24" s="121"/>
      <c r="H24" s="121"/>
      <c r="I24" s="121"/>
    </row>
    <row r="25" spans="1:36" ht="14.25">
      <c r="A25" s="3307"/>
      <c r="B25" s="43" t="s">
        <v>1290</v>
      </c>
      <c r="C25" s="133">
        <f>IF(B30=0,0,C30)</f>
        <v>0</v>
      </c>
      <c r="D25" s="1637"/>
      <c r="E25" s="121"/>
      <c r="F25" s="121"/>
      <c r="G25" s="121"/>
      <c r="H25" s="121"/>
      <c r="I25" s="121"/>
    </row>
    <row r="26" spans="1:36" ht="13.5" customHeight="1">
      <c r="A26" s="1638" t="s">
        <v>1295</v>
      </c>
      <c r="B26" s="134" t="s">
        <v>1296</v>
      </c>
      <c r="C26" s="134" t="s">
        <v>1297</v>
      </c>
      <c r="D26" s="135" t="s">
        <v>1298</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1299</v>
      </c>
      <c r="B30" s="134"/>
      <c r="C30" s="134"/>
      <c r="D30" s="134"/>
      <c r="E30" s="2124" t="s">
        <v>2126</v>
      </c>
      <c r="F30" s="121"/>
      <c r="G30" s="121"/>
      <c r="H30" s="121"/>
      <c r="I30" s="121"/>
    </row>
    <row r="31" spans="1:36" s="2130" customFormat="1" ht="26.45" customHeight="1" thickTop="1" thickBot="1">
      <c r="A31" s="2125"/>
      <c r="B31" s="2126"/>
      <c r="C31" s="2126"/>
      <c r="D31" s="2126"/>
      <c r="E31" s="2126"/>
      <c r="F31" s="2126"/>
      <c r="G31" s="2126"/>
      <c r="H31" s="2126"/>
      <c r="I31" s="2127" t="s">
        <v>2127</v>
      </c>
      <c r="J31" s="2460"/>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9" t="s">
        <v>1300</v>
      </c>
      <c r="B32" s="1534"/>
      <c r="C32" s="136">
        <f ca="1">IF(D32="总价",G19-C24,G20-C25)</f>
        <v>25078</v>
      </c>
      <c r="D32" s="1640" t="s">
        <v>3872</v>
      </c>
      <c r="E32" s="121"/>
      <c r="F32" s="121"/>
      <c r="G32" s="121"/>
      <c r="H32" s="121"/>
      <c r="I32" s="121"/>
    </row>
    <row r="33" spans="1:15" ht="15">
      <c r="A33" s="740" t="s">
        <v>1301</v>
      </c>
      <c r="B33" s="123"/>
      <c r="C33" s="1641"/>
      <c r="D33" s="1642"/>
      <c r="E33" s="1643" t="s">
        <v>1302</v>
      </c>
      <c r="F33" s="1644" t="str">
        <f>IF(D32="楼面单价","取值（单价）","取值（总价）")</f>
        <v>取值（单价）</v>
      </c>
      <c r="G33" s="121"/>
      <c r="H33" s="121"/>
      <c r="I33" s="121"/>
    </row>
    <row r="34" spans="1:15" ht="15">
      <c r="A34" s="1645"/>
      <c r="B34" s="1646" t="s">
        <v>1303</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1304</v>
      </c>
      <c r="F34" s="1242"/>
      <c r="G34" s="121"/>
      <c r="H34" s="121"/>
      <c r="I34" s="121"/>
    </row>
    <row r="35" spans="1:15" ht="15.75" thickBot="1">
      <c r="A35" s="1648"/>
      <c r="B35" s="1649" t="s">
        <v>1305</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1306</v>
      </c>
      <c r="F35" s="146"/>
      <c r="G35" s="121"/>
      <c r="H35" s="121"/>
      <c r="I35" s="121"/>
    </row>
    <row r="36" spans="1:15" ht="15.75" thickBot="1">
      <c r="A36" s="3326" t="s">
        <v>1307</v>
      </c>
      <c r="B36" s="1651" t="s">
        <v>1308</v>
      </c>
      <c r="C36" s="137"/>
      <c r="D36" s="1652"/>
      <c r="E36" s="1566"/>
      <c r="F36" s="1653"/>
      <c r="G36" s="121"/>
      <c r="H36" s="121"/>
      <c r="I36" s="121"/>
    </row>
    <row r="37" spans="1:15" ht="15.75" thickBot="1">
      <c r="A37" s="3327"/>
      <c r="B37" s="1554" t="s">
        <v>1309</v>
      </c>
      <c r="C37" s="139"/>
      <c r="D37" s="1071"/>
      <c r="E37" s="1071"/>
      <c r="F37" s="1653"/>
      <c r="G37" s="121"/>
      <c r="H37" s="121"/>
      <c r="I37" s="121"/>
    </row>
    <row r="38" spans="1:15" ht="15.75" thickBot="1">
      <c r="A38" s="3328"/>
      <c r="B38" s="1654" t="s">
        <v>1310</v>
      </c>
      <c r="C38" s="641"/>
      <c r="D38" s="1655" t="s">
        <v>1311</v>
      </c>
      <c r="E38" s="1071"/>
      <c r="F38" s="1653"/>
      <c r="G38" s="121"/>
      <c r="H38" s="121"/>
      <c r="I38" s="121"/>
    </row>
    <row r="39" spans="1:15" ht="15">
      <c r="A39" s="1632" t="s">
        <v>1312</v>
      </c>
      <c r="B39" s="1656" t="s">
        <v>1313</v>
      </c>
      <c r="C39" s="1657" t="s">
        <v>1314</v>
      </c>
      <c r="D39" s="1657" t="s">
        <v>1315</v>
      </c>
      <c r="E39" s="1658" t="s">
        <v>1316</v>
      </c>
      <c r="F39" s="1653"/>
      <c r="G39" s="121"/>
      <c r="H39" s="121"/>
      <c r="I39" s="121"/>
    </row>
    <row r="40" spans="1:15" ht="14.25">
      <c r="A40" s="1659" t="s">
        <v>1317</v>
      </c>
      <c r="B40" s="141"/>
      <c r="C40" s="142"/>
      <c r="D40" s="142"/>
      <c r="E40" s="143"/>
      <c r="F40" s="1653"/>
      <c r="G40" s="121"/>
      <c r="H40" s="121"/>
      <c r="I40" s="121"/>
    </row>
    <row r="41" spans="1:15" ht="14.25">
      <c r="A41" s="1659" t="s">
        <v>1318</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1319</v>
      </c>
      <c r="B44" s="1663"/>
      <c r="C44" s="1663"/>
      <c r="D44" s="1664"/>
      <c r="E44" s="1664"/>
      <c r="F44" s="1665"/>
      <c r="G44" s="1665"/>
      <c r="H44" s="1665"/>
      <c r="I44" s="1665"/>
      <c r="J44" s="1666" t="s">
        <v>1320</v>
      </c>
      <c r="K44" s="4"/>
      <c r="L44" s="4"/>
      <c r="M44" s="4"/>
      <c r="N44" s="4"/>
      <c r="O44" s="4"/>
    </row>
    <row r="45" spans="1:15" ht="14.25" customHeight="1" thickBot="1">
      <c r="A45" s="3303" t="s">
        <v>1321</v>
      </c>
      <c r="B45" s="3304"/>
      <c r="C45" s="3305"/>
      <c r="D45" s="147">
        <f ca="1">ROUND(H101*F45,0)</f>
        <v>3092</v>
      </c>
      <c r="E45" s="148" t="s">
        <v>1322</v>
      </c>
      <c r="F45" s="149">
        <v>1</v>
      </c>
      <c r="G45" s="150" t="s">
        <v>1323</v>
      </c>
      <c r="H45" s="121"/>
      <c r="I45" s="121"/>
      <c r="J45" s="3381" t="s">
        <v>1324</v>
      </c>
      <c r="K45" s="3381"/>
      <c r="L45" s="3381"/>
      <c r="M45" s="3381"/>
      <c r="N45" s="3381"/>
      <c r="O45" s="3381"/>
    </row>
    <row r="46" spans="1:15" ht="14.25" customHeight="1">
      <c r="A46" s="3300" t="s">
        <v>1325</v>
      </c>
      <c r="B46" s="3301"/>
      <c r="C46" s="3301"/>
      <c r="D46" s="3301"/>
      <c r="E46" s="3301"/>
      <c r="F46" s="3301"/>
      <c r="G46" s="3302"/>
      <c r="H46" s="1667"/>
      <c r="I46" s="151"/>
      <c r="J46" s="2306">
        <v>1</v>
      </c>
      <c r="K46" s="3362" t="s">
        <v>1326</v>
      </c>
      <c r="L46" s="3362"/>
      <c r="M46" s="3382"/>
      <c r="N46" s="3382"/>
      <c r="O46" s="3382"/>
    </row>
    <row r="47" spans="1:15" ht="12" customHeight="1">
      <c r="A47" s="152" t="s">
        <v>1327</v>
      </c>
      <c r="B47" s="153"/>
      <c r="C47" s="154"/>
      <c r="D47" s="1024" t="s">
        <v>1328</v>
      </c>
      <c r="E47" s="294" t="s">
        <v>1329</v>
      </c>
      <c r="F47" s="155" t="s">
        <v>1330</v>
      </c>
      <c r="G47" s="2329" t="s">
        <v>1331</v>
      </c>
      <c r="H47" s="2330"/>
      <c r="I47" s="151"/>
      <c r="J47" s="2306">
        <v>2</v>
      </c>
      <c r="K47" s="3362" t="s">
        <v>1332</v>
      </c>
      <c r="L47" s="3362"/>
      <c r="M47" s="3383">
        <f>'数据-取费表'!B2</f>
        <v>45383</v>
      </c>
      <c r="N47" s="3383"/>
      <c r="O47" s="3383"/>
    </row>
    <row r="48" spans="1:15" ht="25.5">
      <c r="A48" s="3331" t="s">
        <v>1333</v>
      </c>
      <c r="B48" s="3314"/>
      <c r="C48" s="3314"/>
      <c r="D48" s="12" t="b">
        <f>IF(H48="情况1",0,IF(H48="情况2",D52,IF(H48="情况3",D53,IF(H48="情况4",D54))))</f>
        <v>0</v>
      </c>
      <c r="E48" s="1255" t="str">
        <f>IF(H48="情况4","(销售额-原购置价)×税（费）率","销售额×税（费）率")</f>
        <v>销售额×税（费）率</v>
      </c>
      <c r="F48" s="2331">
        <f>IF(H48="情况1","免征",'数据-取费表'!B41)</f>
        <v>5.5000000000000007E-2</v>
      </c>
      <c r="G48" s="2332" t="s">
        <v>1334</v>
      </c>
      <c r="H48" s="2333"/>
      <c r="I48" s="1667"/>
      <c r="J48" s="2306">
        <v>3</v>
      </c>
      <c r="K48" s="3362" t="s">
        <v>1335</v>
      </c>
      <c r="L48" s="3362"/>
      <c r="M48" s="3384">
        <f ca="1">H101</f>
        <v>3092</v>
      </c>
      <c r="N48" s="3384"/>
      <c r="O48" s="3384"/>
    </row>
    <row r="49" spans="1:35" ht="25.5" customHeight="1">
      <c r="A49" s="2149" t="s">
        <v>1336</v>
      </c>
      <c r="B49" s="3298" t="s">
        <v>1337</v>
      </c>
      <c r="C49" s="3298"/>
      <c r="D49" s="1477">
        <v>0</v>
      </c>
      <c r="E49" s="316" t="s">
        <v>1338</v>
      </c>
      <c r="F49" s="2230" t="s">
        <v>28</v>
      </c>
      <c r="G49" s="3368"/>
      <c r="H49" s="2131" t="s">
        <v>2128</v>
      </c>
      <c r="I49" s="2132"/>
      <c r="J49" s="2306">
        <v>4</v>
      </c>
      <c r="K49" s="3362" t="str">
        <f>IF(项目基本情况!E8="房地产抵押价值","房地产抵押价值","抵押担保权已注销时的房地产抵押价值")</f>
        <v>房地产抵押价值</v>
      </c>
      <c r="L49" s="3362"/>
      <c r="M49" s="3384">
        <f ca="1">IF(项目基本情况!E8="房地产抵押价值",H107,H109)</f>
        <v>3092</v>
      </c>
      <c r="N49" s="3384"/>
      <c r="O49" s="3384"/>
    </row>
    <row r="50" spans="1:35" ht="25.5" customHeight="1">
      <c r="A50" s="2334"/>
      <c r="B50" s="3298" t="s">
        <v>1339</v>
      </c>
      <c r="C50" s="3298"/>
      <c r="D50" s="2186"/>
      <c r="E50" s="323"/>
      <c r="F50" s="2230"/>
      <c r="G50" s="3369"/>
      <c r="H50" s="2133" t="s">
        <v>2129</v>
      </c>
      <c r="I50" s="2132"/>
      <c r="J50" s="3381" t="s">
        <v>1340</v>
      </c>
      <c r="K50" s="3381"/>
      <c r="L50" s="3381"/>
      <c r="M50" s="3381"/>
      <c r="N50" s="3381"/>
      <c r="O50" s="3381"/>
    </row>
    <row r="51" spans="1:35" ht="20.45" customHeight="1">
      <c r="A51" s="2335"/>
      <c r="B51" s="3298" t="s">
        <v>1341</v>
      </c>
      <c r="C51" s="3298"/>
      <c r="D51" s="1024"/>
      <c r="E51" s="319"/>
      <c r="F51" s="2230"/>
      <c r="G51" s="3370"/>
      <c r="H51" s="2133" t="s">
        <v>2130</v>
      </c>
      <c r="I51" s="2132"/>
      <c r="J51" s="2307" t="s">
        <v>1342</v>
      </c>
      <c r="K51" s="3362" t="s">
        <v>1343</v>
      </c>
      <c r="L51" s="3362"/>
      <c r="M51" s="2307" t="s">
        <v>1344</v>
      </c>
      <c r="N51" s="2307" t="s">
        <v>1345</v>
      </c>
      <c r="O51" s="2307" t="s">
        <v>1346</v>
      </c>
    </row>
    <row r="52" spans="1:35" ht="24" customHeight="1">
      <c r="A52" s="2150" t="s">
        <v>1347</v>
      </c>
      <c r="B52" s="3298" t="s">
        <v>1348</v>
      </c>
      <c r="C52" s="3298"/>
      <c r="D52" s="1024">
        <f ca="1">ROUND(D45*'数据-取费表'!B41/(1+'数据-取费表'!C42),0)</f>
        <v>162</v>
      </c>
      <c r="E52" s="1255" t="s">
        <v>1349</v>
      </c>
      <c r="F52" s="2336">
        <f>'数据-取费表'!B41</f>
        <v>5.5000000000000007E-2</v>
      </c>
      <c r="G52" s="2337"/>
      <c r="H52" s="2327"/>
      <c r="I52" s="1668"/>
      <c r="J52" s="2306">
        <v>1</v>
      </c>
      <c r="K52" s="3363" t="s">
        <v>1350</v>
      </c>
      <c r="L52" s="3363"/>
      <c r="M52" s="2308" t="b">
        <f>D48</f>
        <v>0</v>
      </c>
      <c r="N52" s="2306" t="str">
        <f>E48</f>
        <v>销售额×税（费）率</v>
      </c>
      <c r="O52" s="2309">
        <f>F48</f>
        <v>5.5000000000000007E-2</v>
      </c>
    </row>
    <row r="53" spans="1:35" ht="12" customHeight="1">
      <c r="A53" s="2150" t="s">
        <v>1351</v>
      </c>
      <c r="B53" s="3324" t="s">
        <v>2276</v>
      </c>
      <c r="C53" s="3325"/>
      <c r="D53" s="1024">
        <f ca="1">ROUND(D45*'数据-取费表'!B41/(1+'数据-取费表'!C42),0)</f>
        <v>162</v>
      </c>
      <c r="E53" s="1255" t="s">
        <v>1349</v>
      </c>
      <c r="F53" s="2336">
        <f>'数据-取费表'!B41</f>
        <v>5.5000000000000007E-2</v>
      </c>
      <c r="G53" s="2337"/>
      <c r="H53" s="2327"/>
      <c r="I53" s="1668"/>
      <c r="J53" s="2306">
        <v>2</v>
      </c>
      <c r="K53" s="3363" t="s">
        <v>1352</v>
      </c>
      <c r="L53" s="3363"/>
      <c r="M53" s="2308">
        <f t="shared" ref="M53:O54" ca="1" si="0">D55</f>
        <v>2</v>
      </c>
      <c r="N53" s="2306" t="str">
        <f t="shared" si="0"/>
        <v>销售额×税（费）率</v>
      </c>
      <c r="O53" s="2309" t="str">
        <f t="shared" si="0"/>
        <v>免征</v>
      </c>
    </row>
    <row r="54" spans="1:35" ht="12" customHeight="1">
      <c r="A54" s="2150" t="s">
        <v>1353</v>
      </c>
      <c r="B54" s="3324" t="s">
        <v>2277</v>
      </c>
      <c r="C54" s="3325"/>
      <c r="D54" s="1024">
        <f ca="1">C68</f>
        <v>162</v>
      </c>
      <c r="E54" s="319" t="s">
        <v>1354</v>
      </c>
      <c r="F54" s="2336">
        <f>'数据-取费表'!B41</f>
        <v>5.5000000000000007E-2</v>
      </c>
      <c r="G54" s="2337"/>
      <c r="H54" s="2338"/>
      <c r="I54" s="1668"/>
      <c r="J54" s="2306">
        <v>3</v>
      </c>
      <c r="K54" s="3363" t="s">
        <v>1355</v>
      </c>
      <c r="L54" s="3363"/>
      <c r="M54" s="2308">
        <f t="shared" ca="1" si="0"/>
        <v>1753</v>
      </c>
      <c r="N54" s="2306" t="str">
        <f t="shared" si="0"/>
        <v>增值额×税（费）率</v>
      </c>
      <c r="O54" s="2310" t="str">
        <f t="shared" si="0"/>
        <v>免征</v>
      </c>
    </row>
    <row r="55" spans="1:35" ht="24" customHeight="1">
      <c r="A55" s="3313" t="s">
        <v>1356</v>
      </c>
      <c r="B55" s="3314"/>
      <c r="C55" s="3314"/>
      <c r="D55" s="12">
        <f ca="1">IF(H55="个人住宅",0,ROUND(D45*I55,0))</f>
        <v>2</v>
      </c>
      <c r="E55" s="1255" t="s">
        <v>1357</v>
      </c>
      <c r="F55" s="2336" t="str">
        <f>IF(H55="正常",I55,"免征")</f>
        <v>免征</v>
      </c>
      <c r="G55" s="2337"/>
      <c r="H55" s="2333"/>
      <c r="I55" s="157">
        <f>'数据-取费表'!B49</f>
        <v>5.0000000000000001E-4</v>
      </c>
      <c r="J55" s="2306">
        <f>IF(H59="非个人房产","",4)</f>
        <v>4</v>
      </c>
      <c r="K55" s="3363" t="str">
        <f>IF(H59="非个人房产","——","个人所得税")</f>
        <v>个人所得税</v>
      </c>
      <c r="L55" s="3363"/>
      <c r="M55" s="2311">
        <f ca="1">D59</f>
        <v>29</v>
      </c>
      <c r="N55" s="1880" t="str">
        <f>E59</f>
        <v>差额计税</v>
      </c>
      <c r="O55" s="2312">
        <f>F59</f>
        <v>0.01</v>
      </c>
    </row>
    <row r="56" spans="1:35" ht="24.75">
      <c r="A56" s="3313" t="s">
        <v>1358</v>
      </c>
      <c r="B56" s="3314"/>
      <c r="C56" s="3314"/>
      <c r="D56" s="12">
        <f ca="1">IF(H56="个人住宅",D57,D58)</f>
        <v>1753</v>
      </c>
      <c r="E56" s="1255" t="s">
        <v>1359</v>
      </c>
      <c r="F56" s="2336" t="str">
        <f>IF(H56="正常",F58,"免征")</f>
        <v>免征</v>
      </c>
      <c r="G56" s="2339" t="s">
        <v>1360</v>
      </c>
      <c r="H56" s="2340"/>
      <c r="I56" s="1669"/>
      <c r="J56" s="2306" t="str">
        <f>IF(项目基本情况!K6="上海银行",IF(J55="",4,J55+1),"")</f>
        <v/>
      </c>
      <c r="K56" s="3386" t="str">
        <f>IF(项目基本情况!K6="上海银行","其他处置费用","")</f>
        <v/>
      </c>
      <c r="L56" s="3387"/>
      <c r="M56" s="2308" t="str">
        <f>IF(项目基本情况!K6="上海银行",M69,"")</f>
        <v/>
      </c>
      <c r="N56" s="3386" t="str">
        <f>IF(项目基本情况!K6="上海银行","包含处置中涉及的律师、诉讼、拍卖、评估等费用","")</f>
        <v/>
      </c>
      <c r="O56" s="3389"/>
    </row>
    <row r="57" spans="1:35" ht="12.75">
      <c r="A57" s="2150" t="s">
        <v>1336</v>
      </c>
      <c r="B57" s="3324" t="s">
        <v>1361</v>
      </c>
      <c r="C57" s="3325"/>
      <c r="D57" s="1477">
        <v>0</v>
      </c>
      <c r="E57" s="316" t="s">
        <v>1338</v>
      </c>
      <c r="F57" s="294"/>
      <c r="G57" s="2337"/>
      <c r="H57" s="2341"/>
      <c r="I57" s="1669"/>
      <c r="J57" s="3363">
        <f>IF(AND(J55="",J56=""),4,IF(项目基本情况!K6="上海银行",结果表!J56+1,结果表!J55+1))</f>
        <v>5</v>
      </c>
      <c r="K57" s="3363" t="s">
        <v>1362</v>
      </c>
      <c r="L57" s="2313" t="s">
        <v>1363</v>
      </c>
      <c r="M57" s="2314"/>
      <c r="N57" s="2315">
        <f ca="1">SUMIF(M52:M56,"&lt;9e307")</f>
        <v>1784</v>
      </c>
      <c r="O57" s="2316"/>
      <c r="P57" s="2461">
        <f ca="1">N57/M49</f>
        <v>0.57697283311772318</v>
      </c>
    </row>
    <row r="58" spans="1:35" ht="24.75">
      <c r="A58" s="2150" t="s">
        <v>1347</v>
      </c>
      <c r="B58" s="3324" t="s">
        <v>1364</v>
      </c>
      <c r="C58" s="3298"/>
      <c r="D58" s="12">
        <f ca="1">IF(H58="转让取得",C81,C97)</f>
        <v>1753</v>
      </c>
      <c r="E58" s="1255" t="s">
        <v>1359</v>
      </c>
      <c r="F58" s="294" t="s">
        <v>28</v>
      </c>
      <c r="G58" s="2337"/>
      <c r="H58" s="2340"/>
      <c r="I58" s="1669"/>
      <c r="J58" s="3363"/>
      <c r="K58" s="3363"/>
      <c r="L58" s="2313" t="s">
        <v>1365</v>
      </c>
      <c r="M58" s="2317"/>
      <c r="N58" s="2318" t="str">
        <f ca="1">NUMBERSTRING(INT(N57*10000),2)&amp;"元整"</f>
        <v>壹仟柒佰捌拾肆万元整</v>
      </c>
      <c r="O58" s="2319"/>
    </row>
    <row r="59" spans="1:35" ht="24.75" thickBot="1">
      <c r="A59" s="3366" t="s">
        <v>1366</v>
      </c>
      <c r="B59" s="3367"/>
      <c r="C59" s="3367"/>
      <c r="D59" s="2342">
        <f ca="1">IF(H59="非个人房产","——",IF(H59="个人住宅（满五唯一有凭证）",0,IF(H59="个人其他（无凭证）",ROUND(D45*F59,0),ROUND(C67*F59,0))))</f>
        <v>29</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1360</v>
      </c>
      <c r="H59" s="2135"/>
      <c r="I59" s="2134" t="s">
        <v>2131</v>
      </c>
      <c r="J59" s="3364">
        <f>J57+1</f>
        <v>6</v>
      </c>
      <c r="K59" s="3363" t="s">
        <v>1367</v>
      </c>
      <c r="L59" s="2306" t="s">
        <v>1363</v>
      </c>
      <c r="M59" s="2320"/>
      <c r="N59" s="2321">
        <f ca="1">M49-N57</f>
        <v>1308</v>
      </c>
      <c r="O59" s="2322"/>
    </row>
    <row r="60" spans="1:35" ht="12" customHeight="1">
      <c r="A60" s="1670"/>
      <c r="B60" s="646"/>
      <c r="C60" s="646"/>
      <c r="D60" s="646"/>
      <c r="E60" s="1465"/>
      <c r="F60" s="1669"/>
      <c r="G60" s="1669"/>
      <c r="H60" s="151"/>
      <c r="I60" s="121"/>
      <c r="J60" s="3365"/>
      <c r="K60" s="3363"/>
      <c r="L60" s="2313" t="s">
        <v>1365</v>
      </c>
      <c r="M60" s="2317"/>
      <c r="N60" s="2318" t="str">
        <f ca="1">NUMBERSTRING(INT(N59*10000),2)&amp;"元整"</f>
        <v>壹仟叁佰零捌万元整</v>
      </c>
      <c r="O60" s="2319"/>
    </row>
    <row r="61" spans="1:35" ht="13.5" thickBot="1">
      <c r="A61" s="3311" t="s">
        <v>1368</v>
      </c>
      <c r="B61" s="3311"/>
      <c r="C61" s="3311"/>
      <c r="D61" s="3311"/>
      <c r="E61" s="3311"/>
      <c r="F61" s="1669"/>
      <c r="G61" s="1669"/>
      <c r="H61" s="151"/>
      <c r="I61" s="121"/>
      <c r="J61" s="2306">
        <f>J59+1</f>
        <v>7</v>
      </c>
      <c r="K61" s="3363" t="s">
        <v>1369</v>
      </c>
      <c r="L61" s="3363"/>
      <c r="M61" s="2323"/>
      <c r="N61" s="2324">
        <f ca="1">ROUND(N59*10000/'数据-汇总表'!E3,0)</f>
        <v>10610</v>
      </c>
      <c r="O61" s="2325"/>
    </row>
    <row r="62" spans="1:35" ht="12.75">
      <c r="A62" s="3329" t="s">
        <v>1370</v>
      </c>
      <c r="B62" s="3330"/>
      <c r="C62" s="1862"/>
      <c r="D62" s="1862" t="s">
        <v>1371</v>
      </c>
      <c r="E62" s="158" t="s">
        <v>1372</v>
      </c>
      <c r="F62" s="1669"/>
      <c r="G62" s="1669"/>
      <c r="H62" s="151"/>
      <c r="I62" s="121"/>
    </row>
    <row r="63" spans="1:35" ht="12.75">
      <c r="A63" s="165" t="s">
        <v>330</v>
      </c>
      <c r="B63" s="159" t="s">
        <v>1373</v>
      </c>
      <c r="C63" s="2346">
        <f ca="1">ROUND((C64+C65)/(1+'数据-取费表'!C42),0)</f>
        <v>2945</v>
      </c>
      <c r="D63" s="159"/>
      <c r="E63" s="160"/>
      <c r="F63" s="1669"/>
      <c r="G63" s="1669"/>
      <c r="H63" s="151"/>
      <c r="I63" s="121"/>
      <c r="J63" s="3388" t="s">
        <v>1374</v>
      </c>
      <c r="K63" s="1244" t="s">
        <v>1375</v>
      </c>
      <c r="L63" s="1244">
        <f ca="1">IF(M49&gt;10000,M49*0.5%,IF(AND(M49&gt;1000,M49&lt;=10000),M49*1%,IF(AND(M49&gt;100,M49&lt;=1000),M49*3%,IF(AND(M49&gt;10,M49&lt;=100),M49*5%,M49*8%))))</f>
        <v>30.92</v>
      </c>
      <c r="M63" s="294">
        <f ca="1">ROUND(L63,1)</f>
        <v>30.9</v>
      </c>
      <c r="N63" s="2326"/>
      <c r="Z63" s="1622"/>
      <c r="AI63" s="1560"/>
    </row>
    <row r="64" spans="1:35" ht="14.25" customHeight="1">
      <c r="A64" s="161" t="s">
        <v>325</v>
      </c>
      <c r="B64" s="162" t="s">
        <v>1376</v>
      </c>
      <c r="C64" s="2347">
        <f ca="1">D45</f>
        <v>3092</v>
      </c>
      <c r="D64" s="162" t="s">
        <v>26</v>
      </c>
      <c r="E64" s="164"/>
      <c r="F64" s="1669"/>
      <c r="G64" s="1669"/>
      <c r="H64" s="151"/>
      <c r="I64" s="121"/>
      <c r="J64" s="3388"/>
      <c r="K64" s="1244" t="s">
        <v>1377</v>
      </c>
      <c r="L64" s="1244">
        <f ca="1">IF(M49&gt;2000,M49*0.5%,IF(AND(M49&gt;1000,M49&lt;=2000),M49*0.6%,IF(AND(M49&gt;500,M49&lt;=1000),M49*0.7%,IF(AND(M49&gt;200,M49&lt;=500),M49*0.8%,IF(AND(M49&gt;100,M49&lt;=200),M49*0.9%,IF(AND(M49&gt;50,M49&lt;=100),M49*1%,IF(AND(M49&gt;20,M49&lt;=50),M49*1.5%,IF(AND(M49&gt;10,M49&lt;=20),M49*2%,IF(AND(M49&gt;1,M49&lt;=10),M49*2.5%)))))))))</f>
        <v>15.46</v>
      </c>
      <c r="M64" s="294">
        <f t="shared" ref="M64:M65" ca="1" si="1">ROUND(L64,1)</f>
        <v>15.5</v>
      </c>
      <c r="N64" s="2327" t="s">
        <v>1378</v>
      </c>
      <c r="Z64" s="1622"/>
      <c r="AI64" s="1560"/>
    </row>
    <row r="65" spans="1:35" ht="14.25" customHeight="1">
      <c r="A65" s="161" t="s">
        <v>326</v>
      </c>
      <c r="B65" s="162" t="s">
        <v>1379</v>
      </c>
      <c r="C65" s="2348"/>
      <c r="D65" s="162"/>
      <c r="E65" s="164"/>
      <c r="F65" s="1669"/>
      <c r="G65" s="1669"/>
      <c r="H65" s="151"/>
      <c r="I65" s="121"/>
      <c r="J65" s="3388"/>
      <c r="K65" s="1244" t="s">
        <v>1380</v>
      </c>
      <c r="L65" s="1244">
        <f ca="1">IF(M49&gt;1000,M49*0.1%,IF(AND(M49&gt;500,M49&lt;=1000),M49*0.5%,IF(AND(M49&gt;50,M49&lt;=500),M49*1%,IF(AND(M49&gt;1,M49&lt;=50),M49*1.5%))))</f>
        <v>3.0920000000000001</v>
      </c>
      <c r="M65" s="294">
        <f t="shared" ca="1" si="1"/>
        <v>3.1</v>
      </c>
      <c r="N65" s="2327" t="s">
        <v>1378</v>
      </c>
      <c r="Z65" s="1622"/>
      <c r="AI65" s="1560"/>
    </row>
    <row r="66" spans="1:35" ht="14.25" customHeight="1">
      <c r="A66" s="165" t="s">
        <v>327</v>
      </c>
      <c r="B66" s="166" t="s">
        <v>1381</v>
      </c>
      <c r="C66" s="2349"/>
      <c r="D66" s="166" t="s">
        <v>26</v>
      </c>
      <c r="E66" s="1250" t="s">
        <v>666</v>
      </c>
      <c r="F66" s="1669"/>
      <c r="G66" s="1669"/>
      <c r="H66" s="151"/>
      <c r="I66" s="121"/>
      <c r="J66" s="3388"/>
      <c r="K66" s="1244" t="s">
        <v>1382</v>
      </c>
      <c r="L66" s="1244">
        <f ca="1">M49*0.5%</f>
        <v>15.46</v>
      </c>
      <c r="M66" s="294">
        <f ca="1">IF(L66&gt;0.5,0.5,ROUND(L66,0))</f>
        <v>0.5</v>
      </c>
      <c r="N66" s="2327" t="s">
        <v>1383</v>
      </c>
      <c r="Z66" s="1622"/>
      <c r="AI66" s="1560"/>
    </row>
    <row r="67" spans="1:35" ht="14.25" customHeight="1">
      <c r="A67" s="165" t="s">
        <v>328</v>
      </c>
      <c r="B67" s="166" t="s">
        <v>1384</v>
      </c>
      <c r="C67" s="2350">
        <f ca="1">C63-C66</f>
        <v>2945</v>
      </c>
      <c r="D67" s="162" t="s">
        <v>26</v>
      </c>
      <c r="E67" s="164"/>
      <c r="F67" s="1669"/>
      <c r="G67" s="1669"/>
      <c r="H67" s="151"/>
      <c r="I67" s="121"/>
      <c r="J67" s="3388"/>
      <c r="K67" s="1244" t="s">
        <v>1385</v>
      </c>
      <c r="L67" s="1244">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6"/>
      <c r="Z67" s="1622"/>
      <c r="AI67" s="1560"/>
    </row>
    <row r="68" spans="1:35" ht="14.25" customHeight="1" thickBot="1">
      <c r="A68" s="168" t="s">
        <v>329</v>
      </c>
      <c r="B68" s="169" t="s">
        <v>1386</v>
      </c>
      <c r="C68" s="2351">
        <f ca="1">IF(C67&lt;=0,0,ROUND(C67*D68,0))</f>
        <v>162</v>
      </c>
      <c r="D68" s="2352">
        <f>'数据-取费表'!B41</f>
        <v>5.5000000000000007E-2</v>
      </c>
      <c r="E68" s="170"/>
      <c r="F68" s="1669"/>
      <c r="G68" s="1669"/>
      <c r="H68" s="151"/>
      <c r="I68" s="121"/>
      <c r="J68" s="3388"/>
      <c r="K68" s="1244" t="s">
        <v>1387</v>
      </c>
      <c r="L68" s="1244">
        <f ca="1">IF(M49&gt;10000,M49*0.5%,IF(AND(M49&gt;5000,M49&lt;=10000),M49*1%,IF(AND(M49&gt;1000,M49&lt;=5000),M49*2%,IF(AND(M49&gt;200,M49&lt;=1000),M49*3%,M49*5%))))</f>
        <v>61.84</v>
      </c>
      <c r="M68" s="294">
        <f ca="1">ROUND(L68,1)</f>
        <v>61.8</v>
      </c>
      <c r="N68" s="2326"/>
      <c r="Z68" s="1622"/>
      <c r="AI68" s="1560"/>
    </row>
    <row r="69" spans="1:35" ht="16.5" customHeight="1">
      <c r="A69" s="1671"/>
      <c r="B69" s="1672"/>
      <c r="C69" s="1673"/>
      <c r="D69" s="1674"/>
      <c r="E69" s="1675"/>
      <c r="F69" s="1465"/>
      <c r="G69" s="1465"/>
      <c r="H69" s="1466"/>
      <c r="I69" s="646"/>
      <c r="J69" s="3388"/>
      <c r="K69" s="1244" t="s">
        <v>1388</v>
      </c>
      <c r="L69" s="1244"/>
      <c r="M69" s="294">
        <f ca="1">ROUND(SUM(M63:M68),0)</f>
        <v>114</v>
      </c>
      <c r="N69" s="2328">
        <f ca="1">M69/M49</f>
        <v>3.6869340232858989E-2</v>
      </c>
      <c r="Z69" s="1622"/>
      <c r="AI69" s="1560"/>
    </row>
    <row r="70" spans="1:35" s="642" customFormat="1" ht="15" thickBot="1">
      <c r="A70" s="3350" t="s">
        <v>1389</v>
      </c>
      <c r="B70" s="3351"/>
      <c r="C70" s="3351"/>
      <c r="D70" s="3351"/>
      <c r="E70" s="3351"/>
      <c r="F70" s="3351"/>
      <c r="G70" s="3351"/>
      <c r="H70" s="3351"/>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29" t="s">
        <v>1370</v>
      </c>
      <c r="B71" s="3330"/>
      <c r="C71" s="1862"/>
      <c r="D71" s="1862" t="s">
        <v>1371</v>
      </c>
      <c r="E71" s="171" t="s">
        <v>1372</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1390</v>
      </c>
      <c r="C72" s="2350">
        <f ca="1">ROUND(D45/(1+'数据-取费表'!C42),0)</f>
        <v>2945</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1391</v>
      </c>
      <c r="C73" s="2350">
        <f ca="1">C74+C78</f>
        <v>15</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1392</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1393</v>
      </c>
      <c r="C75" s="2353"/>
      <c r="D75" s="162" t="s">
        <v>26</v>
      </c>
      <c r="E75" s="176" t="s">
        <v>1394</v>
      </c>
      <c r="F75" s="2354"/>
      <c r="G75" s="176" t="s">
        <v>1395</v>
      </c>
      <c r="H75" s="2355"/>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1396</v>
      </c>
      <c r="C76" s="162">
        <f>IF(F75="购房发票",ROUND(C75*H75*D76,0),0)</f>
        <v>0</v>
      </c>
      <c r="D76" s="2356">
        <v>0.05</v>
      </c>
      <c r="E76" s="3324" t="s">
        <v>1397</v>
      </c>
      <c r="F76" s="3298"/>
      <c r="G76" s="3298"/>
      <c r="H76" s="334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1398</v>
      </c>
      <c r="C77" s="162">
        <f>ROUND(IF(G77="个人住宅",0,IF(G77="2016年5月1日前购买",C75*D77,C75*D77/(1+'数据-取费表'!C42))),0)</f>
        <v>0</v>
      </c>
      <c r="D77" s="2357">
        <f>'数据-取费表'!B48+'数据-取费表'!B49</f>
        <v>3.0499999999999999E-2</v>
      </c>
      <c r="E77" s="12" t="s">
        <v>1399</v>
      </c>
      <c r="F77" s="178"/>
      <c r="G77" s="1681"/>
      <c r="H77" s="2148"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1400</v>
      </c>
      <c r="C78" s="2358">
        <f ca="1">ROUND(D45*D78/(1+'数据-取费表'!C42),0)</f>
        <v>15</v>
      </c>
      <c r="D78" s="2359">
        <f>'数据-取费表'!B43</f>
        <v>5.000000000000001E-3</v>
      </c>
      <c r="E78" s="3308" t="s">
        <v>1401</v>
      </c>
      <c r="F78" s="3309"/>
      <c r="G78" s="3309"/>
      <c r="H78" s="331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1402</v>
      </c>
      <c r="C79" s="2350">
        <f ca="1">C72-C73</f>
        <v>2930</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1403</v>
      </c>
      <c r="C80" s="2360">
        <f ca="1">IF(C79&lt;=0,0,C79/C73)</f>
        <v>195.33333333333334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1404</v>
      </c>
      <c r="C81" s="2361">
        <f ca="1">ROUND(IF(C79&lt;=0,0,IF(C80&gt;=200%,C79*60%-C73*35%,IF(C80&gt;=100%,C79*50%-C73*15%,IF(C80&gt;=50%,C79*40%-C73*5%,IF(C80&lt;50%,C79*30%,0))))),0)</f>
        <v>1753</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50" t="s">
        <v>1405</v>
      </c>
      <c r="B83" s="3351"/>
      <c r="C83" s="3351"/>
      <c r="D83" s="3351"/>
      <c r="E83" s="3351"/>
      <c r="F83" s="3351"/>
      <c r="G83" s="3351"/>
      <c r="H83" s="335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29" t="s">
        <v>1370</v>
      </c>
      <c r="B84" s="3330"/>
      <c r="C84" s="1862"/>
      <c r="D84" s="1862" t="s">
        <v>1371</v>
      </c>
      <c r="E84" s="171" t="s">
        <v>1372</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1390</v>
      </c>
      <c r="C85" s="2350">
        <f ca="1">ROUND(D45/(1+'数据-取费表'!C42),0)</f>
        <v>2945</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1391</v>
      </c>
      <c r="C86" s="2350">
        <f ca="1">IF(H88="仅含出让金",C87+C90+C91+C92+C93+C94,C87+C91+C92+C93+C94)</f>
        <v>15</v>
      </c>
      <c r="D86" s="2363"/>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1406</v>
      </c>
      <c r="C87" s="2358">
        <f>C88+C89</f>
        <v>0</v>
      </c>
      <c r="D87" s="2359"/>
      <c r="E87" s="2144"/>
      <c r="F87" s="2145"/>
      <c r="G87" s="2145"/>
      <c r="H87" s="2146"/>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1407</v>
      </c>
      <c r="C88" s="2364"/>
      <c r="D88" s="2359"/>
      <c r="E88" s="185" t="s">
        <v>1408</v>
      </c>
      <c r="F88" s="2145"/>
      <c r="G88" s="186" t="s">
        <v>1409</v>
      </c>
      <c r="H88" s="1683"/>
      <c r="I88" s="1680"/>
      <c r="J88" s="2304" t="s">
        <v>2273</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1398</v>
      </c>
      <c r="C89" s="2358">
        <f>ROUND(C88*D89,0)</f>
        <v>0</v>
      </c>
      <c r="D89" s="2359">
        <f>'数据-取费表'!B48+'数据-取费表'!B49</f>
        <v>3.0499999999999999E-2</v>
      </c>
      <c r="E89" s="185" t="s">
        <v>1410</v>
      </c>
      <c r="F89" s="2145"/>
      <c r="G89" s="2145"/>
      <c r="H89" s="2146"/>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1411</v>
      </c>
      <c r="C90" s="2364"/>
      <c r="D90" s="2359"/>
      <c r="E90" s="185" t="str">
        <f>IF(H88="-","土地取得成本中已包含该笔费用"," ")</f>
        <v xml:space="preserve"> </v>
      </c>
      <c r="F90" s="2145"/>
      <c r="G90" s="3390" t="s">
        <v>2123</v>
      </c>
      <c r="H90" s="3391"/>
      <c r="I90" s="1680"/>
      <c r="J90" s="2304" t="s">
        <v>2274</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1412</v>
      </c>
      <c r="B91" s="162" t="s">
        <v>1413</v>
      </c>
      <c r="C91" s="2358">
        <f>IF(H91="——",成本法!C33,I91)</f>
        <v>0</v>
      </c>
      <c r="D91" s="2359"/>
      <c r="E91" s="3308" t="s">
        <v>1414</v>
      </c>
      <c r="F91" s="3309"/>
      <c r="G91" s="3309"/>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1415</v>
      </c>
      <c r="B92" s="162" t="s">
        <v>1416</v>
      </c>
      <c r="C92" s="2358">
        <f>ROUND((C87+C90+C91)*D92,0)</f>
        <v>0</v>
      </c>
      <c r="D92" s="2365"/>
      <c r="E92" s="3308" t="s">
        <v>1417</v>
      </c>
      <c r="F92" s="3309"/>
      <c r="G92" s="3309"/>
      <c r="H92" s="3318"/>
      <c r="I92" s="1680"/>
      <c r="J92" s="2305" t="s">
        <v>2275</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1418</v>
      </c>
      <c r="B93" s="162" t="s">
        <v>1400</v>
      </c>
      <c r="C93" s="2358">
        <f ca="1">ROUND(D45*D93/(1+'数据-取费表'!C42),0)</f>
        <v>15</v>
      </c>
      <c r="D93" s="2359">
        <f>'数据-取费表'!B43</f>
        <v>5.000000000000001E-3</v>
      </c>
      <c r="E93" s="3308" t="s">
        <v>1401</v>
      </c>
      <c r="F93" s="3309"/>
      <c r="G93" s="3309"/>
      <c r="H93" s="331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1419</v>
      </c>
      <c r="B94" s="162" t="s">
        <v>1420</v>
      </c>
      <c r="C94" s="2364">
        <f>ROUND((C87+C90+C91)*D94,0)</f>
        <v>0</v>
      </c>
      <c r="D94" s="2359">
        <v>0.2</v>
      </c>
      <c r="E94" s="3319" t="s">
        <v>1421</v>
      </c>
      <c r="F94" s="3320"/>
      <c r="G94" s="3320"/>
      <c r="H94" s="332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1402</v>
      </c>
      <c r="C95" s="2350">
        <f ca="1">ROUND(C85-C86,0)</f>
        <v>2930</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1403</v>
      </c>
      <c r="C96" s="2360">
        <f ca="1">IF(C95&lt;=0,0,C95/C86)</f>
        <v>195.33333333333334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1404</v>
      </c>
      <c r="C97" s="2361">
        <f ca="1">ROUND(IF(C95&lt;=0,0,IF(C96&gt;=200%,C95*60%-C86*35%,IF(C96&gt;=100%,C95*50%-C86*15%,IF(C96&gt;=50%,C95*40%-C86*5%,IF(C96&lt;50%,C95*30%,0))))),0)</f>
        <v>1753</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1422</v>
      </c>
      <c r="B99" s="646"/>
      <c r="C99" s="646"/>
      <c r="D99" s="646"/>
      <c r="E99" s="1465"/>
      <c r="F99" s="1465"/>
      <c r="G99" s="1465"/>
      <c r="H99" s="1466"/>
      <c r="I99" s="121"/>
    </row>
    <row r="100" spans="1:35" ht="18.75" customHeight="1">
      <c r="A100" s="3292" t="s">
        <v>1423</v>
      </c>
      <c r="B100" s="3293"/>
      <c r="C100" s="3293"/>
      <c r="D100" s="3310"/>
      <c r="E100" s="3293" t="s">
        <v>1424</v>
      </c>
      <c r="F100" s="3293"/>
      <c r="G100" s="3293"/>
      <c r="H100" s="3310"/>
      <c r="I100" s="121"/>
    </row>
    <row r="101" spans="1:35" ht="18.75" customHeight="1">
      <c r="A101" s="3371" t="s">
        <v>1425</v>
      </c>
      <c r="B101" s="3372"/>
      <c r="C101" s="2367" t="str">
        <f>C4</f>
        <v>成本法</v>
      </c>
      <c r="D101" s="2368" t="str">
        <f>D4</f>
        <v>收益法</v>
      </c>
      <c r="E101" s="3385" t="s">
        <v>1426</v>
      </c>
      <c r="F101" s="3342"/>
      <c r="G101" s="1686" t="s">
        <v>1427</v>
      </c>
      <c r="H101" s="2377">
        <f ca="1">H118</f>
        <v>3092</v>
      </c>
      <c r="I101" s="121"/>
    </row>
    <row r="102" spans="1:35" ht="18.75" customHeight="1">
      <c r="A102" s="3344" t="s">
        <v>1428</v>
      </c>
      <c r="B102" s="2366" t="s">
        <v>1427</v>
      </c>
      <c r="C102" s="2367">
        <f ca="1">IF(D32="楼面单价",ROUND(C19,0),C19)</f>
        <v>3945</v>
      </c>
      <c r="D102" s="2368">
        <f ca="1">IF(D32="楼面单价",ROUND(D19,0),D19)</f>
        <v>1100</v>
      </c>
      <c r="E102" s="3385"/>
      <c r="F102" s="3342"/>
      <c r="G102" s="1686" t="s">
        <v>1429</v>
      </c>
      <c r="H102" s="2337">
        <f ca="1">I118</f>
        <v>25078</v>
      </c>
      <c r="I102" s="121"/>
    </row>
    <row r="103" spans="1:35" ht="42.75" customHeight="1">
      <c r="A103" s="3344"/>
      <c r="B103" s="2366" t="s">
        <v>1429</v>
      </c>
      <c r="C103" s="2369">
        <f ca="1">C20</f>
        <v>32001</v>
      </c>
      <c r="D103" s="2370">
        <f ca="1">D20</f>
        <v>8923</v>
      </c>
      <c r="E103" s="3379" t="s">
        <v>1430</v>
      </c>
      <c r="F103" s="3380"/>
      <c r="G103" s="1687" t="s">
        <v>1431</v>
      </c>
      <c r="H103" s="2377">
        <f>IF(D36="正常操作",H104+H105+H106,H105+H106)</f>
        <v>0</v>
      </c>
      <c r="I103" s="121"/>
    </row>
    <row r="104" spans="1:35" ht="18.75" customHeight="1">
      <c r="A104" s="3344" t="s">
        <v>1432</v>
      </c>
      <c r="B104" s="2371" t="s">
        <v>1427</v>
      </c>
      <c r="C104" s="2372">
        <f ca="1">H118</f>
        <v>3092</v>
      </c>
      <c r="D104" s="2373"/>
      <c r="E104" s="1554" t="s">
        <v>1433</v>
      </c>
      <c r="F104" s="1547"/>
      <c r="G104" s="1687" t="s">
        <v>1431</v>
      </c>
      <c r="H104" s="2378">
        <f>IF(D36="同一抵押权人同一抵押物续贷",C36&amp;"（续贷，未扣减，详见特别提示）",C36)</f>
        <v>0</v>
      </c>
      <c r="I104" s="121"/>
    </row>
    <row r="105" spans="1:35" ht="18.75" customHeight="1" thickBot="1">
      <c r="A105" s="3345"/>
      <c r="B105" s="2374" t="s">
        <v>1429</v>
      </c>
      <c r="C105" s="2375">
        <f ca="1">I118</f>
        <v>25078</v>
      </c>
      <c r="D105" s="2376"/>
      <c r="E105" s="1554" t="s">
        <v>1434</v>
      </c>
      <c r="F105" s="1547"/>
      <c r="G105" s="1687" t="s">
        <v>1431</v>
      </c>
      <c r="H105" s="2379">
        <f>C37</f>
        <v>0</v>
      </c>
      <c r="I105" s="121"/>
    </row>
    <row r="106" spans="1:35" ht="18.75" customHeight="1">
      <c r="A106" s="646" t="s">
        <v>1435</v>
      </c>
      <c r="B106" s="646"/>
      <c r="C106" s="646"/>
      <c r="D106" s="646"/>
      <c r="E106" s="1688" t="s">
        <v>1436</v>
      </c>
      <c r="F106" s="1547"/>
      <c r="G106" s="1687" t="s">
        <v>1431</v>
      </c>
      <c r="H106" s="2379">
        <f>C38</f>
        <v>0</v>
      </c>
      <c r="I106" s="121"/>
    </row>
    <row r="107" spans="1:35" ht="18.75" customHeight="1">
      <c r="A107" s="121"/>
      <c r="B107" s="121"/>
      <c r="C107" s="121"/>
      <c r="D107" s="121"/>
      <c r="E107" s="3341" t="str">
        <f>IF(项目基本情况!E8="已注销","——","3.房地产抵押价值")</f>
        <v>3.房地产抵押价值</v>
      </c>
      <c r="F107" s="3342"/>
      <c r="G107" s="1686" t="s">
        <v>1427</v>
      </c>
      <c r="H107" s="2377">
        <f ca="1">IF(E107="——","——",H101-H103)</f>
        <v>3092</v>
      </c>
      <c r="I107" s="121"/>
    </row>
    <row r="108" spans="1:35" ht="18.75" customHeight="1">
      <c r="A108" s="121"/>
      <c r="B108" s="121"/>
      <c r="C108" s="121"/>
      <c r="D108" s="121"/>
      <c r="E108" s="3341"/>
      <c r="F108" s="3342"/>
      <c r="G108" s="1686" t="s">
        <v>1429</v>
      </c>
      <c r="H108" s="2337">
        <f ca="1">IF(H107=H101,H102,ROUND(H107*10000/'数据-汇总表'!E3,0))</f>
        <v>25078</v>
      </c>
      <c r="I108" s="121"/>
    </row>
    <row r="109" spans="1:35" ht="18.75" customHeight="1">
      <c r="A109" s="121"/>
      <c r="B109" s="121"/>
      <c r="C109" s="121"/>
      <c r="D109" s="121"/>
      <c r="E109" s="3341" t="str">
        <f>IF(项目基本情况!E8="已注销及未注销","4.抵押担保权已注销时的房地产抵押价值",IF(项目基本情况!E8="已注销","3.抵押担保权已注销时的房地产抵押价值","——"))</f>
        <v>——</v>
      </c>
      <c r="F109" s="3342"/>
      <c r="G109" s="1686" t="s">
        <v>1427</v>
      </c>
      <c r="H109" s="2380" t="str">
        <f>IF(E109="——","——",H101-H105-H106)</f>
        <v>——</v>
      </c>
      <c r="I109" s="121"/>
    </row>
    <row r="110" spans="1:35" ht="18.75" customHeight="1">
      <c r="A110" s="121"/>
      <c r="B110" s="121"/>
      <c r="C110" s="121"/>
      <c r="D110" s="121"/>
      <c r="E110" s="3341"/>
      <c r="F110" s="3342"/>
      <c r="G110" s="1686" t="s">
        <v>1429</v>
      </c>
      <c r="H110" s="2337" t="str">
        <f>IF(H109="——","——",ROUND(H109*10000/'数据-汇总表'!E3,0))</f>
        <v>——</v>
      </c>
      <c r="I110" s="121"/>
    </row>
    <row r="111" spans="1:35" ht="18.75" customHeight="1">
      <c r="A111" s="121"/>
      <c r="B111" s="121"/>
      <c r="C111" s="121"/>
      <c r="D111" s="121"/>
      <c r="E111" s="3373" t="str">
        <f>IF(项目基本情况!E9="抵押净值",IF(OR(项目基本情况!E8="已注销",项目基本情况!E8="房地产抵押价值"),"4.抵押净值","5.抵押净值"),"——")</f>
        <v>——</v>
      </c>
      <c r="F111" s="3343"/>
      <c r="G111" s="1686" t="s">
        <v>1427</v>
      </c>
      <c r="H111" s="2377" t="str">
        <f>IF(E111="——","——",N59)</f>
        <v>——</v>
      </c>
      <c r="I111" s="121"/>
    </row>
    <row r="112" spans="1:35" ht="18.75" customHeight="1" thickBot="1">
      <c r="A112" s="121"/>
      <c r="B112" s="121"/>
      <c r="C112" s="121"/>
      <c r="D112" s="121"/>
      <c r="E112" s="3374"/>
      <c r="F112" s="3375"/>
      <c r="G112" s="1689" t="s">
        <v>1429</v>
      </c>
      <c r="H112" s="2381" t="str">
        <f>IF(E111="——","——",N61)</f>
        <v>——</v>
      </c>
      <c r="I112" s="121"/>
    </row>
    <row r="113" spans="1:27" ht="18.75" customHeight="1">
      <c r="A113" s="121"/>
      <c r="B113" s="121"/>
      <c r="C113" s="121"/>
      <c r="D113" s="121"/>
      <c r="E113" s="3346" t="s">
        <v>1435</v>
      </c>
      <c r="F113" s="3346"/>
      <c r="G113" s="3346"/>
      <c r="H113" s="3346"/>
      <c r="I113" s="121"/>
    </row>
    <row r="114" spans="1:27" ht="3.75" customHeight="1">
      <c r="A114" s="646"/>
      <c r="B114" s="646"/>
      <c r="C114" s="646"/>
      <c r="D114" s="646"/>
      <c r="E114" s="1670"/>
      <c r="F114" s="1670"/>
      <c r="G114" s="1670"/>
      <c r="H114" s="1670"/>
      <c r="I114" s="646"/>
    </row>
    <row r="115" spans="1:27" ht="18.75" customHeight="1">
      <c r="A115" s="3356" t="s">
        <v>1437</v>
      </c>
      <c r="B115" s="3357"/>
      <c r="C115" s="3357"/>
      <c r="D115" s="3357"/>
      <c r="E115" s="3357"/>
      <c r="F115" s="3357"/>
      <c r="G115" s="3357"/>
      <c r="H115" s="3357"/>
      <c r="I115" s="3358"/>
    </row>
    <row r="116" spans="1:27" ht="27" customHeight="1">
      <c r="A116" s="3312" t="s">
        <v>1438</v>
      </c>
      <c r="B116" s="3347" t="s">
        <v>1439</v>
      </c>
      <c r="C116" s="3347" t="s">
        <v>1440</v>
      </c>
      <c r="D116" s="3360" t="s">
        <v>1441</v>
      </c>
      <c r="E116" s="3361"/>
      <c r="F116" s="3355" t="s">
        <v>1442</v>
      </c>
      <c r="G116" s="3355"/>
      <c r="H116" s="3312" t="s">
        <v>1443</v>
      </c>
      <c r="I116" s="3312"/>
    </row>
    <row r="117" spans="1:27" ht="18.75" customHeight="1">
      <c r="A117" s="3312"/>
      <c r="B117" s="3348"/>
      <c r="C117" s="3348"/>
      <c r="D117" s="2147" t="s">
        <v>1444</v>
      </c>
      <c r="E117" s="2147" t="s">
        <v>1445</v>
      </c>
      <c r="F117" s="2147" t="s">
        <v>1444</v>
      </c>
      <c r="G117" s="2147" t="s">
        <v>1446</v>
      </c>
      <c r="H117" s="2147" t="s">
        <v>1444</v>
      </c>
      <c r="I117" s="2147" t="s">
        <v>1446</v>
      </c>
    </row>
    <row r="118" spans="1:27" ht="24.75" customHeight="1">
      <c r="A118" s="2382" t="str">
        <f>项目基本情况!S2</f>
        <v>北京市房地产</v>
      </c>
      <c r="B118" s="2147">
        <f>M18</f>
        <v>1232.79</v>
      </c>
      <c r="C118" s="2147">
        <f>M19</f>
        <v>891.05</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f ca="1">ROUND(IF(D32="总价",C32,I118*B118/10000),0)</f>
        <v>3092</v>
      </c>
      <c r="I118" s="2147">
        <f ca="1">ROUND(IF(D32="楼面单价",C32,H118*10000/B118),0)</f>
        <v>25078</v>
      </c>
    </row>
    <row r="119" spans="1:27" ht="18.75" customHeight="1">
      <c r="A119" s="3312" t="s">
        <v>1447</v>
      </c>
      <c r="B119" s="3312"/>
      <c r="C119" s="3312"/>
      <c r="D119" s="3352" t="e">
        <f ca="1">NUMBERSTRING(INT(D118*10000),2)&amp;"元整"</f>
        <v>#REF!</v>
      </c>
      <c r="E119" s="3354"/>
      <c r="F119" s="3352" t="e">
        <f ca="1">NUMBERSTRING(INT(F118*10000),2)&amp;"元整"</f>
        <v>#REF!</v>
      </c>
      <c r="G119" s="3354"/>
      <c r="H119" s="3352" t="str">
        <f ca="1">NUMBERSTRING(INT(H118*10000),2)&amp;"元整"</f>
        <v>叁仟零玖拾贰万元整</v>
      </c>
      <c r="I119" s="3354"/>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52" t="s">
        <v>1447</v>
      </c>
      <c r="B121" s="3353"/>
      <c r="C121" s="3354"/>
      <c r="D121" s="3352" t="str">
        <f>IF(D120=0,"零元整",NUMBERSTRING(INT(D120*10000),2)&amp;"元整")</f>
        <v>零元整</v>
      </c>
      <c r="E121" s="3353"/>
      <c r="F121" s="3353"/>
      <c r="G121" s="3353"/>
      <c r="H121" s="3353"/>
      <c r="I121" s="3354"/>
      <c r="AA121" s="684"/>
    </row>
    <row r="122" spans="1:27" ht="18.75" customHeight="1">
      <c r="A122" s="3343" t="str">
        <f>IF(项目基本情况!B9="房地产市场价值","",MID(E107,3,LEN(E107)-2))</f>
        <v>房地产抵押价值</v>
      </c>
      <c r="B122" s="3343"/>
      <c r="C122" s="3343"/>
      <c r="D122" s="3376">
        <f ca="1">H107</f>
        <v>3092</v>
      </c>
      <c r="E122" s="3377"/>
      <c r="F122" s="3377"/>
      <c r="G122" s="3377"/>
      <c r="H122" s="3377"/>
      <c r="I122" s="3378"/>
      <c r="AA122" s="684"/>
    </row>
    <row r="123" spans="1:27" ht="18.75" customHeight="1">
      <c r="A123" s="3312" t="s">
        <v>1447</v>
      </c>
      <c r="B123" s="3312"/>
      <c r="C123" s="3312"/>
      <c r="D123" s="3352" t="str">
        <f ca="1">NUMBERSTRING(INT(D122*10000),2)&amp;"元整"</f>
        <v>叁仟零玖拾贰万元整</v>
      </c>
      <c r="E123" s="3353"/>
      <c r="F123" s="3353"/>
      <c r="G123" s="3353"/>
      <c r="H123" s="3353"/>
      <c r="I123" s="3354"/>
      <c r="AA123" s="684"/>
    </row>
    <row r="124" spans="1:27" ht="18.75" customHeight="1">
      <c r="A124" s="3343" t="str">
        <f>IF(项目基本情况!B9="房地产市场价值","",MID(E109,3,LEN(E109)-2))</f>
        <v/>
      </c>
      <c r="B124" s="3343"/>
      <c r="C124" s="3343"/>
      <c r="D124" s="3376" t="str">
        <f>H109</f>
        <v>——</v>
      </c>
      <c r="E124" s="3377"/>
      <c r="F124" s="3377"/>
      <c r="G124" s="3377"/>
      <c r="H124" s="3377"/>
      <c r="I124" s="3378"/>
      <c r="AA124" s="684"/>
    </row>
    <row r="125" spans="1:27" ht="18.75" customHeight="1">
      <c r="A125" s="3312" t="s">
        <v>1447</v>
      </c>
      <c r="B125" s="3312"/>
      <c r="C125" s="3312"/>
      <c r="D125" s="3352" t="e">
        <f>NUMBERSTRING(INT(D124*10000),2)&amp;"元整"</f>
        <v>#VALUE!</v>
      </c>
      <c r="E125" s="3353"/>
      <c r="F125" s="3353"/>
      <c r="G125" s="3353"/>
      <c r="H125" s="3353"/>
      <c r="I125" s="3354"/>
      <c r="AA125" s="684"/>
    </row>
    <row r="126" spans="1:27" ht="18.75" customHeight="1">
      <c r="A126" s="3343" t="str">
        <f>IF(项目基本情况!B9="房地产市场价值","",MID(E111,3,LEN(E111)-2))</f>
        <v/>
      </c>
      <c r="B126" s="3343"/>
      <c r="C126" s="3343"/>
      <c r="D126" s="3376" t="str">
        <f>H111</f>
        <v>——</v>
      </c>
      <c r="E126" s="3377"/>
      <c r="F126" s="3377"/>
      <c r="G126" s="3377"/>
      <c r="H126" s="3377"/>
      <c r="I126" s="3378"/>
      <c r="AA126" s="684"/>
    </row>
    <row r="127" spans="1:27" ht="18.75" customHeight="1">
      <c r="A127" s="3312" t="s">
        <v>1447</v>
      </c>
      <c r="B127" s="3312"/>
      <c r="C127" s="3312"/>
      <c r="D127" s="3352" t="e">
        <f>NUMBERSTRING(INT(D126*10000),2)&amp;"元整"</f>
        <v>#VALUE!</v>
      </c>
      <c r="E127" s="3353"/>
      <c r="F127" s="3353"/>
      <c r="G127" s="3353"/>
      <c r="H127" s="3353"/>
      <c r="I127" s="3354"/>
      <c r="AA127" s="684"/>
    </row>
    <row r="128" spans="1:27" ht="21.75" customHeight="1">
      <c r="A128" s="3359" t="s">
        <v>1448</v>
      </c>
      <c r="B128" s="3359"/>
      <c r="C128" s="3359"/>
      <c r="D128" s="3359"/>
      <c r="E128" s="3359"/>
      <c r="F128" s="3359"/>
      <c r="G128" s="3359"/>
      <c r="H128" s="3359"/>
      <c r="I128" s="3359"/>
      <c r="AA128" s="684"/>
    </row>
    <row r="129" spans="1:35" ht="21.75" customHeight="1">
      <c r="A129" s="1690" t="s">
        <v>1449</v>
      </c>
      <c r="B129" s="1691"/>
      <c r="C129" s="1692" t="s">
        <v>1450</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1451</v>
      </c>
      <c r="G135" s="1705"/>
      <c r="H135" s="1705"/>
      <c r="I135" s="1706" t="s">
        <v>1452</v>
      </c>
    </row>
    <row r="136" spans="1:35" ht="21.75" customHeight="1">
      <c r="A136" s="684"/>
      <c r="B136" s="1707" t="s">
        <v>1453</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1454</v>
      </c>
    </row>
    <row r="139" spans="1:35" ht="21.75" customHeight="1">
      <c r="A139" s="684"/>
      <c r="B139" s="1707" t="s">
        <v>1455</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1454</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I40"/>
  <sheetViews>
    <sheetView workbookViewId="0">
      <pane xSplit="1" topLeftCell="B1" activePane="topRight" state="frozen"/>
      <selection pane="topRight" activeCell="B12" sqref="B12"/>
    </sheetView>
  </sheetViews>
  <sheetFormatPr defaultRowHeight="12.75"/>
  <cols>
    <col min="1" max="1" width="43" style="3166" customWidth="1"/>
    <col min="2" max="2" width="19" style="3172" customWidth="1"/>
    <col min="3" max="3" width="8.75" style="3172" bestFit="1" customWidth="1"/>
    <col min="4" max="4" width="19.375" style="3172" hidden="1" customWidth="1"/>
    <col min="5" max="5" width="71.375" style="3172" hidden="1" customWidth="1"/>
    <col min="6" max="6" width="13" style="3172" hidden="1" customWidth="1"/>
    <col min="7" max="7" width="16.75" style="3172" customWidth="1"/>
    <col min="8" max="8" width="17.5" style="3172" customWidth="1"/>
    <col min="9" max="11" width="10" style="3172" hidden="1" customWidth="1"/>
    <col min="12" max="12" width="10" style="3172" bestFit="1" customWidth="1"/>
    <col min="13" max="13" width="25.375" style="3172" bestFit="1" customWidth="1"/>
    <col min="14" max="15" width="9.625" style="3172" bestFit="1" customWidth="1"/>
    <col min="16" max="16" width="6.75" style="3172" bestFit="1" customWidth="1"/>
    <col min="17" max="17" width="7.375" style="3172" customWidth="1"/>
    <col min="18" max="19" width="8" style="3172" bestFit="1" customWidth="1"/>
    <col min="20" max="20" width="6.375" style="3181" bestFit="1" customWidth="1"/>
    <col min="21" max="21" width="9.625" style="3181" bestFit="1" customWidth="1"/>
    <col min="22" max="22" width="10.5" style="3181" bestFit="1" customWidth="1"/>
    <col min="23" max="23" width="9.375" style="3181" bestFit="1" customWidth="1"/>
    <col min="24" max="24" width="10.5" style="3182" bestFit="1" customWidth="1"/>
    <col min="25" max="25" width="11.375" style="3183" bestFit="1" customWidth="1"/>
    <col min="26" max="26" width="8.5" style="3172" bestFit="1" customWidth="1"/>
    <col min="27" max="27" width="7.75" style="3172" bestFit="1" customWidth="1"/>
    <col min="28" max="28" width="7.75" style="3172" customWidth="1"/>
    <col min="29" max="29" width="6.375" style="3172" bestFit="1" customWidth="1"/>
    <col min="30" max="30" width="14" style="3172" customWidth="1"/>
    <col min="31" max="31" width="8" style="3172" bestFit="1" customWidth="1"/>
    <col min="32" max="32" width="27" style="3172" customWidth="1"/>
    <col min="33" max="33" width="26.625" style="3172" customWidth="1"/>
    <col min="34" max="34" width="33.75" style="3172" customWidth="1"/>
    <col min="35" max="35" width="26.625" style="3172" bestFit="1" customWidth="1"/>
    <col min="36" max="16384" width="9" style="3172"/>
  </cols>
  <sheetData>
    <row r="1" spans="1:35" s="3166" customFormat="1" ht="38.25">
      <c r="A1" s="3162" t="s">
        <v>3464</v>
      </c>
      <c r="B1" s="3162" t="s">
        <v>3465</v>
      </c>
      <c r="C1" s="3162" t="s">
        <v>3466</v>
      </c>
      <c r="D1" s="3162" t="s">
        <v>3467</v>
      </c>
      <c r="E1" s="3162" t="s">
        <v>3468</v>
      </c>
      <c r="F1" s="3162" t="s">
        <v>3469</v>
      </c>
      <c r="G1" s="3162" t="s">
        <v>3470</v>
      </c>
      <c r="H1" s="3162" t="s">
        <v>3471</v>
      </c>
      <c r="I1" s="3162" t="s">
        <v>3472</v>
      </c>
      <c r="J1" s="3162" t="s">
        <v>3473</v>
      </c>
      <c r="K1" s="3162" t="s">
        <v>3474</v>
      </c>
      <c r="L1" s="3162" t="s">
        <v>3475</v>
      </c>
      <c r="M1" s="3162" t="s">
        <v>3476</v>
      </c>
      <c r="N1" s="3162" t="s">
        <v>3477</v>
      </c>
      <c r="O1" s="3162" t="s">
        <v>3478</v>
      </c>
      <c r="P1" s="3162" t="s">
        <v>3479</v>
      </c>
      <c r="Q1" s="3162" t="s">
        <v>3480</v>
      </c>
      <c r="R1" s="3162" t="s">
        <v>3481</v>
      </c>
      <c r="S1" s="3162" t="s">
        <v>3482</v>
      </c>
      <c r="T1" s="3163" t="s">
        <v>3483</v>
      </c>
      <c r="U1" s="3163" t="s">
        <v>3484</v>
      </c>
      <c r="V1" s="3163" t="s">
        <v>3485</v>
      </c>
      <c r="W1" s="3163" t="s">
        <v>3486</v>
      </c>
      <c r="X1" s="3164" t="s">
        <v>3487</v>
      </c>
      <c r="Y1" s="3165" t="s">
        <v>3488</v>
      </c>
      <c r="Z1" s="3162" t="s">
        <v>3489</v>
      </c>
      <c r="AA1" s="3162" t="s">
        <v>3490</v>
      </c>
      <c r="AB1" s="3162" t="s">
        <v>3491</v>
      </c>
      <c r="AC1" s="3162" t="s">
        <v>3492</v>
      </c>
      <c r="AD1" s="3162" t="s">
        <v>3493</v>
      </c>
      <c r="AE1" s="3162" t="s">
        <v>3494</v>
      </c>
      <c r="AF1" s="3162" t="s">
        <v>3495</v>
      </c>
      <c r="AG1" s="3162" t="s">
        <v>3496</v>
      </c>
      <c r="AH1" s="3162" t="s">
        <v>3497</v>
      </c>
      <c r="AI1" s="3162" t="s">
        <v>3498</v>
      </c>
    </row>
    <row r="2" spans="1:35" ht="25.5">
      <c r="A2" s="3162" t="s">
        <v>3499</v>
      </c>
      <c r="B2" s="3167" t="s">
        <v>3500</v>
      </c>
      <c r="C2" s="3167" t="s">
        <v>3501</v>
      </c>
      <c r="D2" s="3167" t="s">
        <v>3502</v>
      </c>
      <c r="E2" s="3167" t="s">
        <v>3503</v>
      </c>
      <c r="F2" s="3167" t="s">
        <v>3504</v>
      </c>
      <c r="G2" s="3167" t="s">
        <v>3505</v>
      </c>
      <c r="H2" s="3167" t="s">
        <v>3506</v>
      </c>
      <c r="I2" s="3168">
        <v>45296.000497685185</v>
      </c>
      <c r="J2" s="3168">
        <v>45316.000497685185</v>
      </c>
      <c r="K2" s="3168">
        <v>45329.000497685185</v>
      </c>
      <c r="L2" s="3168">
        <v>45329.000497685185</v>
      </c>
      <c r="M2" s="3167" t="s">
        <v>3507</v>
      </c>
      <c r="N2" s="3167">
        <v>17446.77</v>
      </c>
      <c r="O2" s="3167">
        <v>34893.550000000003</v>
      </c>
      <c r="P2" s="3167">
        <v>13000</v>
      </c>
      <c r="Q2" s="3167" t="s">
        <v>3508</v>
      </c>
      <c r="R2" s="3167">
        <v>2.2999999999999998</v>
      </c>
      <c r="S2" s="3167" t="s">
        <v>3509</v>
      </c>
      <c r="T2" s="3169">
        <v>10</v>
      </c>
      <c r="U2" s="3169">
        <v>0.95369999999999999</v>
      </c>
      <c r="V2" s="3169">
        <v>1.2302</v>
      </c>
      <c r="W2" s="3169">
        <v>7451.23</v>
      </c>
      <c r="X2" s="3170">
        <f>ROUND(AB2*V2/U2,0)</f>
        <v>4806</v>
      </c>
      <c r="Y2" s="3171">
        <f>ROUND(X2*1.2302/V2,0)</f>
        <v>4806</v>
      </c>
      <c r="Z2" s="3167">
        <v>496.75</v>
      </c>
      <c r="AA2" s="3167">
        <v>3726</v>
      </c>
      <c r="AB2" s="3167">
        <v>3726</v>
      </c>
      <c r="AC2" s="3167">
        <v>0</v>
      </c>
      <c r="AD2" s="3167" t="s">
        <v>3510</v>
      </c>
      <c r="AE2" s="3167" t="s">
        <v>3511</v>
      </c>
      <c r="AF2" s="3167" t="s">
        <v>3512</v>
      </c>
      <c r="AG2" s="3167" t="s">
        <v>3513</v>
      </c>
      <c r="AH2" s="3167" t="s">
        <v>3514</v>
      </c>
      <c r="AI2" s="3167" t="s">
        <v>3515</v>
      </c>
    </row>
    <row r="3" spans="1:35" ht="25.5">
      <c r="A3" s="3162" t="s">
        <v>3516</v>
      </c>
      <c r="B3" s="3167" t="s">
        <v>3517</v>
      </c>
      <c r="C3" s="3167" t="s">
        <v>3518</v>
      </c>
      <c r="D3" s="3167" t="s">
        <v>3519</v>
      </c>
      <c r="E3" s="3167" t="s">
        <v>3520</v>
      </c>
      <c r="F3" s="3167" t="s">
        <v>3504</v>
      </c>
      <c r="G3" s="3167" t="s">
        <v>3521</v>
      </c>
      <c r="H3" s="3167" t="s">
        <v>3522</v>
      </c>
      <c r="I3" s="3168">
        <v>45285.000497685185</v>
      </c>
      <c r="J3" s="3168">
        <v>45306.000497685185</v>
      </c>
      <c r="K3" s="3168">
        <v>45320.000497685185</v>
      </c>
      <c r="L3" s="3168">
        <v>45320.000497685185</v>
      </c>
      <c r="M3" s="3167" t="s">
        <v>3523</v>
      </c>
      <c r="N3" s="3167">
        <v>9999.98</v>
      </c>
      <c r="O3" s="3167">
        <v>17599.96</v>
      </c>
      <c r="P3" s="3167">
        <v>37700</v>
      </c>
      <c r="Q3" s="3167">
        <v>1.76</v>
      </c>
      <c r="R3" s="3167">
        <v>1.76</v>
      </c>
      <c r="S3" s="3167" t="s">
        <v>3509</v>
      </c>
      <c r="T3" s="3169">
        <v>4</v>
      </c>
      <c r="U3" s="3169">
        <f>1.0908+(1.0768-1.098)*(1.76-1.7)/(1.7-1.6)</f>
        <v>1.0780799999999999</v>
      </c>
      <c r="V3" s="3169">
        <v>1.2158</v>
      </c>
      <c r="W3" s="3169">
        <v>37700.07</v>
      </c>
      <c r="X3" s="3170">
        <f t="shared" ref="X3:X40" si="0">ROUND(AB3*V3/U3,0)</f>
        <v>24157</v>
      </c>
      <c r="Y3" s="3171">
        <f t="shared" ref="Y3:Y40" si="1">ROUND(X3*1.2302/V3,0)</f>
        <v>24443</v>
      </c>
      <c r="Z3" s="3167">
        <v>2513.34</v>
      </c>
      <c r="AA3" s="3167">
        <v>21421</v>
      </c>
      <c r="AB3" s="3167">
        <v>21421</v>
      </c>
      <c r="AC3" s="3167">
        <v>0</v>
      </c>
      <c r="AD3" s="3167" t="s">
        <v>3510</v>
      </c>
      <c r="AE3" s="3167" t="s">
        <v>3511</v>
      </c>
      <c r="AF3" s="3167" t="s">
        <v>3524</v>
      </c>
      <c r="AG3" s="3167" t="s">
        <v>3525</v>
      </c>
      <c r="AH3" s="3167" t="s">
        <v>3526</v>
      </c>
      <c r="AI3" s="3167" t="s">
        <v>3527</v>
      </c>
    </row>
    <row r="4" spans="1:35" ht="25.5">
      <c r="A4" s="3162" t="s">
        <v>3528</v>
      </c>
      <c r="B4" s="3167" t="s">
        <v>3529</v>
      </c>
      <c r="C4" s="3167" t="s">
        <v>3530</v>
      </c>
      <c r="D4" s="3167" t="s">
        <v>3531</v>
      </c>
      <c r="E4" s="3167" t="s">
        <v>3532</v>
      </c>
      <c r="F4" s="3167" t="s">
        <v>3504</v>
      </c>
      <c r="G4" s="3167" t="s">
        <v>3521</v>
      </c>
      <c r="H4" s="3167" t="s">
        <v>3533</v>
      </c>
      <c r="I4" s="3168">
        <v>45279.000497685185</v>
      </c>
      <c r="J4" s="3168">
        <v>45300.000497685185</v>
      </c>
      <c r="K4" s="3168">
        <v>45314.000497685185</v>
      </c>
      <c r="L4" s="3168">
        <v>45314.000497685185</v>
      </c>
      <c r="M4" s="3167" t="s">
        <v>3534</v>
      </c>
      <c r="N4" s="3167">
        <v>70601.06</v>
      </c>
      <c r="O4" s="3167">
        <v>285523</v>
      </c>
      <c r="P4" s="3167">
        <v>642000</v>
      </c>
      <c r="Q4" s="3167">
        <v>4.04</v>
      </c>
      <c r="R4" s="3167">
        <v>4.04</v>
      </c>
      <c r="S4" s="3167" t="s">
        <v>3509</v>
      </c>
      <c r="T4" s="3169">
        <v>5</v>
      </c>
      <c r="U4" s="3169">
        <f>0.9186+(0.9156-0.9186)*(4.04-4)/(4.1-4)</f>
        <v>0.91739999999999999</v>
      </c>
      <c r="V4" s="3169">
        <v>1.2158</v>
      </c>
      <c r="W4" s="3169">
        <v>90933.48</v>
      </c>
      <c r="X4" s="3170">
        <f t="shared" si="0"/>
        <v>29799</v>
      </c>
      <c r="Y4" s="3171">
        <f t="shared" si="1"/>
        <v>30152</v>
      </c>
      <c r="Z4" s="3167">
        <v>6062.23</v>
      </c>
      <c r="AA4" s="3167">
        <v>22485</v>
      </c>
      <c r="AB4" s="3167">
        <v>22485</v>
      </c>
      <c r="AC4" s="3167">
        <v>0</v>
      </c>
      <c r="AD4" s="3167" t="s">
        <v>3535</v>
      </c>
      <c r="AE4" s="3167" t="s">
        <v>3511</v>
      </c>
      <c r="AF4" s="3167" t="s">
        <v>3536</v>
      </c>
      <c r="AG4" s="3167" t="s">
        <v>3537</v>
      </c>
      <c r="AH4" s="3167" t="s">
        <v>3527</v>
      </c>
      <c r="AI4" s="3167" t="s">
        <v>3527</v>
      </c>
    </row>
    <row r="5" spans="1:35" ht="25.5">
      <c r="A5" s="3162" t="s">
        <v>3538</v>
      </c>
      <c r="B5" s="3167" t="s">
        <v>3539</v>
      </c>
      <c r="C5" s="3167" t="s">
        <v>3540</v>
      </c>
      <c r="D5" s="3167" t="s">
        <v>3541</v>
      </c>
      <c r="E5" s="3167" t="s">
        <v>3542</v>
      </c>
      <c r="F5" s="3167" t="s">
        <v>3504</v>
      </c>
      <c r="G5" s="3167" t="s">
        <v>3505</v>
      </c>
      <c r="H5" s="3167" t="s">
        <v>3543</v>
      </c>
      <c r="I5" s="3168">
        <v>45274.000497685185</v>
      </c>
      <c r="J5" s="3168">
        <v>45294.000497685185</v>
      </c>
      <c r="K5" s="3168">
        <v>45308.000497685185</v>
      </c>
      <c r="L5" s="3168">
        <v>45308.000497685185</v>
      </c>
      <c r="M5" s="3167" t="s">
        <v>3544</v>
      </c>
      <c r="N5" s="3167">
        <v>32636.74</v>
      </c>
      <c r="O5" s="3167">
        <v>78328</v>
      </c>
      <c r="P5" s="3167">
        <v>65000</v>
      </c>
      <c r="Q5" s="3167">
        <v>2.4</v>
      </c>
      <c r="R5" s="3167">
        <v>2.4</v>
      </c>
      <c r="S5" s="3167" t="s">
        <v>3509</v>
      </c>
      <c r="T5" s="3169">
        <v>6</v>
      </c>
      <c r="U5" s="3169">
        <v>1.0089999999999999</v>
      </c>
      <c r="V5" s="3169">
        <v>1.2158</v>
      </c>
      <c r="W5" s="3169">
        <v>19916.2</v>
      </c>
      <c r="X5" s="3170">
        <f t="shared" si="0"/>
        <v>9999</v>
      </c>
      <c r="Y5" s="3171">
        <f t="shared" si="1"/>
        <v>10117</v>
      </c>
      <c r="Z5" s="3167">
        <v>1327.75</v>
      </c>
      <c r="AA5" s="3167">
        <v>8298</v>
      </c>
      <c r="AB5" s="3167">
        <v>8298</v>
      </c>
      <c r="AC5" s="3167">
        <v>0</v>
      </c>
      <c r="AD5" s="3167">
        <v>20</v>
      </c>
      <c r="AE5" s="3167" t="s">
        <v>3511</v>
      </c>
      <c r="AF5" s="3167" t="s">
        <v>3545</v>
      </c>
      <c r="AG5" s="3167" t="s">
        <v>3546</v>
      </c>
      <c r="AH5" s="3167" t="s">
        <v>3526</v>
      </c>
      <c r="AI5" s="3167" t="s">
        <v>3547</v>
      </c>
    </row>
    <row r="6" spans="1:35" ht="25.5">
      <c r="A6" s="3162" t="s">
        <v>3548</v>
      </c>
      <c r="B6" s="3167" t="s">
        <v>3549</v>
      </c>
      <c r="C6" s="3167" t="s">
        <v>3550</v>
      </c>
      <c r="D6" s="3167" t="s">
        <v>3551</v>
      </c>
      <c r="E6" s="3167" t="s">
        <v>3552</v>
      </c>
      <c r="F6" s="3167" t="s">
        <v>3504</v>
      </c>
      <c r="G6" s="3167" t="s">
        <v>3521</v>
      </c>
      <c r="H6" s="3167" t="s">
        <v>3522</v>
      </c>
      <c r="I6" s="3168">
        <v>45254.000497685185</v>
      </c>
      <c r="J6" s="3168">
        <v>45274.000497685185</v>
      </c>
      <c r="K6" s="3168">
        <v>45288.000497685185</v>
      </c>
      <c r="L6" s="3168">
        <v>45288.000497685185</v>
      </c>
      <c r="M6" s="3167" t="s">
        <v>3553</v>
      </c>
      <c r="N6" s="3167">
        <v>7467</v>
      </c>
      <c r="O6" s="3167">
        <v>52000</v>
      </c>
      <c r="P6" s="3167">
        <v>118000</v>
      </c>
      <c r="Q6" s="3167" t="s">
        <v>3554</v>
      </c>
      <c r="R6" s="3167">
        <v>7</v>
      </c>
      <c r="S6" s="3167" t="s">
        <v>3509</v>
      </c>
      <c r="T6" s="3169">
        <v>3</v>
      </c>
      <c r="U6" s="3169">
        <v>0.85019999999999996</v>
      </c>
      <c r="V6" s="3169">
        <v>1.2158</v>
      </c>
      <c r="W6" s="3169">
        <v>158028.66</v>
      </c>
      <c r="X6" s="3170">
        <f t="shared" si="0"/>
        <v>32450</v>
      </c>
      <c r="Y6" s="3171">
        <f t="shared" si="1"/>
        <v>32834</v>
      </c>
      <c r="Z6" s="3167">
        <v>10535.24</v>
      </c>
      <c r="AA6" s="3167">
        <v>22692</v>
      </c>
      <c r="AB6" s="3167">
        <v>22692</v>
      </c>
      <c r="AC6" s="3167">
        <v>0</v>
      </c>
      <c r="AD6" s="3167" t="s">
        <v>3555</v>
      </c>
      <c r="AE6" s="3167" t="s">
        <v>3511</v>
      </c>
      <c r="AF6" s="3167" t="s">
        <v>3556</v>
      </c>
      <c r="AG6" s="3167" t="s">
        <v>3557</v>
      </c>
      <c r="AH6" s="3167" t="s">
        <v>3527</v>
      </c>
      <c r="AI6" s="3167" t="s">
        <v>3527</v>
      </c>
    </row>
    <row r="7" spans="1:35" ht="25.5">
      <c r="A7" s="3162" t="s">
        <v>3558</v>
      </c>
      <c r="B7" s="3167" t="s">
        <v>3559</v>
      </c>
      <c r="C7" s="3167" t="s">
        <v>3501</v>
      </c>
      <c r="D7" s="3167" t="s">
        <v>3502</v>
      </c>
      <c r="E7" s="3167" t="s">
        <v>3503</v>
      </c>
      <c r="F7" s="3167" t="s">
        <v>3504</v>
      </c>
      <c r="G7" s="3167" t="s">
        <v>3560</v>
      </c>
      <c r="H7" s="3167" t="s">
        <v>3506</v>
      </c>
      <c r="I7" s="3168">
        <v>45167.000497685185</v>
      </c>
      <c r="J7" s="3168">
        <v>45187.000497685185</v>
      </c>
      <c r="K7" s="3168">
        <v>45207.000497685185</v>
      </c>
      <c r="L7" s="3168">
        <v>45207.000497685185</v>
      </c>
      <c r="M7" s="3167" t="s">
        <v>3561</v>
      </c>
      <c r="N7" s="3167">
        <v>29963.72</v>
      </c>
      <c r="O7" s="3167">
        <v>68916.56</v>
      </c>
      <c r="P7" s="3167">
        <v>25700</v>
      </c>
      <c r="Q7" s="3167">
        <v>2.2999999999999998</v>
      </c>
      <c r="R7" s="3167">
        <v>2.2999999999999998</v>
      </c>
      <c r="S7" s="3167" t="s">
        <v>3509</v>
      </c>
      <c r="T7" s="3169">
        <v>10</v>
      </c>
      <c r="U7" s="3169">
        <v>0.95369999999999999</v>
      </c>
      <c r="V7" s="3169">
        <v>1.2302</v>
      </c>
      <c r="W7" s="3169">
        <v>8577.0300000000007</v>
      </c>
      <c r="X7" s="3170">
        <f t="shared" si="0"/>
        <v>4810</v>
      </c>
      <c r="Y7" s="3171">
        <f t="shared" si="1"/>
        <v>4810</v>
      </c>
      <c r="Z7" s="3167">
        <v>571.79999999999995</v>
      </c>
      <c r="AA7" s="3167">
        <v>3729</v>
      </c>
      <c r="AB7" s="3167">
        <v>3729</v>
      </c>
      <c r="AC7" s="3167">
        <v>0</v>
      </c>
      <c r="AD7" s="3167" t="s">
        <v>3562</v>
      </c>
      <c r="AE7" s="3167" t="s">
        <v>3511</v>
      </c>
      <c r="AF7" s="3167" t="s">
        <v>3563</v>
      </c>
      <c r="AG7" s="3167" t="s">
        <v>3564</v>
      </c>
      <c r="AH7" s="3167" t="s">
        <v>3527</v>
      </c>
      <c r="AI7" s="3167" t="s">
        <v>3527</v>
      </c>
    </row>
    <row r="8" spans="1:35" ht="25.5">
      <c r="A8" s="3162" t="s">
        <v>3565</v>
      </c>
      <c r="B8" s="3167" t="s">
        <v>3566</v>
      </c>
      <c r="C8" s="3167" t="s">
        <v>3567</v>
      </c>
      <c r="D8" s="3167" t="s">
        <v>3568</v>
      </c>
      <c r="E8" s="3167" t="s">
        <v>3569</v>
      </c>
      <c r="F8" s="3167" t="s">
        <v>3504</v>
      </c>
      <c r="G8" s="3167" t="s">
        <v>3560</v>
      </c>
      <c r="H8" s="3167" t="s">
        <v>3506</v>
      </c>
      <c r="I8" s="3168">
        <v>45155.000497685185</v>
      </c>
      <c r="J8" s="3168">
        <v>45175.000497685185</v>
      </c>
      <c r="K8" s="3168">
        <v>45189.000497685185</v>
      </c>
      <c r="L8" s="3168">
        <v>45189.000497685185</v>
      </c>
      <c r="M8" s="3167" t="s">
        <v>3570</v>
      </c>
      <c r="N8" s="3167">
        <v>9632.01</v>
      </c>
      <c r="O8" s="3167">
        <v>15025.93</v>
      </c>
      <c r="P8" s="3167">
        <v>13700</v>
      </c>
      <c r="Q8" s="3167">
        <v>1.56</v>
      </c>
      <c r="R8" s="3167">
        <v>1.56</v>
      </c>
      <c r="S8" s="3167" t="s">
        <v>3509</v>
      </c>
      <c r="T8" s="3169">
        <v>5</v>
      </c>
      <c r="U8" s="3169">
        <f>1.1215+(1.1057-1.1215)*(1.56-1.5)/(1.6-1.5)</f>
        <v>1.11202</v>
      </c>
      <c r="V8" s="3169">
        <v>1.2158</v>
      </c>
      <c r="W8" s="3169">
        <v>14223.4</v>
      </c>
      <c r="X8" s="3170">
        <f t="shared" si="0"/>
        <v>9969</v>
      </c>
      <c r="Y8" s="3171">
        <f t="shared" si="1"/>
        <v>10087</v>
      </c>
      <c r="Z8" s="3167">
        <v>948.23</v>
      </c>
      <c r="AA8" s="3167">
        <v>9118</v>
      </c>
      <c r="AB8" s="3167">
        <v>9118</v>
      </c>
      <c r="AC8" s="3167">
        <v>0</v>
      </c>
      <c r="AD8" s="3167" t="s">
        <v>3571</v>
      </c>
      <c r="AE8" s="3167" t="s">
        <v>3511</v>
      </c>
      <c r="AF8" s="3167" t="s">
        <v>3572</v>
      </c>
      <c r="AG8" s="3167" t="s">
        <v>3573</v>
      </c>
      <c r="AH8" s="3167" t="s">
        <v>3526</v>
      </c>
      <c r="AI8" s="3167" t="s">
        <v>3547</v>
      </c>
    </row>
    <row r="9" spans="1:35" ht="25.5">
      <c r="A9" s="3162" t="s">
        <v>3574</v>
      </c>
      <c r="B9" s="3167" t="s">
        <v>3575</v>
      </c>
      <c r="C9" s="3167" t="s">
        <v>3530</v>
      </c>
      <c r="D9" s="3167" t="s">
        <v>3541</v>
      </c>
      <c r="E9" s="3167" t="s">
        <v>3576</v>
      </c>
      <c r="F9" s="3167" t="s">
        <v>3504</v>
      </c>
      <c r="G9" s="3167" t="s">
        <v>3560</v>
      </c>
      <c r="H9" s="3167" t="s">
        <v>3506</v>
      </c>
      <c r="I9" s="3168">
        <v>45107.000497685185</v>
      </c>
      <c r="J9" s="3168">
        <v>45127.000497685185</v>
      </c>
      <c r="K9" s="3168">
        <v>45141.000497685185</v>
      </c>
      <c r="L9" s="3168">
        <v>45141.000497685185</v>
      </c>
      <c r="M9" s="3167" t="s">
        <v>3577</v>
      </c>
      <c r="N9" s="3167">
        <v>49900.54</v>
      </c>
      <c r="O9" s="3167">
        <v>109781.19</v>
      </c>
      <c r="P9" s="3167">
        <v>227000</v>
      </c>
      <c r="Q9" s="3167">
        <v>2.2000000000000002</v>
      </c>
      <c r="R9" s="3167">
        <v>2.2000000000000002</v>
      </c>
      <c r="S9" s="3167" t="s">
        <v>3509</v>
      </c>
      <c r="T9" s="3169">
        <v>6</v>
      </c>
      <c r="U9" s="3169">
        <v>1.0287999999999999</v>
      </c>
      <c r="V9" s="3169">
        <v>1.2158</v>
      </c>
      <c r="W9" s="3169">
        <v>45490.49</v>
      </c>
      <c r="X9" s="3170">
        <f t="shared" si="0"/>
        <v>24435</v>
      </c>
      <c r="Y9" s="3171">
        <f t="shared" si="1"/>
        <v>24724</v>
      </c>
      <c r="Z9" s="3167">
        <v>3032.7</v>
      </c>
      <c r="AA9" s="3167">
        <v>20677</v>
      </c>
      <c r="AB9" s="3167">
        <v>20677</v>
      </c>
      <c r="AC9" s="3167">
        <v>0</v>
      </c>
      <c r="AD9" s="3167" t="s">
        <v>3562</v>
      </c>
      <c r="AE9" s="3167" t="s">
        <v>3511</v>
      </c>
      <c r="AF9" s="3167" t="s">
        <v>3578</v>
      </c>
      <c r="AG9" s="3167" t="s">
        <v>3579</v>
      </c>
      <c r="AH9" s="3167" t="s">
        <v>3527</v>
      </c>
      <c r="AI9" s="3167" t="s">
        <v>3527</v>
      </c>
    </row>
    <row r="10" spans="1:35" ht="25.5">
      <c r="A10" s="3162" t="s">
        <v>3580</v>
      </c>
      <c r="B10" s="3167" t="s">
        <v>3581</v>
      </c>
      <c r="C10" s="3167" t="s">
        <v>3567</v>
      </c>
      <c r="D10" s="3167" t="s">
        <v>3568</v>
      </c>
      <c r="E10" s="3167" t="s">
        <v>3582</v>
      </c>
      <c r="F10" s="3167" t="s">
        <v>3504</v>
      </c>
      <c r="G10" s="3167" t="s">
        <v>3560</v>
      </c>
      <c r="H10" s="3167" t="s">
        <v>3583</v>
      </c>
      <c r="I10" s="3168">
        <v>45079.000497685185</v>
      </c>
      <c r="J10" s="3168">
        <v>45102.000497685185</v>
      </c>
      <c r="K10" s="3168">
        <v>45114.000497685185</v>
      </c>
      <c r="L10" s="3168">
        <v>45114.000497685185</v>
      </c>
      <c r="M10" s="3167" t="s">
        <v>3584</v>
      </c>
      <c r="N10" s="3167">
        <v>15459.22</v>
      </c>
      <c r="O10" s="3167">
        <v>52599.12</v>
      </c>
      <c r="P10" s="3167">
        <v>53100</v>
      </c>
      <c r="Q10" s="3167" t="s">
        <v>3585</v>
      </c>
      <c r="R10" s="3167">
        <v>3.82</v>
      </c>
      <c r="S10" s="3167" t="s">
        <v>3509</v>
      </c>
      <c r="T10" s="3169">
        <v>5</v>
      </c>
      <c r="U10" s="3169">
        <f>0.9252+(0.9218-0.9252)*(3.82-3.8)/(3.9-3.8)</f>
        <v>0.92452000000000001</v>
      </c>
      <c r="V10" s="3169">
        <v>1.2158</v>
      </c>
      <c r="W10" s="3169">
        <v>34348.43</v>
      </c>
      <c r="X10" s="3170">
        <f t="shared" si="0"/>
        <v>13276</v>
      </c>
      <c r="Y10" s="3171">
        <f t="shared" si="1"/>
        <v>13433</v>
      </c>
      <c r="Z10" s="3167">
        <v>2289.9</v>
      </c>
      <c r="AA10" s="3167">
        <v>10095</v>
      </c>
      <c r="AB10" s="3167">
        <v>10095</v>
      </c>
      <c r="AC10" s="3167">
        <v>0</v>
      </c>
      <c r="AD10" s="3167" t="s">
        <v>3586</v>
      </c>
      <c r="AE10" s="3167" t="s">
        <v>3511</v>
      </c>
      <c r="AF10" s="3167" t="s">
        <v>3572</v>
      </c>
      <c r="AG10" s="3167" t="s">
        <v>3573</v>
      </c>
      <c r="AH10" s="3167" t="s">
        <v>3526</v>
      </c>
      <c r="AI10" s="3167" t="s">
        <v>3547</v>
      </c>
    </row>
    <row r="11" spans="1:35" ht="25.5">
      <c r="A11" s="3162" t="s">
        <v>3587</v>
      </c>
      <c r="B11" s="3167" t="s">
        <v>3588</v>
      </c>
      <c r="C11" s="3167" t="s">
        <v>3518</v>
      </c>
      <c r="D11" s="3167" t="s">
        <v>3589</v>
      </c>
      <c r="E11" s="3167" t="s">
        <v>3590</v>
      </c>
      <c r="F11" s="3167" t="s">
        <v>3504</v>
      </c>
      <c r="G11" s="3167" t="s">
        <v>3521</v>
      </c>
      <c r="H11" s="3167" t="s">
        <v>3522</v>
      </c>
      <c r="I11" s="3168">
        <v>45079.000497685185</v>
      </c>
      <c r="J11" s="3168">
        <v>45102.000497685185</v>
      </c>
      <c r="K11" s="3168">
        <v>45114.000497685185</v>
      </c>
      <c r="L11" s="3168">
        <v>45114.000497685185</v>
      </c>
      <c r="M11" s="3167" t="s">
        <v>3591</v>
      </c>
      <c r="N11" s="3167">
        <v>10610.35</v>
      </c>
      <c r="O11" s="3167">
        <v>47747</v>
      </c>
      <c r="P11" s="3167">
        <v>134000</v>
      </c>
      <c r="Q11" s="3167">
        <v>4.5</v>
      </c>
      <c r="R11" s="3167">
        <v>4.5</v>
      </c>
      <c r="S11" s="3167" t="s">
        <v>3509</v>
      </c>
      <c r="T11" s="3169">
        <v>2</v>
      </c>
      <c r="U11" s="3169">
        <v>0.9708</v>
      </c>
      <c r="V11" s="3169">
        <v>1.2501</v>
      </c>
      <c r="W11" s="3169">
        <v>126291.78</v>
      </c>
      <c r="X11" s="3170">
        <f t="shared" si="0"/>
        <v>36139</v>
      </c>
      <c r="Y11" s="3171">
        <f t="shared" si="1"/>
        <v>35564</v>
      </c>
      <c r="Z11" s="3167">
        <v>8419.4500000000007</v>
      </c>
      <c r="AA11" s="3167">
        <v>28065</v>
      </c>
      <c r="AB11" s="3167">
        <v>28065</v>
      </c>
      <c r="AC11" s="3167">
        <v>0</v>
      </c>
      <c r="AD11" s="3167" t="s">
        <v>3562</v>
      </c>
      <c r="AE11" s="3167" t="s">
        <v>3511</v>
      </c>
      <c r="AF11" s="3167" t="s">
        <v>3592</v>
      </c>
      <c r="AG11" s="3167" t="s">
        <v>3593</v>
      </c>
      <c r="AH11" s="3167" t="s">
        <v>3594</v>
      </c>
      <c r="AI11" s="3167" t="s">
        <v>3527</v>
      </c>
    </row>
    <row r="12" spans="1:35" ht="25.5">
      <c r="A12" s="3162" t="s">
        <v>3595</v>
      </c>
      <c r="B12" s="3167" t="s">
        <v>3596</v>
      </c>
      <c r="C12" s="3167" t="s">
        <v>3550</v>
      </c>
      <c r="D12" s="3167" t="s">
        <v>3597</v>
      </c>
      <c r="E12" s="3167" t="s">
        <v>3552</v>
      </c>
      <c r="F12" s="3167" t="s">
        <v>3504</v>
      </c>
      <c r="G12" s="3167" t="s">
        <v>3598</v>
      </c>
      <c r="H12" s="3167" t="s">
        <v>3599</v>
      </c>
      <c r="I12" s="3168">
        <v>45056.000497685185</v>
      </c>
      <c r="J12" s="3168">
        <v>45076.000497685185</v>
      </c>
      <c r="K12" s="3168">
        <v>45090.000497685185</v>
      </c>
      <c r="L12" s="3168">
        <v>45090.000497685185</v>
      </c>
      <c r="M12" s="3167" t="s">
        <v>3600</v>
      </c>
      <c r="N12" s="3167">
        <v>67829.210000000006</v>
      </c>
      <c r="O12" s="3167">
        <v>298100</v>
      </c>
      <c r="P12" s="3167">
        <v>680000</v>
      </c>
      <c r="Q12" s="3167">
        <v>4.4000000000000004</v>
      </c>
      <c r="R12" s="3167">
        <v>4.4000000000000004</v>
      </c>
      <c r="S12" s="3167" t="s">
        <v>3509</v>
      </c>
      <c r="T12" s="3169">
        <v>3</v>
      </c>
      <c r="U12" s="3169">
        <v>0.90720000000000001</v>
      </c>
      <c r="V12" s="3169">
        <v>1.2158</v>
      </c>
      <c r="W12" s="3169">
        <v>100251.8</v>
      </c>
      <c r="X12" s="3170">
        <f t="shared" si="0"/>
        <v>30571</v>
      </c>
      <c r="Y12" s="3171">
        <f t="shared" si="1"/>
        <v>30933</v>
      </c>
      <c r="Z12" s="3167">
        <v>6683.45</v>
      </c>
      <c r="AA12" s="3167">
        <v>22811</v>
      </c>
      <c r="AB12" s="3167">
        <v>22811</v>
      </c>
      <c r="AC12" s="3167">
        <v>0</v>
      </c>
      <c r="AD12" s="3167" t="s">
        <v>3562</v>
      </c>
      <c r="AE12" s="3167" t="s">
        <v>3511</v>
      </c>
      <c r="AF12" s="3167" t="s">
        <v>3601</v>
      </c>
      <c r="AG12" s="3167" t="s">
        <v>3602</v>
      </c>
      <c r="AH12" s="3167" t="s">
        <v>3603</v>
      </c>
      <c r="AI12" s="3167" t="s">
        <v>3604</v>
      </c>
    </row>
    <row r="13" spans="1:35" ht="25.5">
      <c r="A13" s="3162" t="s">
        <v>3605</v>
      </c>
      <c r="B13" s="3167" t="s">
        <v>3606</v>
      </c>
      <c r="C13" s="3167" t="s">
        <v>3607</v>
      </c>
      <c r="D13" s="3167" t="s">
        <v>3608</v>
      </c>
      <c r="E13" s="3167" t="s">
        <v>3609</v>
      </c>
      <c r="F13" s="3167" t="s">
        <v>3504</v>
      </c>
      <c r="G13" s="3167" t="s">
        <v>3560</v>
      </c>
      <c r="H13" s="3167" t="s">
        <v>3506</v>
      </c>
      <c r="I13" s="3168">
        <v>45054.000497685185</v>
      </c>
      <c r="J13" s="3168">
        <v>45075.000497685185</v>
      </c>
      <c r="K13" s="3168">
        <v>45089.000497685185</v>
      </c>
      <c r="L13" s="3168">
        <v>45089.000497685185</v>
      </c>
      <c r="M13" s="3167" t="s">
        <v>3610</v>
      </c>
      <c r="N13" s="3167">
        <v>101190.07</v>
      </c>
      <c r="O13" s="3167">
        <v>198291</v>
      </c>
      <c r="P13" s="3167">
        <v>100000</v>
      </c>
      <c r="Q13" s="3167" t="s">
        <v>3611</v>
      </c>
      <c r="R13" s="3167">
        <v>2.5</v>
      </c>
      <c r="S13" s="3167" t="s">
        <v>3509</v>
      </c>
      <c r="T13" s="3169">
        <v>10</v>
      </c>
      <c r="U13" s="3169">
        <v>0.9274</v>
      </c>
      <c r="V13" s="3169">
        <v>1.2302</v>
      </c>
      <c r="W13" s="3169">
        <v>9882.39</v>
      </c>
      <c r="X13" s="3170">
        <f t="shared" si="0"/>
        <v>6690</v>
      </c>
      <c r="Y13" s="3171">
        <f t="shared" si="1"/>
        <v>6690</v>
      </c>
      <c r="Z13" s="3167">
        <v>658.83</v>
      </c>
      <c r="AA13" s="3167">
        <v>5043</v>
      </c>
      <c r="AB13" s="3167">
        <v>5043</v>
      </c>
      <c r="AC13" s="3167">
        <v>0</v>
      </c>
      <c r="AD13" s="3167" t="s">
        <v>3562</v>
      </c>
      <c r="AE13" s="3167" t="s">
        <v>3511</v>
      </c>
      <c r="AF13" s="3167" t="s">
        <v>3612</v>
      </c>
      <c r="AG13" s="3167" t="s">
        <v>3613</v>
      </c>
      <c r="AH13" s="3167" t="s">
        <v>3526</v>
      </c>
      <c r="AI13" s="3167" t="s">
        <v>3527</v>
      </c>
    </row>
    <row r="14" spans="1:35" ht="25.5">
      <c r="A14" s="3162" t="s">
        <v>3614</v>
      </c>
      <c r="B14" s="3167" t="s">
        <v>3615</v>
      </c>
      <c r="C14" s="3167" t="s">
        <v>3567</v>
      </c>
      <c r="D14" s="3167" t="s">
        <v>3616</v>
      </c>
      <c r="E14" s="3167" t="s">
        <v>3617</v>
      </c>
      <c r="F14" s="3167" t="s">
        <v>3504</v>
      </c>
      <c r="G14" s="3167" t="s">
        <v>3560</v>
      </c>
      <c r="H14" s="3167" t="s">
        <v>3522</v>
      </c>
      <c r="I14" s="3168">
        <v>44995.000497685185</v>
      </c>
      <c r="J14" s="3168">
        <v>45015.000497685185</v>
      </c>
      <c r="K14" s="3168">
        <v>45030.000497685185</v>
      </c>
      <c r="L14" s="3168">
        <v>45030.000497685185</v>
      </c>
      <c r="M14" s="3167" t="s">
        <v>3618</v>
      </c>
      <c r="N14" s="3167">
        <v>5500.65</v>
      </c>
      <c r="O14" s="3167">
        <v>15401.81</v>
      </c>
      <c r="P14" s="3167">
        <v>17000</v>
      </c>
      <c r="Q14" s="3167" t="s">
        <v>3619</v>
      </c>
      <c r="R14" s="3167">
        <v>2.8</v>
      </c>
      <c r="S14" s="3167" t="s">
        <v>3509</v>
      </c>
      <c r="T14" s="3169">
        <v>6</v>
      </c>
      <c r="U14" s="3169">
        <v>0.97640000000000005</v>
      </c>
      <c r="V14" s="3169">
        <v>1.2158</v>
      </c>
      <c r="W14" s="3169">
        <v>30905.43</v>
      </c>
      <c r="X14" s="3170">
        <f t="shared" si="0"/>
        <v>13744</v>
      </c>
      <c r="Y14" s="3171">
        <f t="shared" si="1"/>
        <v>13907</v>
      </c>
      <c r="Z14" s="3167">
        <v>2060.36</v>
      </c>
      <c r="AA14" s="3167">
        <v>11038</v>
      </c>
      <c r="AB14" s="3167">
        <v>11038</v>
      </c>
      <c r="AC14" s="3167">
        <v>0</v>
      </c>
      <c r="AD14" s="3167" t="s">
        <v>3620</v>
      </c>
      <c r="AE14" s="3167" t="s">
        <v>3511</v>
      </c>
      <c r="AF14" s="3167" t="s">
        <v>3621</v>
      </c>
      <c r="AG14" s="3167" t="s">
        <v>3622</v>
      </c>
      <c r="AH14" s="3167" t="s">
        <v>3527</v>
      </c>
      <c r="AI14" s="3167" t="s">
        <v>3527</v>
      </c>
    </row>
    <row r="15" spans="1:35">
      <c r="A15" s="3162" t="s">
        <v>3623</v>
      </c>
      <c r="B15" s="3167" t="s">
        <v>3624</v>
      </c>
      <c r="C15" s="3167" t="s">
        <v>3625</v>
      </c>
      <c r="D15" s="3167" t="s">
        <v>3626</v>
      </c>
      <c r="E15" s="3167" t="s">
        <v>3627</v>
      </c>
      <c r="F15" s="3167" t="s">
        <v>3504</v>
      </c>
      <c r="G15" s="3167" t="s">
        <v>3560</v>
      </c>
      <c r="H15" s="3167" t="s">
        <v>3628</v>
      </c>
      <c r="I15" s="3168">
        <v>44978.000497685185</v>
      </c>
      <c r="J15" s="3168">
        <v>44997.000497685185</v>
      </c>
      <c r="K15" s="3168">
        <v>45012.000497685185</v>
      </c>
      <c r="L15" s="3168">
        <v>45012.000497685185</v>
      </c>
      <c r="M15" s="3167" t="s">
        <v>3629</v>
      </c>
      <c r="N15" s="3167">
        <v>82500</v>
      </c>
      <c r="O15" s="3167">
        <v>165000</v>
      </c>
      <c r="P15" s="3167">
        <v>260700</v>
      </c>
      <c r="Q15" s="3167">
        <v>2</v>
      </c>
      <c r="R15" s="3167">
        <v>2</v>
      </c>
      <c r="S15" s="3167" t="s">
        <v>3509</v>
      </c>
      <c r="T15" s="3169">
        <v>6</v>
      </c>
      <c r="U15" s="3169">
        <v>1.0512999999999999</v>
      </c>
      <c r="V15" s="3169">
        <v>1.2158</v>
      </c>
      <c r="W15" s="3169">
        <v>31600</v>
      </c>
      <c r="X15" s="3170">
        <f t="shared" si="0"/>
        <v>18272</v>
      </c>
      <c r="Y15" s="3171">
        <f t="shared" si="1"/>
        <v>18488</v>
      </c>
      <c r="Z15" s="3167">
        <v>2106.67</v>
      </c>
      <c r="AA15" s="3167">
        <v>15800</v>
      </c>
      <c r="AB15" s="3167">
        <v>15800</v>
      </c>
      <c r="AC15" s="3167">
        <v>0</v>
      </c>
      <c r="AD15" s="3167">
        <v>40</v>
      </c>
      <c r="AE15" s="3167" t="s">
        <v>3511</v>
      </c>
      <c r="AF15" s="3167" t="s">
        <v>3630</v>
      </c>
      <c r="AG15" s="3167" t="s">
        <v>3631</v>
      </c>
      <c r="AH15" s="3167" t="s">
        <v>3632</v>
      </c>
      <c r="AI15" s="3167" t="s">
        <v>3527</v>
      </c>
    </row>
    <row r="16" spans="1:35" ht="25.5">
      <c r="A16" s="3162" t="s">
        <v>3633</v>
      </c>
      <c r="B16" s="3167" t="s">
        <v>3634</v>
      </c>
      <c r="C16" s="3167" t="s">
        <v>3518</v>
      </c>
      <c r="D16" s="3167" t="s">
        <v>3635</v>
      </c>
      <c r="E16" s="3167" t="s">
        <v>3636</v>
      </c>
      <c r="F16" s="3167" t="s">
        <v>3504</v>
      </c>
      <c r="G16" s="3167" t="s">
        <v>3560</v>
      </c>
      <c r="H16" s="3167" t="s">
        <v>3522</v>
      </c>
      <c r="I16" s="3168">
        <v>44946.000497685185</v>
      </c>
      <c r="J16" s="3168">
        <v>44966.000497685185</v>
      </c>
      <c r="K16" s="3168">
        <v>44980.000497685185</v>
      </c>
      <c r="L16" s="3168">
        <v>44980.000497685185</v>
      </c>
      <c r="M16" s="3167" t="s">
        <v>3637</v>
      </c>
      <c r="N16" s="3167">
        <v>62796.800000000003</v>
      </c>
      <c r="O16" s="3167">
        <v>275500</v>
      </c>
      <c r="P16" s="3167">
        <v>635800</v>
      </c>
      <c r="Q16" s="3167">
        <v>4.3899999999999997</v>
      </c>
      <c r="R16" s="3167">
        <v>4.3899999999999997</v>
      </c>
      <c r="S16" s="3167" t="s">
        <v>3509</v>
      </c>
      <c r="T16" s="3169">
        <v>4</v>
      </c>
      <c r="U16" s="3169">
        <f>0.9099+(0.9072-0.9099)*(4.39-4.3)/(4.4-4.3)</f>
        <v>0.90747</v>
      </c>
      <c r="V16" s="3169">
        <v>1.2158</v>
      </c>
      <c r="W16" s="3169">
        <v>101247.19</v>
      </c>
      <c r="X16" s="3170">
        <f t="shared" si="0"/>
        <v>30919</v>
      </c>
      <c r="Y16" s="3171">
        <f t="shared" si="1"/>
        <v>31285</v>
      </c>
      <c r="Z16" s="3167">
        <v>6749.81</v>
      </c>
      <c r="AA16" s="3167">
        <v>23078</v>
      </c>
      <c r="AB16" s="3167">
        <v>23078</v>
      </c>
      <c r="AC16" s="3167">
        <v>0</v>
      </c>
      <c r="AD16" s="3167" t="s">
        <v>3562</v>
      </c>
      <c r="AE16" s="3167" t="s">
        <v>3511</v>
      </c>
      <c r="AF16" s="3167" t="s">
        <v>3638</v>
      </c>
      <c r="AG16" s="3167" t="s">
        <v>3639</v>
      </c>
      <c r="AH16" s="3167" t="s">
        <v>3640</v>
      </c>
      <c r="AI16" s="3167" t="s">
        <v>3527</v>
      </c>
    </row>
    <row r="17" spans="1:35" ht="25.5">
      <c r="A17" s="3162" t="s">
        <v>3641</v>
      </c>
      <c r="B17" s="3167" t="s">
        <v>3642</v>
      </c>
      <c r="C17" s="3167" t="s">
        <v>3625</v>
      </c>
      <c r="D17" s="3167" t="s">
        <v>3643</v>
      </c>
      <c r="E17" s="3167" t="s">
        <v>3644</v>
      </c>
      <c r="F17" s="3167" t="s">
        <v>3504</v>
      </c>
      <c r="G17" s="3167" t="s">
        <v>3645</v>
      </c>
      <c r="H17" s="3167" t="s">
        <v>3646</v>
      </c>
      <c r="I17" s="3168">
        <v>44911.000497685185</v>
      </c>
      <c r="J17" s="3168">
        <v>44931.000497685185</v>
      </c>
      <c r="K17" s="3168">
        <v>44945.000497685185</v>
      </c>
      <c r="L17" s="3168">
        <v>44945.000497685185</v>
      </c>
      <c r="M17" s="3167" t="s">
        <v>3647</v>
      </c>
      <c r="N17" s="3167">
        <v>4800</v>
      </c>
      <c r="O17" s="3167">
        <v>1920</v>
      </c>
      <c r="P17" s="3167">
        <v>5800</v>
      </c>
      <c r="Q17" s="3167" t="s">
        <v>3648</v>
      </c>
      <c r="R17" s="3167">
        <v>0.4</v>
      </c>
      <c r="S17" s="3167" t="s">
        <v>3509</v>
      </c>
      <c r="T17" s="3169">
        <v>9</v>
      </c>
      <c r="U17" s="3169">
        <v>1.2302</v>
      </c>
      <c r="V17" s="3169">
        <v>1.2302</v>
      </c>
      <c r="W17" s="3169">
        <v>12083.33</v>
      </c>
      <c r="X17" s="3170">
        <f t="shared" si="0"/>
        <v>30208</v>
      </c>
      <c r="Y17" s="3171">
        <f t="shared" si="1"/>
        <v>30208</v>
      </c>
      <c r="Z17" s="3167">
        <v>805.56</v>
      </c>
      <c r="AA17" s="3167">
        <v>30208</v>
      </c>
      <c r="AB17" s="3167">
        <v>30208</v>
      </c>
      <c r="AC17" s="3167">
        <v>0</v>
      </c>
      <c r="AD17" s="3167" t="s">
        <v>3649</v>
      </c>
      <c r="AE17" s="3167" t="s">
        <v>3511</v>
      </c>
      <c r="AF17" s="3167" t="s">
        <v>3650</v>
      </c>
      <c r="AG17" s="3167" t="s">
        <v>3527</v>
      </c>
      <c r="AH17" s="3167" t="s">
        <v>3527</v>
      </c>
      <c r="AI17" s="3167" t="s">
        <v>3527</v>
      </c>
    </row>
    <row r="18" spans="1:35" ht="25.5">
      <c r="A18" s="3162" t="s">
        <v>3651</v>
      </c>
      <c r="B18" s="3167" t="s">
        <v>3652</v>
      </c>
      <c r="C18" s="3167" t="s">
        <v>3653</v>
      </c>
      <c r="D18" s="3167" t="s">
        <v>3654</v>
      </c>
      <c r="E18" s="3167" t="s">
        <v>3655</v>
      </c>
      <c r="F18" s="3167" t="s">
        <v>3504</v>
      </c>
      <c r="G18" s="3167" t="s">
        <v>3656</v>
      </c>
      <c r="H18" s="3167" t="s">
        <v>3657</v>
      </c>
      <c r="I18" s="3168">
        <v>44901.000497685185</v>
      </c>
      <c r="J18" s="3168">
        <v>44921.000497685185</v>
      </c>
      <c r="K18" s="3168">
        <v>44936.000497685185</v>
      </c>
      <c r="L18" s="3168">
        <v>44936.000497685185</v>
      </c>
      <c r="M18" s="3167" t="s">
        <v>3658</v>
      </c>
      <c r="N18" s="3167">
        <v>46654.62</v>
      </c>
      <c r="O18" s="3167">
        <v>88643.78</v>
      </c>
      <c r="P18" s="3167">
        <v>28000</v>
      </c>
      <c r="Q18" s="3167">
        <v>1.9</v>
      </c>
      <c r="R18" s="3167">
        <v>1.9</v>
      </c>
      <c r="S18" s="3167" t="s">
        <v>3509</v>
      </c>
      <c r="T18" s="3169">
        <v>9</v>
      </c>
      <c r="U18" s="3169">
        <v>1.0174000000000001</v>
      </c>
      <c r="V18" s="3169">
        <v>1.2302</v>
      </c>
      <c r="W18" s="3169">
        <v>6001.54</v>
      </c>
      <c r="X18" s="3170">
        <f t="shared" si="0"/>
        <v>3820</v>
      </c>
      <c r="Y18" s="3171">
        <f t="shared" si="1"/>
        <v>3820</v>
      </c>
      <c r="Z18" s="3167">
        <v>400.1</v>
      </c>
      <c r="AA18" s="3167">
        <v>3159</v>
      </c>
      <c r="AB18" s="3167">
        <v>3159</v>
      </c>
      <c r="AC18" s="3167">
        <v>0</v>
      </c>
      <c r="AD18" s="3167" t="s">
        <v>3562</v>
      </c>
      <c r="AE18" s="3167" t="s">
        <v>3511</v>
      </c>
      <c r="AF18" s="3167" t="s">
        <v>3659</v>
      </c>
      <c r="AG18" s="3167" t="s">
        <v>3660</v>
      </c>
      <c r="AH18" s="3167" t="s">
        <v>3527</v>
      </c>
      <c r="AI18" s="3167" t="s">
        <v>3527</v>
      </c>
    </row>
    <row r="19" spans="1:35" ht="25.5">
      <c r="A19" s="3162" t="s">
        <v>3661</v>
      </c>
      <c r="B19" s="3167" t="s">
        <v>3662</v>
      </c>
      <c r="C19" s="3167" t="s">
        <v>3540</v>
      </c>
      <c r="D19" s="3167" t="s">
        <v>3663</v>
      </c>
      <c r="E19" s="3167" t="s">
        <v>3542</v>
      </c>
      <c r="F19" s="3167" t="s">
        <v>3504</v>
      </c>
      <c r="G19" s="3167" t="s">
        <v>3560</v>
      </c>
      <c r="H19" s="3167" t="s">
        <v>3543</v>
      </c>
      <c r="I19" s="3168">
        <v>44896.000497685185</v>
      </c>
      <c r="J19" s="3168">
        <v>44916.000497685185</v>
      </c>
      <c r="K19" s="3168">
        <v>44931.000497685185</v>
      </c>
      <c r="L19" s="3168">
        <v>44931.000497685185</v>
      </c>
      <c r="M19" s="3167" t="s">
        <v>3664</v>
      </c>
      <c r="N19" s="3167">
        <v>64012.4</v>
      </c>
      <c r="O19" s="3167">
        <v>192037.19</v>
      </c>
      <c r="P19" s="3167">
        <v>177000</v>
      </c>
      <c r="Q19" s="3167">
        <v>3</v>
      </c>
      <c r="R19" s="3167">
        <v>3</v>
      </c>
      <c r="S19" s="3167" t="s">
        <v>3509</v>
      </c>
      <c r="T19" s="3169">
        <v>6</v>
      </c>
      <c r="U19" s="3169">
        <v>0.96309999999999996</v>
      </c>
      <c r="V19" s="3169">
        <v>1.2158</v>
      </c>
      <c r="W19" s="3169">
        <v>27650.89</v>
      </c>
      <c r="X19" s="3170">
        <f t="shared" si="0"/>
        <v>11635</v>
      </c>
      <c r="Y19" s="3171">
        <f t="shared" si="1"/>
        <v>11773</v>
      </c>
      <c r="Z19" s="3167">
        <v>1843.39</v>
      </c>
      <c r="AA19" s="3167">
        <v>9217</v>
      </c>
      <c r="AB19" s="3167">
        <v>9217</v>
      </c>
      <c r="AC19" s="3167">
        <v>0</v>
      </c>
      <c r="AD19" s="3167" t="s">
        <v>3665</v>
      </c>
      <c r="AE19" s="3167" t="s">
        <v>3511</v>
      </c>
      <c r="AF19" s="3167" t="s">
        <v>3666</v>
      </c>
      <c r="AG19" s="3167" t="s">
        <v>3667</v>
      </c>
      <c r="AH19" s="3167" t="s">
        <v>3668</v>
      </c>
      <c r="AI19" s="3167" t="s">
        <v>3669</v>
      </c>
    </row>
    <row r="20" spans="1:35" ht="25.5">
      <c r="A20" s="3162" t="s">
        <v>3670</v>
      </c>
      <c r="B20" s="3167" t="s">
        <v>3671</v>
      </c>
      <c r="C20" s="3167" t="s">
        <v>3530</v>
      </c>
      <c r="D20" s="3167" t="s">
        <v>3541</v>
      </c>
      <c r="E20" s="3167" t="s">
        <v>3672</v>
      </c>
      <c r="F20" s="3167" t="s">
        <v>3504</v>
      </c>
      <c r="G20" s="3167" t="s">
        <v>3560</v>
      </c>
      <c r="H20" s="3167" t="s">
        <v>3506</v>
      </c>
      <c r="I20" s="3168">
        <v>44830.000497685185</v>
      </c>
      <c r="J20" s="3168">
        <v>44851.000497685185</v>
      </c>
      <c r="K20" s="3168">
        <v>44865.000497685185</v>
      </c>
      <c r="L20" s="3168">
        <v>44865.000497685185</v>
      </c>
      <c r="M20" s="3167" t="s">
        <v>3673</v>
      </c>
      <c r="N20" s="3167">
        <v>32733.22</v>
      </c>
      <c r="O20" s="3167">
        <v>72013.08</v>
      </c>
      <c r="P20" s="3167">
        <v>149000</v>
      </c>
      <c r="Q20" s="3167">
        <v>2.2000000000000002</v>
      </c>
      <c r="R20" s="3167">
        <v>2.2000000000000002</v>
      </c>
      <c r="S20" s="3167" t="s">
        <v>3509</v>
      </c>
      <c r="T20" s="3169">
        <v>6</v>
      </c>
      <c r="U20" s="3169">
        <v>1.0287999999999999</v>
      </c>
      <c r="V20" s="3169">
        <v>1.2158</v>
      </c>
      <c r="W20" s="3169">
        <v>45519.5</v>
      </c>
      <c r="X20" s="3170">
        <f t="shared" si="0"/>
        <v>24452</v>
      </c>
      <c r="Y20" s="3171">
        <f t="shared" si="1"/>
        <v>24742</v>
      </c>
      <c r="Z20" s="3167">
        <v>3034.63</v>
      </c>
      <c r="AA20" s="3167">
        <v>20691</v>
      </c>
      <c r="AB20" s="3167">
        <v>20691</v>
      </c>
      <c r="AC20" s="3167">
        <v>0</v>
      </c>
      <c r="AD20" s="3167" t="s">
        <v>3562</v>
      </c>
      <c r="AE20" s="3167" t="s">
        <v>3511</v>
      </c>
      <c r="AF20" s="3167" t="s">
        <v>3674</v>
      </c>
      <c r="AG20" s="3167" t="s">
        <v>3675</v>
      </c>
      <c r="AH20" s="3167" t="s">
        <v>3526</v>
      </c>
      <c r="AI20" s="3167" t="s">
        <v>3547</v>
      </c>
    </row>
    <row r="21" spans="1:35" ht="25.5">
      <c r="A21" s="3162" t="s">
        <v>3676</v>
      </c>
      <c r="B21" s="3167" t="s">
        <v>3677</v>
      </c>
      <c r="C21" s="3167" t="s">
        <v>3530</v>
      </c>
      <c r="D21" s="3167" t="s">
        <v>3541</v>
      </c>
      <c r="E21" s="3167" t="s">
        <v>3672</v>
      </c>
      <c r="F21" s="3167" t="s">
        <v>3504</v>
      </c>
      <c r="G21" s="3167" t="s">
        <v>3560</v>
      </c>
      <c r="H21" s="3167" t="s">
        <v>3506</v>
      </c>
      <c r="I21" s="3168">
        <v>44830.000497685185</v>
      </c>
      <c r="J21" s="3168">
        <v>44851.000497685185</v>
      </c>
      <c r="K21" s="3168">
        <v>44865.000497685185</v>
      </c>
      <c r="L21" s="3168">
        <v>44865.000497685185</v>
      </c>
      <c r="M21" s="3167" t="s">
        <v>3678</v>
      </c>
      <c r="N21" s="3167">
        <v>29506.55</v>
      </c>
      <c r="O21" s="3167">
        <v>64914.41</v>
      </c>
      <c r="P21" s="3167">
        <v>135000</v>
      </c>
      <c r="Q21" s="3167">
        <v>2.2000000000000002</v>
      </c>
      <c r="R21" s="3167">
        <v>2.2000000000000002</v>
      </c>
      <c r="S21" s="3167" t="s">
        <v>3509</v>
      </c>
      <c r="T21" s="3169">
        <v>6</v>
      </c>
      <c r="U21" s="3169">
        <v>1.0287999999999999</v>
      </c>
      <c r="V21" s="3169">
        <v>1.2158</v>
      </c>
      <c r="W21" s="3169">
        <v>45752.55</v>
      </c>
      <c r="X21" s="3170">
        <f t="shared" si="0"/>
        <v>24577</v>
      </c>
      <c r="Y21" s="3171">
        <f t="shared" si="1"/>
        <v>24868</v>
      </c>
      <c r="Z21" s="3167">
        <v>3050.17</v>
      </c>
      <c r="AA21" s="3167">
        <v>20797</v>
      </c>
      <c r="AB21" s="3167">
        <v>20797</v>
      </c>
      <c r="AC21" s="3167">
        <v>0</v>
      </c>
      <c r="AD21" s="3167" t="s">
        <v>3562</v>
      </c>
      <c r="AE21" s="3167" t="s">
        <v>3511</v>
      </c>
      <c r="AF21" s="3167" t="s">
        <v>3679</v>
      </c>
      <c r="AG21" s="3167" t="s">
        <v>3675</v>
      </c>
      <c r="AH21" s="3167" t="s">
        <v>3526</v>
      </c>
      <c r="AI21" s="3167" t="s">
        <v>3547</v>
      </c>
    </row>
    <row r="22" spans="1:35" ht="25.5">
      <c r="A22" s="3162" t="s">
        <v>3680</v>
      </c>
      <c r="B22" s="3167" t="s">
        <v>3681</v>
      </c>
      <c r="C22" s="3167" t="s">
        <v>3550</v>
      </c>
      <c r="D22" s="3167" t="s">
        <v>3597</v>
      </c>
      <c r="E22" s="3167" t="s">
        <v>3552</v>
      </c>
      <c r="F22" s="3167" t="s">
        <v>3504</v>
      </c>
      <c r="G22" s="3167" t="s">
        <v>3560</v>
      </c>
      <c r="H22" s="3167" t="s">
        <v>3522</v>
      </c>
      <c r="I22" s="3168">
        <v>44764.000497685185</v>
      </c>
      <c r="J22" s="3168">
        <v>44784.000497685185</v>
      </c>
      <c r="K22" s="3168">
        <v>44798.000497685185</v>
      </c>
      <c r="L22" s="3168">
        <v>44798.000497685185</v>
      </c>
      <c r="M22" s="3167" t="s">
        <v>3682</v>
      </c>
      <c r="N22" s="3167">
        <v>12629.88</v>
      </c>
      <c r="O22" s="3167">
        <v>80000</v>
      </c>
      <c r="P22" s="3167">
        <v>166000</v>
      </c>
      <c r="Q22" s="3167" t="s">
        <v>3683</v>
      </c>
      <c r="R22" s="3167">
        <v>6.33</v>
      </c>
      <c r="S22" s="3167" t="s">
        <v>3509</v>
      </c>
      <c r="T22" s="3169">
        <v>3</v>
      </c>
      <c r="U22" s="3169">
        <f>0.8641+(0.8621-0.8641)*(6.33-6.3)/(6.4-6.3)</f>
        <v>0.86349999999999993</v>
      </c>
      <c r="V22" s="3169">
        <v>1.2158</v>
      </c>
      <c r="W22" s="3169">
        <v>131434.34</v>
      </c>
      <c r="X22" s="3170">
        <f t="shared" si="0"/>
        <v>29216</v>
      </c>
      <c r="Y22" s="3171">
        <f t="shared" si="1"/>
        <v>29562</v>
      </c>
      <c r="Z22" s="3167">
        <v>8762.2900000000009</v>
      </c>
      <c r="AA22" s="3167">
        <v>20750</v>
      </c>
      <c r="AB22" s="3167">
        <v>20750</v>
      </c>
      <c r="AC22" s="3167">
        <v>0</v>
      </c>
      <c r="AD22" s="3167" t="s">
        <v>3562</v>
      </c>
      <c r="AE22" s="3167" t="s">
        <v>3511</v>
      </c>
      <c r="AF22" s="3167" t="s">
        <v>3684</v>
      </c>
      <c r="AG22" s="3167" t="s">
        <v>3685</v>
      </c>
      <c r="AH22" s="3167" t="s">
        <v>3514</v>
      </c>
      <c r="AI22" s="3167" t="s">
        <v>3515</v>
      </c>
    </row>
    <row r="23" spans="1:35" s="3176" customFormat="1" ht="25.5">
      <c r="A23" s="3173" t="s">
        <v>3686</v>
      </c>
      <c r="B23" s="3174" t="s">
        <v>3687</v>
      </c>
      <c r="C23" s="3174" t="s">
        <v>3567</v>
      </c>
      <c r="D23" s="3174" t="s">
        <v>3688</v>
      </c>
      <c r="E23" s="3174" t="s">
        <v>3689</v>
      </c>
      <c r="F23" s="3174" t="s">
        <v>3504</v>
      </c>
      <c r="G23" s="3174" t="s">
        <v>3560</v>
      </c>
      <c r="H23" s="3174" t="s">
        <v>3506</v>
      </c>
      <c r="I23" s="3175">
        <v>44760.000497685185</v>
      </c>
      <c r="J23" s="3175">
        <v>44782.000497685185</v>
      </c>
      <c r="K23" s="3175">
        <v>44795.000497685185</v>
      </c>
      <c r="L23" s="3175">
        <v>44795.000497685185</v>
      </c>
      <c r="M23" s="3174" t="s">
        <v>3690</v>
      </c>
      <c r="N23" s="3174">
        <v>10000</v>
      </c>
      <c r="O23" s="3174">
        <v>22000</v>
      </c>
      <c r="P23" s="3174">
        <v>36400</v>
      </c>
      <c r="Q23" s="3174" t="s">
        <v>3691</v>
      </c>
      <c r="R23" s="3174">
        <v>2.2000000000000002</v>
      </c>
      <c r="S23" s="3174" t="s">
        <v>3509</v>
      </c>
      <c r="T23" s="3174">
        <v>6</v>
      </c>
      <c r="U23" s="3174">
        <v>1.0287999999999999</v>
      </c>
      <c r="V23" s="3174">
        <v>1.2158</v>
      </c>
      <c r="W23" s="3174">
        <v>36400</v>
      </c>
      <c r="X23" s="3174">
        <f t="shared" si="0"/>
        <v>19552</v>
      </c>
      <c r="Y23" s="3174">
        <f t="shared" si="1"/>
        <v>19784</v>
      </c>
      <c r="Z23" s="3174">
        <v>2426.67</v>
      </c>
      <c r="AA23" s="3174">
        <v>16545</v>
      </c>
      <c r="AB23" s="3174">
        <v>16545</v>
      </c>
      <c r="AC23" s="3174">
        <v>0</v>
      </c>
      <c r="AD23" s="3174" t="s">
        <v>3692</v>
      </c>
      <c r="AE23" s="3174" t="s">
        <v>3511</v>
      </c>
      <c r="AF23" s="3174" t="s">
        <v>3693</v>
      </c>
      <c r="AG23" s="3174" t="s">
        <v>3694</v>
      </c>
      <c r="AH23" s="3174" t="s">
        <v>3527</v>
      </c>
      <c r="AI23" s="3174" t="s">
        <v>3527</v>
      </c>
    </row>
    <row r="24" spans="1:35" s="3176" customFormat="1" ht="25.5">
      <c r="A24" s="3173" t="s">
        <v>3695</v>
      </c>
      <c r="B24" s="3174" t="s">
        <v>3696</v>
      </c>
      <c r="C24" s="3174" t="s">
        <v>3567</v>
      </c>
      <c r="D24" s="3174" t="s">
        <v>3688</v>
      </c>
      <c r="E24" s="3174" t="s">
        <v>3689</v>
      </c>
      <c r="F24" s="3174" t="s">
        <v>3504</v>
      </c>
      <c r="G24" s="3174" t="s">
        <v>3560</v>
      </c>
      <c r="H24" s="3174" t="s">
        <v>3506</v>
      </c>
      <c r="I24" s="3175">
        <v>44760.000497685185</v>
      </c>
      <c r="J24" s="3175">
        <v>44782.000497685185</v>
      </c>
      <c r="K24" s="3175">
        <v>44796.000497685185</v>
      </c>
      <c r="L24" s="3175">
        <v>44796.000497685185</v>
      </c>
      <c r="M24" s="3174" t="s">
        <v>3697</v>
      </c>
      <c r="N24" s="3174">
        <v>5500</v>
      </c>
      <c r="O24" s="3174">
        <v>12100</v>
      </c>
      <c r="P24" s="3174">
        <v>20000</v>
      </c>
      <c r="Q24" s="3174" t="s">
        <v>3691</v>
      </c>
      <c r="R24" s="3174">
        <v>2.2000000000000002</v>
      </c>
      <c r="S24" s="3174" t="s">
        <v>3509</v>
      </c>
      <c r="T24" s="3174">
        <v>6</v>
      </c>
      <c r="U24" s="3174">
        <v>1.0287999999999999</v>
      </c>
      <c r="V24" s="3174">
        <v>1.2158</v>
      </c>
      <c r="W24" s="3174">
        <v>36363.629999999997</v>
      </c>
      <c r="X24" s="3174">
        <f t="shared" si="0"/>
        <v>19533</v>
      </c>
      <c r="Y24" s="3174">
        <f t="shared" si="1"/>
        <v>19764</v>
      </c>
      <c r="Z24" s="3174">
        <v>2424.2399999999998</v>
      </c>
      <c r="AA24" s="3174">
        <v>16529</v>
      </c>
      <c r="AB24" s="3174">
        <v>16529</v>
      </c>
      <c r="AC24" s="3174">
        <v>0</v>
      </c>
      <c r="AD24" s="3174" t="s">
        <v>3692</v>
      </c>
      <c r="AE24" s="3174" t="s">
        <v>3511</v>
      </c>
      <c r="AF24" s="3174" t="s">
        <v>3698</v>
      </c>
      <c r="AG24" s="3174" t="s">
        <v>3527</v>
      </c>
      <c r="AH24" s="3174" t="s">
        <v>3527</v>
      </c>
      <c r="AI24" s="3174" t="s">
        <v>3527</v>
      </c>
    </row>
    <row r="25" spans="1:35" ht="25.5">
      <c r="A25" s="3162" t="s">
        <v>3699</v>
      </c>
      <c r="B25" s="3167" t="s">
        <v>3700</v>
      </c>
      <c r="C25" s="3167" t="s">
        <v>3567</v>
      </c>
      <c r="D25" s="3167" t="s">
        <v>3701</v>
      </c>
      <c r="E25" s="3167" t="s">
        <v>3702</v>
      </c>
      <c r="F25" s="3167" t="s">
        <v>3504</v>
      </c>
      <c r="G25" s="3167" t="s">
        <v>3560</v>
      </c>
      <c r="H25" s="3167" t="s">
        <v>3506</v>
      </c>
      <c r="I25" s="3168">
        <v>44725.000497685185</v>
      </c>
      <c r="J25" s="3168">
        <v>44747.000497685185</v>
      </c>
      <c r="K25" s="3168">
        <v>44761.000497685185</v>
      </c>
      <c r="L25" s="3168">
        <v>44761.000497685185</v>
      </c>
      <c r="M25" s="3167" t="s">
        <v>3703</v>
      </c>
      <c r="N25" s="3167">
        <v>16122.82</v>
      </c>
      <c r="O25" s="3167">
        <v>45143.91</v>
      </c>
      <c r="P25" s="3167">
        <v>76000</v>
      </c>
      <c r="Q25" s="3167" t="s">
        <v>3619</v>
      </c>
      <c r="R25" s="3167">
        <v>2.8</v>
      </c>
      <c r="S25" s="3167" t="s">
        <v>3509</v>
      </c>
      <c r="T25" s="3169">
        <v>6</v>
      </c>
      <c r="U25" s="3169">
        <v>0.97640000000000005</v>
      </c>
      <c r="V25" s="3169">
        <v>1.2158</v>
      </c>
      <c r="W25" s="3169">
        <v>47138.15</v>
      </c>
      <c r="X25" s="3170">
        <f t="shared" si="0"/>
        <v>20963</v>
      </c>
      <c r="Y25" s="3171">
        <f t="shared" si="1"/>
        <v>21211</v>
      </c>
      <c r="Z25" s="3167">
        <v>3142.54</v>
      </c>
      <c r="AA25" s="3167">
        <v>16835</v>
      </c>
      <c r="AB25" s="3167">
        <v>16835</v>
      </c>
      <c r="AC25" s="3167">
        <v>0</v>
      </c>
      <c r="AD25" s="3167" t="s">
        <v>3704</v>
      </c>
      <c r="AE25" s="3167" t="s">
        <v>3511</v>
      </c>
      <c r="AF25" s="3167" t="s">
        <v>3705</v>
      </c>
      <c r="AG25" s="3167" t="s">
        <v>3706</v>
      </c>
      <c r="AH25" s="3167" t="s">
        <v>3527</v>
      </c>
      <c r="AI25" s="3167" t="s">
        <v>3527</v>
      </c>
    </row>
    <row r="26" spans="1:35" ht="25.5">
      <c r="A26" s="3162" t="s">
        <v>3707</v>
      </c>
      <c r="B26" s="3167" t="s">
        <v>3708</v>
      </c>
      <c r="C26" s="3167" t="s">
        <v>3625</v>
      </c>
      <c r="D26" s="3167" t="s">
        <v>3709</v>
      </c>
      <c r="E26" s="3167" t="s">
        <v>3710</v>
      </c>
      <c r="F26" s="3167" t="s">
        <v>3504</v>
      </c>
      <c r="G26" s="3167" t="s">
        <v>3560</v>
      </c>
      <c r="H26" s="3167" t="s">
        <v>3506</v>
      </c>
      <c r="I26" s="3168">
        <v>44701.000497685185</v>
      </c>
      <c r="J26" s="3168">
        <v>44721.000497685185</v>
      </c>
      <c r="K26" s="3168">
        <v>44735.000497685185</v>
      </c>
      <c r="L26" s="3168">
        <v>44735.000497685185</v>
      </c>
      <c r="M26" s="3167" t="s">
        <v>3711</v>
      </c>
      <c r="N26" s="3167">
        <v>17308.8</v>
      </c>
      <c r="O26" s="3167">
        <v>86544</v>
      </c>
      <c r="P26" s="3167">
        <v>91400</v>
      </c>
      <c r="Q26" s="3167" t="s">
        <v>3712</v>
      </c>
      <c r="R26" s="3167">
        <v>5</v>
      </c>
      <c r="S26" s="3167" t="s">
        <v>3509</v>
      </c>
      <c r="T26" s="3169">
        <v>6</v>
      </c>
      <c r="U26" s="3169">
        <v>0.89239999999999997</v>
      </c>
      <c r="V26" s="3169">
        <v>1.2158</v>
      </c>
      <c r="W26" s="3169">
        <v>52805.5</v>
      </c>
      <c r="X26" s="3170">
        <f t="shared" si="0"/>
        <v>14388</v>
      </c>
      <c r="Y26" s="3171">
        <f t="shared" si="1"/>
        <v>14558</v>
      </c>
      <c r="Z26" s="3167">
        <v>3520.37</v>
      </c>
      <c r="AA26" s="3167">
        <v>10561</v>
      </c>
      <c r="AB26" s="3167">
        <v>10561</v>
      </c>
      <c r="AC26" s="3167">
        <v>0</v>
      </c>
      <c r="AD26" s="3167" t="s">
        <v>3713</v>
      </c>
      <c r="AE26" s="3167" t="s">
        <v>3511</v>
      </c>
      <c r="AF26" s="3167" t="s">
        <v>3714</v>
      </c>
      <c r="AG26" s="3167" t="s">
        <v>3715</v>
      </c>
      <c r="AH26" s="3167" t="s">
        <v>3527</v>
      </c>
      <c r="AI26" s="3167" t="s">
        <v>3527</v>
      </c>
    </row>
    <row r="27" spans="1:35" s="3180" customFormat="1" ht="25.5">
      <c r="A27" s="3177" t="s">
        <v>3716</v>
      </c>
      <c r="B27" s="3178" t="s">
        <v>3717</v>
      </c>
      <c r="C27" s="3178" t="s">
        <v>3625</v>
      </c>
      <c r="D27" s="3178" t="s">
        <v>3718</v>
      </c>
      <c r="E27" s="3178" t="s">
        <v>3644</v>
      </c>
      <c r="F27" s="3178" t="s">
        <v>3504</v>
      </c>
      <c r="G27" s="3178" t="s">
        <v>3560</v>
      </c>
      <c r="H27" s="3178" t="s">
        <v>3506</v>
      </c>
      <c r="I27" s="3179">
        <v>44648.000497685185</v>
      </c>
      <c r="J27" s="3179">
        <v>44669.000497685185</v>
      </c>
      <c r="K27" s="3179">
        <v>44680.000497685185</v>
      </c>
      <c r="L27" s="3179">
        <v>44680.000497685185</v>
      </c>
      <c r="M27" s="3178" t="s">
        <v>3719</v>
      </c>
      <c r="N27" s="3178">
        <v>59169.74</v>
      </c>
      <c r="O27" s="3178">
        <v>130173.43</v>
      </c>
      <c r="P27" s="3178">
        <v>131600</v>
      </c>
      <c r="Q27" s="3178" t="s">
        <v>3691</v>
      </c>
      <c r="R27" s="3178">
        <v>2.2000000000000002</v>
      </c>
      <c r="S27" s="3178" t="s">
        <v>3509</v>
      </c>
      <c r="T27" s="3169">
        <v>9</v>
      </c>
      <c r="U27" s="3169">
        <v>0.96819999999999995</v>
      </c>
      <c r="V27" s="3169">
        <v>1.2302</v>
      </c>
      <c r="W27" s="3169">
        <v>22241.09</v>
      </c>
      <c r="X27" s="3170">
        <f t="shared" si="0"/>
        <v>12846</v>
      </c>
      <c r="Y27" s="3171">
        <f t="shared" si="1"/>
        <v>12846</v>
      </c>
      <c r="Z27" s="3178">
        <v>1482.74</v>
      </c>
      <c r="AA27" s="3178">
        <v>10110</v>
      </c>
      <c r="AB27" s="3178">
        <v>10110</v>
      </c>
      <c r="AC27" s="3178">
        <v>0</v>
      </c>
      <c r="AD27" s="3178" t="s">
        <v>3562</v>
      </c>
      <c r="AE27" s="3178" t="s">
        <v>3511</v>
      </c>
      <c r="AF27" s="3178" t="s">
        <v>3720</v>
      </c>
      <c r="AG27" s="3178" t="s">
        <v>3721</v>
      </c>
      <c r="AH27" s="3178" t="s">
        <v>3526</v>
      </c>
      <c r="AI27" s="3178" t="s">
        <v>3527</v>
      </c>
    </row>
    <row r="28" spans="1:35" ht="25.5">
      <c r="A28" s="3162" t="s">
        <v>3722</v>
      </c>
      <c r="B28" s="3167" t="s">
        <v>3723</v>
      </c>
      <c r="C28" s="3167" t="s">
        <v>3625</v>
      </c>
      <c r="D28" s="3167" t="s">
        <v>3643</v>
      </c>
      <c r="E28" s="3167" t="s">
        <v>3724</v>
      </c>
      <c r="F28" s="3167" t="s">
        <v>3504</v>
      </c>
      <c r="G28" s="3167" t="s">
        <v>3725</v>
      </c>
      <c r="H28" s="3167" t="s">
        <v>3522</v>
      </c>
      <c r="I28" s="3168">
        <v>44587.000497685185</v>
      </c>
      <c r="J28" s="3168">
        <v>44607.000497685185</v>
      </c>
      <c r="K28" s="3168">
        <v>44621.000497685185</v>
      </c>
      <c r="L28" s="3168">
        <v>44621.000497685185</v>
      </c>
      <c r="M28" s="3167" t="s">
        <v>3726</v>
      </c>
      <c r="N28" s="3167">
        <v>12066.9</v>
      </c>
      <c r="O28" s="3167">
        <v>18100.349999999999</v>
      </c>
      <c r="P28" s="3167">
        <v>9400</v>
      </c>
      <c r="Q28" s="3167">
        <v>1.5</v>
      </c>
      <c r="R28" s="3167">
        <v>1.5</v>
      </c>
      <c r="S28" s="3167" t="s">
        <v>3509</v>
      </c>
      <c r="T28" s="3169">
        <v>9</v>
      </c>
      <c r="U28" s="3169">
        <v>1.0985</v>
      </c>
      <c r="V28" s="3169">
        <v>1.2302</v>
      </c>
      <c r="W28" s="3169">
        <v>7789.9</v>
      </c>
      <c r="X28" s="3170">
        <f t="shared" si="0"/>
        <v>5816</v>
      </c>
      <c r="Y28" s="3171">
        <f t="shared" si="1"/>
        <v>5816</v>
      </c>
      <c r="Z28" s="3167">
        <v>519.33000000000004</v>
      </c>
      <c r="AA28" s="3167">
        <v>5193</v>
      </c>
      <c r="AB28" s="3167">
        <v>5193</v>
      </c>
      <c r="AC28" s="3167">
        <v>0</v>
      </c>
      <c r="AD28" s="3167" t="s">
        <v>3727</v>
      </c>
      <c r="AE28" s="3167" t="s">
        <v>3728</v>
      </c>
      <c r="AF28" s="3167" t="s">
        <v>3720</v>
      </c>
      <c r="AG28" s="3167" t="s">
        <v>3527</v>
      </c>
      <c r="AH28" s="3167" t="s">
        <v>3527</v>
      </c>
      <c r="AI28" s="3167" t="s">
        <v>3527</v>
      </c>
    </row>
    <row r="29" spans="1:35" ht="25.5">
      <c r="A29" s="3162" t="s">
        <v>3729</v>
      </c>
      <c r="B29" s="3167" t="s">
        <v>3730</v>
      </c>
      <c r="C29" s="3167" t="s">
        <v>3625</v>
      </c>
      <c r="D29" s="3167" t="s">
        <v>3731</v>
      </c>
      <c r="E29" s="3167" t="s">
        <v>3732</v>
      </c>
      <c r="F29" s="3167" t="s">
        <v>3504</v>
      </c>
      <c r="G29" s="3167" t="s">
        <v>3560</v>
      </c>
      <c r="H29" s="3167" t="s">
        <v>3506</v>
      </c>
      <c r="I29" s="3168">
        <v>44561.000497685185</v>
      </c>
      <c r="J29" s="3168">
        <v>44581.000497685185</v>
      </c>
      <c r="K29" s="3168">
        <v>44600.000497685185</v>
      </c>
      <c r="L29" s="3168">
        <v>44600.000497685185</v>
      </c>
      <c r="M29" s="3167" t="s">
        <v>3733</v>
      </c>
      <c r="N29" s="3167">
        <v>15178.6</v>
      </c>
      <c r="O29" s="3167">
        <v>45535.8</v>
      </c>
      <c r="P29" s="3167">
        <v>58400</v>
      </c>
      <c r="Q29" s="3167">
        <v>3</v>
      </c>
      <c r="R29" s="3167">
        <v>3</v>
      </c>
      <c r="S29" s="3167" t="s">
        <v>3509</v>
      </c>
      <c r="T29" s="3169">
        <v>5</v>
      </c>
      <c r="U29" s="3169">
        <v>0.96309999999999996</v>
      </c>
      <c r="V29" s="3169">
        <v>1.2158</v>
      </c>
      <c r="W29" s="3169">
        <v>38475.22</v>
      </c>
      <c r="X29" s="3170">
        <f t="shared" si="0"/>
        <v>16190</v>
      </c>
      <c r="Y29" s="3171">
        <f t="shared" si="1"/>
        <v>16382</v>
      </c>
      <c r="Z29" s="3167">
        <v>2565.0100000000002</v>
      </c>
      <c r="AA29" s="3167">
        <v>12825</v>
      </c>
      <c r="AB29" s="3167">
        <v>12825</v>
      </c>
      <c r="AC29" s="3167">
        <v>0</v>
      </c>
      <c r="AD29" s="3167" t="s">
        <v>3692</v>
      </c>
      <c r="AE29" s="3167" t="s">
        <v>3728</v>
      </c>
      <c r="AF29" s="3167" t="s">
        <v>3734</v>
      </c>
      <c r="AG29" s="3167" t="s">
        <v>3735</v>
      </c>
      <c r="AH29" s="3167" t="s">
        <v>3526</v>
      </c>
      <c r="AI29" s="3167" t="s">
        <v>3527</v>
      </c>
    </row>
    <row r="30" spans="1:35" ht="38.25">
      <c r="A30" s="3162" t="s">
        <v>3736</v>
      </c>
      <c r="B30" s="3167" t="s">
        <v>3737</v>
      </c>
      <c r="C30" s="3167" t="s">
        <v>3738</v>
      </c>
      <c r="D30" s="3167" t="s">
        <v>3739</v>
      </c>
      <c r="E30" s="3167" t="s">
        <v>3740</v>
      </c>
      <c r="F30" s="3167" t="s">
        <v>3504</v>
      </c>
      <c r="G30" s="3167" t="s">
        <v>3560</v>
      </c>
      <c r="H30" s="3167" t="s">
        <v>3506</v>
      </c>
      <c r="I30" s="3168">
        <v>44546.000497685185</v>
      </c>
      <c r="J30" s="3168">
        <v>44566.000497685185</v>
      </c>
      <c r="K30" s="3168">
        <v>44580.000497685185</v>
      </c>
      <c r="L30" s="3168">
        <v>44580.000497685185</v>
      </c>
      <c r="M30" s="3167" t="s">
        <v>3741</v>
      </c>
      <c r="N30" s="3167">
        <v>19258.580000000002</v>
      </c>
      <c r="O30" s="3167">
        <v>38517.17</v>
      </c>
      <c r="P30" s="3167">
        <v>28400</v>
      </c>
      <c r="Q30" s="3167">
        <v>2</v>
      </c>
      <c r="R30" s="3167">
        <v>2</v>
      </c>
      <c r="S30" s="3167" t="s">
        <v>3509</v>
      </c>
      <c r="T30" s="3169">
        <v>9</v>
      </c>
      <c r="U30" s="3169">
        <v>1</v>
      </c>
      <c r="V30" s="3169">
        <v>1.2302</v>
      </c>
      <c r="W30" s="3169">
        <v>14746.67</v>
      </c>
      <c r="X30" s="3170">
        <f t="shared" si="0"/>
        <v>9070</v>
      </c>
      <c r="Y30" s="3171">
        <f t="shared" si="1"/>
        <v>9070</v>
      </c>
      <c r="Z30" s="3167">
        <v>983.11</v>
      </c>
      <c r="AA30" s="3167">
        <v>7373</v>
      </c>
      <c r="AB30" s="3167">
        <v>7373</v>
      </c>
      <c r="AC30" s="3167">
        <v>0</v>
      </c>
      <c r="AD30" s="3167" t="s">
        <v>3692</v>
      </c>
      <c r="AE30" s="3167" t="s">
        <v>3728</v>
      </c>
      <c r="AF30" s="3167" t="s">
        <v>3742</v>
      </c>
      <c r="AG30" s="3167" t="s">
        <v>3527</v>
      </c>
      <c r="AH30" s="3167" t="s">
        <v>3527</v>
      </c>
      <c r="AI30" s="3167" t="s">
        <v>3527</v>
      </c>
    </row>
    <row r="31" spans="1:35" ht="38.25">
      <c r="A31" s="3162" t="s">
        <v>3743</v>
      </c>
      <c r="B31" s="3167" t="s">
        <v>3744</v>
      </c>
      <c r="C31" s="3167" t="s">
        <v>3738</v>
      </c>
      <c r="D31" s="3167" t="s">
        <v>3739</v>
      </c>
      <c r="E31" s="3167" t="s">
        <v>3740</v>
      </c>
      <c r="F31" s="3167" t="s">
        <v>3504</v>
      </c>
      <c r="G31" s="3167" t="s">
        <v>3560</v>
      </c>
      <c r="H31" s="3167" t="s">
        <v>3506</v>
      </c>
      <c r="I31" s="3168">
        <v>44546.000497685185</v>
      </c>
      <c r="J31" s="3168">
        <v>44566.000497685185</v>
      </c>
      <c r="K31" s="3168">
        <v>44580.000497685185</v>
      </c>
      <c r="L31" s="3168">
        <v>44580.000497685185</v>
      </c>
      <c r="M31" s="3167" t="s">
        <v>3745</v>
      </c>
      <c r="N31" s="3167">
        <v>28547.88</v>
      </c>
      <c r="O31" s="3167">
        <v>51828.53</v>
      </c>
      <c r="P31" s="3167">
        <v>37700</v>
      </c>
      <c r="Q31" s="3167">
        <v>1.82</v>
      </c>
      <c r="R31" s="3167">
        <v>1.82</v>
      </c>
      <c r="S31" s="3167" t="s">
        <v>3509</v>
      </c>
      <c r="T31" s="3169">
        <v>9</v>
      </c>
      <c r="U31" s="3169">
        <f>1.0359+(1.0174-1.0359)*(1.82-1.8)/(1.9-1.8)</f>
        <v>1.0322</v>
      </c>
      <c r="V31" s="3169">
        <v>1.2302</v>
      </c>
      <c r="W31" s="3169">
        <v>13205.88</v>
      </c>
      <c r="X31" s="3170">
        <f t="shared" si="0"/>
        <v>8669</v>
      </c>
      <c r="Y31" s="3171">
        <f t="shared" si="1"/>
        <v>8669</v>
      </c>
      <c r="Z31" s="3167">
        <v>880.39</v>
      </c>
      <c r="AA31" s="3167">
        <v>7274</v>
      </c>
      <c r="AB31" s="3167">
        <v>7274</v>
      </c>
      <c r="AC31" s="3167">
        <v>0</v>
      </c>
      <c r="AD31" s="3167" t="s">
        <v>3692</v>
      </c>
      <c r="AE31" s="3167" t="s">
        <v>3728</v>
      </c>
      <c r="AF31" s="3167" t="s">
        <v>3746</v>
      </c>
      <c r="AG31" s="3167" t="s">
        <v>3747</v>
      </c>
      <c r="AH31" s="3167" t="s">
        <v>3526</v>
      </c>
      <c r="AI31" s="3167" t="s">
        <v>3547</v>
      </c>
    </row>
    <row r="32" spans="1:35" ht="25.5">
      <c r="A32" s="3162" t="s">
        <v>3748</v>
      </c>
      <c r="B32" s="3167" t="s">
        <v>3749</v>
      </c>
      <c r="C32" s="3167" t="s">
        <v>3567</v>
      </c>
      <c r="D32" s="3167" t="s">
        <v>3750</v>
      </c>
      <c r="E32" s="3167" t="s">
        <v>3751</v>
      </c>
      <c r="F32" s="3167" t="s">
        <v>3504</v>
      </c>
      <c r="G32" s="3167" t="s">
        <v>3560</v>
      </c>
      <c r="H32" s="3167" t="s">
        <v>3506</v>
      </c>
      <c r="I32" s="3168">
        <v>44531.000497685185</v>
      </c>
      <c r="J32" s="3168">
        <v>44551.000497685185</v>
      </c>
      <c r="K32" s="3168">
        <v>44566.000497685185</v>
      </c>
      <c r="L32" s="3168">
        <v>44566.000497685185</v>
      </c>
      <c r="M32" s="3167" t="s">
        <v>3752</v>
      </c>
      <c r="N32" s="3167">
        <v>29991.73</v>
      </c>
      <c r="O32" s="3167">
        <v>119966.93</v>
      </c>
      <c r="P32" s="3167">
        <v>165300</v>
      </c>
      <c r="Q32" s="3167">
        <v>4</v>
      </c>
      <c r="R32" s="3167">
        <v>4</v>
      </c>
      <c r="S32" s="3167" t="s">
        <v>3509</v>
      </c>
      <c r="T32" s="3169">
        <v>4</v>
      </c>
      <c r="U32" s="3169">
        <v>0.91859999999999997</v>
      </c>
      <c r="V32" s="3169">
        <v>1.2158</v>
      </c>
      <c r="W32" s="3169">
        <v>55115.19</v>
      </c>
      <c r="X32" s="3170">
        <f t="shared" si="0"/>
        <v>18237</v>
      </c>
      <c r="Y32" s="3171">
        <f t="shared" si="1"/>
        <v>18453</v>
      </c>
      <c r="Z32" s="3167">
        <v>3674.35</v>
      </c>
      <c r="AA32" s="3167">
        <v>13779</v>
      </c>
      <c r="AB32" s="3167">
        <v>13779</v>
      </c>
      <c r="AC32" s="3167">
        <v>0</v>
      </c>
      <c r="AD32" s="3167" t="s">
        <v>3753</v>
      </c>
      <c r="AE32" s="3167" t="s">
        <v>3728</v>
      </c>
      <c r="AF32" s="3167" t="s">
        <v>3754</v>
      </c>
      <c r="AG32" s="3167" t="s">
        <v>3527</v>
      </c>
      <c r="AH32" s="3167" t="s">
        <v>3527</v>
      </c>
      <c r="AI32" s="3167" t="s">
        <v>3527</v>
      </c>
    </row>
    <row r="33" spans="1:35">
      <c r="A33" s="3162" t="s">
        <v>3755</v>
      </c>
      <c r="B33" s="3167" t="s">
        <v>3756</v>
      </c>
      <c r="C33" s="3167" t="s">
        <v>3625</v>
      </c>
      <c r="D33" s="3167" t="s">
        <v>3757</v>
      </c>
      <c r="E33" s="3167" t="s">
        <v>3758</v>
      </c>
      <c r="F33" s="3167" t="s">
        <v>3504</v>
      </c>
      <c r="G33" s="3167" t="s">
        <v>3759</v>
      </c>
      <c r="H33" s="3167" t="s">
        <v>3759</v>
      </c>
      <c r="I33" s="3168">
        <v>44519.000497685185</v>
      </c>
      <c r="J33" s="3168">
        <v>44540.000497685185</v>
      </c>
      <c r="K33" s="3168">
        <v>44554.000497685185</v>
      </c>
      <c r="L33" s="3168">
        <v>44554.000497685185</v>
      </c>
      <c r="M33" s="3167" t="s">
        <v>3760</v>
      </c>
      <c r="N33" s="3167">
        <v>15197.52</v>
      </c>
      <c r="O33" s="3167">
        <v>30395.05</v>
      </c>
      <c r="P33" s="3167">
        <v>42600</v>
      </c>
      <c r="Q33" s="3167">
        <v>2</v>
      </c>
      <c r="R33" s="3167">
        <v>2</v>
      </c>
      <c r="S33" s="3167" t="s">
        <v>3509</v>
      </c>
      <c r="T33" s="3169">
        <v>6</v>
      </c>
      <c r="U33" s="3169">
        <v>1.0512999999999999</v>
      </c>
      <c r="V33" s="3169">
        <v>1.2158</v>
      </c>
      <c r="W33" s="3169">
        <v>28030.880000000001</v>
      </c>
      <c r="X33" s="3170">
        <f t="shared" si="0"/>
        <v>16208</v>
      </c>
      <c r="Y33" s="3171">
        <f t="shared" si="1"/>
        <v>16400</v>
      </c>
      <c r="Z33" s="3167">
        <v>1868.73</v>
      </c>
      <c r="AA33" s="3167">
        <v>14015</v>
      </c>
      <c r="AB33" s="3167">
        <v>14015</v>
      </c>
      <c r="AC33" s="3167">
        <v>0</v>
      </c>
      <c r="AD33" s="3167" t="s">
        <v>3692</v>
      </c>
      <c r="AE33" s="3167" t="s">
        <v>3728</v>
      </c>
      <c r="AF33" s="3167" t="s">
        <v>3761</v>
      </c>
      <c r="AG33" s="3167" t="s">
        <v>3762</v>
      </c>
      <c r="AH33" s="3167" t="s">
        <v>3526</v>
      </c>
      <c r="AI33" s="3167" t="s">
        <v>3547</v>
      </c>
    </row>
    <row r="34" spans="1:35" ht="25.5">
      <c r="A34" s="3162" t="s">
        <v>3763</v>
      </c>
      <c r="B34" s="3167" t="s">
        <v>3764</v>
      </c>
      <c r="C34" s="3167" t="s">
        <v>3530</v>
      </c>
      <c r="D34" s="3167" t="s">
        <v>3541</v>
      </c>
      <c r="E34" s="3167" t="s">
        <v>3765</v>
      </c>
      <c r="F34" s="3167" t="s">
        <v>3504</v>
      </c>
      <c r="G34" s="3167" t="s">
        <v>3560</v>
      </c>
      <c r="H34" s="3167" t="s">
        <v>3506</v>
      </c>
      <c r="I34" s="3168">
        <v>44457.000497685185</v>
      </c>
      <c r="J34" s="3168">
        <v>44481.000497685185</v>
      </c>
      <c r="K34" s="3168">
        <v>44495.000497685185</v>
      </c>
      <c r="L34" s="3168">
        <v>44495.000497685185</v>
      </c>
      <c r="M34" s="3167" t="s">
        <v>3766</v>
      </c>
      <c r="N34" s="3167">
        <v>38252.550000000003</v>
      </c>
      <c r="O34" s="3167">
        <v>84155.61</v>
      </c>
      <c r="P34" s="3167">
        <v>175000</v>
      </c>
      <c r="Q34" s="3167">
        <v>2.2000000000000002</v>
      </c>
      <c r="R34" s="3167">
        <v>2.2000000000000002</v>
      </c>
      <c r="S34" s="3167" t="s">
        <v>3509</v>
      </c>
      <c r="T34" s="3169">
        <v>6</v>
      </c>
      <c r="U34" s="3169">
        <v>1.0287999999999999</v>
      </c>
      <c r="V34" s="3169">
        <v>1.2158</v>
      </c>
      <c r="W34" s="3169">
        <v>45748.58</v>
      </c>
      <c r="X34" s="3170">
        <f t="shared" si="0"/>
        <v>24575</v>
      </c>
      <c r="Y34" s="3171">
        <f t="shared" si="1"/>
        <v>24866</v>
      </c>
      <c r="Z34" s="3167">
        <v>3049.91</v>
      </c>
      <c r="AA34" s="3167">
        <v>20795</v>
      </c>
      <c r="AB34" s="3167">
        <v>20795</v>
      </c>
      <c r="AC34" s="3167">
        <v>0</v>
      </c>
      <c r="AD34" s="3167" t="s">
        <v>3753</v>
      </c>
      <c r="AE34" s="3167" t="s">
        <v>3728</v>
      </c>
      <c r="AF34" s="3167" t="s">
        <v>3767</v>
      </c>
      <c r="AG34" s="3167" t="s">
        <v>3527</v>
      </c>
      <c r="AH34" s="3167" t="s">
        <v>3527</v>
      </c>
      <c r="AI34" s="3167" t="s">
        <v>3527</v>
      </c>
    </row>
    <row r="35" spans="1:35" ht="25.5">
      <c r="A35" s="3162" t="s">
        <v>3768</v>
      </c>
      <c r="B35" s="3167" t="s">
        <v>3769</v>
      </c>
      <c r="C35" s="3167" t="s">
        <v>3530</v>
      </c>
      <c r="D35" s="3167" t="s">
        <v>3541</v>
      </c>
      <c r="E35" s="3167" t="s">
        <v>3765</v>
      </c>
      <c r="F35" s="3167" t="s">
        <v>3504</v>
      </c>
      <c r="G35" s="3167" t="s">
        <v>3560</v>
      </c>
      <c r="H35" s="3167" t="s">
        <v>3506</v>
      </c>
      <c r="I35" s="3168">
        <v>44457.000497685185</v>
      </c>
      <c r="J35" s="3168">
        <v>44481.000497685185</v>
      </c>
      <c r="K35" s="3168">
        <v>44495.000497685185</v>
      </c>
      <c r="L35" s="3168">
        <v>44495.000497685185</v>
      </c>
      <c r="M35" s="3167" t="s">
        <v>3770</v>
      </c>
      <c r="N35" s="3167">
        <v>30025.18</v>
      </c>
      <c r="O35" s="3167">
        <v>66055.39</v>
      </c>
      <c r="P35" s="3167">
        <v>137000</v>
      </c>
      <c r="Q35" s="3167">
        <v>2.2000000000000002</v>
      </c>
      <c r="R35" s="3167">
        <v>2.2000000000000002</v>
      </c>
      <c r="S35" s="3167" t="s">
        <v>3509</v>
      </c>
      <c r="T35" s="3169">
        <v>6</v>
      </c>
      <c r="U35" s="3169">
        <v>1.0287999999999999</v>
      </c>
      <c r="V35" s="3169">
        <v>1.2158</v>
      </c>
      <c r="W35" s="3169">
        <v>45628.37</v>
      </c>
      <c r="X35" s="3170">
        <f t="shared" si="0"/>
        <v>24510</v>
      </c>
      <c r="Y35" s="3171">
        <f t="shared" si="1"/>
        <v>24800</v>
      </c>
      <c r="Z35" s="3167">
        <v>3041.89</v>
      </c>
      <c r="AA35" s="3167">
        <v>20740</v>
      </c>
      <c r="AB35" s="3167">
        <v>20740</v>
      </c>
      <c r="AC35" s="3167">
        <v>0</v>
      </c>
      <c r="AD35" s="3167" t="s">
        <v>3753</v>
      </c>
      <c r="AE35" s="3167" t="s">
        <v>3728</v>
      </c>
      <c r="AF35" s="3167" t="s">
        <v>3771</v>
      </c>
      <c r="AG35" s="3167" t="s">
        <v>3527</v>
      </c>
      <c r="AH35" s="3167" t="s">
        <v>3527</v>
      </c>
      <c r="AI35" s="3167" t="s">
        <v>3527</v>
      </c>
    </row>
    <row r="36" spans="1:35" s="3176" customFormat="1" ht="38.25">
      <c r="A36" s="3173" t="s">
        <v>3772</v>
      </c>
      <c r="B36" s="3174" t="s">
        <v>3773</v>
      </c>
      <c r="C36" s="3174" t="s">
        <v>3567</v>
      </c>
      <c r="D36" s="3174" t="s">
        <v>3701</v>
      </c>
      <c r="E36" s="3174" t="s">
        <v>3702</v>
      </c>
      <c r="F36" s="3174" t="s">
        <v>3504</v>
      </c>
      <c r="G36" s="3174" t="s">
        <v>3560</v>
      </c>
      <c r="H36" s="3174" t="s">
        <v>3506</v>
      </c>
      <c r="I36" s="3175">
        <v>44457.000497685185</v>
      </c>
      <c r="J36" s="3175">
        <v>44481.000497685185</v>
      </c>
      <c r="K36" s="3175">
        <v>44495.000497685185</v>
      </c>
      <c r="L36" s="3175">
        <v>44495.000497685185</v>
      </c>
      <c r="M36" s="3174" t="s">
        <v>3774</v>
      </c>
      <c r="N36" s="3174">
        <v>204418.11</v>
      </c>
      <c r="O36" s="3174">
        <v>302000</v>
      </c>
      <c r="P36" s="3174">
        <v>506700</v>
      </c>
      <c r="Q36" s="3174">
        <v>1.5</v>
      </c>
      <c r="R36" s="3174">
        <v>1.5</v>
      </c>
      <c r="S36" s="3174" t="s">
        <v>3509</v>
      </c>
      <c r="T36" s="3174">
        <v>6</v>
      </c>
      <c r="U36" s="3174">
        <v>1.1214999999999999</v>
      </c>
      <c r="V36" s="3174">
        <v>1.2158</v>
      </c>
      <c r="W36" s="3174">
        <v>24787.43</v>
      </c>
      <c r="X36" s="3174">
        <f t="shared" si="0"/>
        <v>18189</v>
      </c>
      <c r="Y36" s="3174">
        <f t="shared" si="1"/>
        <v>18404</v>
      </c>
      <c r="Z36" s="3174">
        <v>1652.5</v>
      </c>
      <c r="AA36" s="3174">
        <v>16778</v>
      </c>
      <c r="AB36" s="3174">
        <v>16778</v>
      </c>
      <c r="AC36" s="3174">
        <v>0</v>
      </c>
      <c r="AD36" s="3174" t="s">
        <v>3753</v>
      </c>
      <c r="AE36" s="3174" t="s">
        <v>3728</v>
      </c>
      <c r="AF36" s="3174" t="s">
        <v>3775</v>
      </c>
      <c r="AG36" s="3174" t="s">
        <v>3776</v>
      </c>
      <c r="AH36" s="3174" t="s">
        <v>3526</v>
      </c>
      <c r="AI36" s="3174" t="s">
        <v>3547</v>
      </c>
    </row>
    <row r="37" spans="1:35" ht="25.5">
      <c r="A37" s="3162" t="s">
        <v>3777</v>
      </c>
      <c r="B37" s="3167" t="s">
        <v>3778</v>
      </c>
      <c r="C37" s="3167" t="s">
        <v>3540</v>
      </c>
      <c r="D37" s="3167" t="s">
        <v>3663</v>
      </c>
      <c r="E37" s="3167" t="s">
        <v>3779</v>
      </c>
      <c r="F37" s="3167" t="s">
        <v>3504</v>
      </c>
      <c r="G37" s="3167" t="s">
        <v>3725</v>
      </c>
      <c r="H37" s="3167" t="s">
        <v>3522</v>
      </c>
      <c r="I37" s="3168">
        <v>44457.000497685185</v>
      </c>
      <c r="J37" s="3168">
        <v>44481.000497685185</v>
      </c>
      <c r="K37" s="3168">
        <v>44495.000497685185</v>
      </c>
      <c r="L37" s="3168">
        <v>44495.000497685185</v>
      </c>
      <c r="M37" s="3167" t="s">
        <v>3780</v>
      </c>
      <c r="N37" s="3167">
        <v>12136.3</v>
      </c>
      <c r="O37" s="3167">
        <v>42477</v>
      </c>
      <c r="P37" s="3167">
        <v>71000</v>
      </c>
      <c r="Q37" s="3167">
        <v>3.5</v>
      </c>
      <c r="R37" s="3167">
        <v>3.5</v>
      </c>
      <c r="S37" s="3167" t="s">
        <v>3509</v>
      </c>
      <c r="T37" s="3169">
        <v>6</v>
      </c>
      <c r="U37" s="3169">
        <v>0.93700000000000006</v>
      </c>
      <c r="V37" s="3169">
        <v>1.2158</v>
      </c>
      <c r="W37" s="3169">
        <v>58502.18</v>
      </c>
      <c r="X37" s="3174">
        <f t="shared" si="0"/>
        <v>21688</v>
      </c>
      <c r="Y37" s="3171">
        <f t="shared" si="1"/>
        <v>21945</v>
      </c>
      <c r="Z37" s="3167">
        <v>3900.15</v>
      </c>
      <c r="AA37" s="3167">
        <v>16715</v>
      </c>
      <c r="AB37" s="3167">
        <v>16715</v>
      </c>
      <c r="AC37" s="3167">
        <v>0</v>
      </c>
      <c r="AD37" s="3167" t="s">
        <v>3753</v>
      </c>
      <c r="AE37" s="3167" t="s">
        <v>3728</v>
      </c>
      <c r="AF37" s="3167" t="s">
        <v>3781</v>
      </c>
      <c r="AG37" s="3167" t="s">
        <v>3782</v>
      </c>
      <c r="AH37" s="3167" t="s">
        <v>3594</v>
      </c>
      <c r="AI37" s="3167" t="s">
        <v>3527</v>
      </c>
    </row>
    <row r="38" spans="1:35" ht="25.5">
      <c r="A38" s="3162" t="s">
        <v>3783</v>
      </c>
      <c r="B38" s="3167" t="s">
        <v>3784</v>
      </c>
      <c r="C38" s="3167" t="s">
        <v>3785</v>
      </c>
      <c r="D38" s="3167" t="s">
        <v>3786</v>
      </c>
      <c r="E38" s="3167" t="s">
        <v>3787</v>
      </c>
      <c r="F38" s="3167" t="s">
        <v>3504</v>
      </c>
      <c r="G38" s="3167" t="s">
        <v>3560</v>
      </c>
      <c r="H38" s="3167" t="s">
        <v>3788</v>
      </c>
      <c r="I38" s="3168">
        <v>44457.000497685185</v>
      </c>
      <c r="J38" s="3168">
        <v>44481.000497685185</v>
      </c>
      <c r="K38" s="3168">
        <v>44495.000497685185</v>
      </c>
      <c r="L38" s="3168">
        <v>44495.000497685185</v>
      </c>
      <c r="M38" s="3167" t="s">
        <v>3789</v>
      </c>
      <c r="N38" s="3167">
        <v>5907.54</v>
      </c>
      <c r="O38" s="3167">
        <v>21900</v>
      </c>
      <c r="P38" s="3167">
        <v>46000</v>
      </c>
      <c r="Q38" s="3167">
        <v>3.71</v>
      </c>
      <c r="R38" s="3167">
        <v>3.71</v>
      </c>
      <c r="S38" s="3167" t="s">
        <v>3509</v>
      </c>
      <c r="T38" s="3169">
        <v>2</v>
      </c>
      <c r="U38" s="3169">
        <f>0.9929+(0.9897-0.9929)*(3.71-3.7)/(3.8-3.7)</f>
        <v>0.99258000000000002</v>
      </c>
      <c r="V38" s="3169">
        <v>1.2501</v>
      </c>
      <c r="W38" s="3169">
        <v>77866.59</v>
      </c>
      <c r="X38" s="3170">
        <f t="shared" si="0"/>
        <v>26455</v>
      </c>
      <c r="Y38" s="3171">
        <f t="shared" si="1"/>
        <v>26034</v>
      </c>
      <c r="Z38" s="3167">
        <v>5191.1099999999997</v>
      </c>
      <c r="AA38" s="3167">
        <v>21005</v>
      </c>
      <c r="AB38" s="3167">
        <v>21005</v>
      </c>
      <c r="AC38" s="3167">
        <v>0</v>
      </c>
      <c r="AD38" s="3167" t="s">
        <v>3753</v>
      </c>
      <c r="AE38" s="3167" t="s">
        <v>3728</v>
      </c>
      <c r="AF38" s="3167" t="s">
        <v>3790</v>
      </c>
      <c r="AG38" s="3167" t="s">
        <v>3527</v>
      </c>
      <c r="AH38" s="3167" t="s">
        <v>3527</v>
      </c>
      <c r="AI38" s="3167" t="s">
        <v>3527</v>
      </c>
    </row>
    <row r="39" spans="1:35" ht="25.5">
      <c r="A39" s="3162" t="s">
        <v>3791</v>
      </c>
      <c r="B39" s="3167" t="s">
        <v>3792</v>
      </c>
      <c r="C39" s="3167" t="s">
        <v>3530</v>
      </c>
      <c r="D39" s="3167" t="s">
        <v>3541</v>
      </c>
      <c r="E39" s="3167" t="s">
        <v>3765</v>
      </c>
      <c r="F39" s="3167" t="s">
        <v>3504</v>
      </c>
      <c r="G39" s="3167" t="s">
        <v>3560</v>
      </c>
      <c r="H39" s="3167" t="s">
        <v>3506</v>
      </c>
      <c r="I39" s="3168">
        <v>44457.000497685185</v>
      </c>
      <c r="J39" s="3168">
        <v>44481.000497685185</v>
      </c>
      <c r="K39" s="3168">
        <v>44495.000497685185</v>
      </c>
      <c r="L39" s="3168">
        <v>44495.000497685185</v>
      </c>
      <c r="M39" s="3167" t="s">
        <v>3793</v>
      </c>
      <c r="N39" s="3167">
        <v>25121.77</v>
      </c>
      <c r="O39" s="3167">
        <v>55267.89</v>
      </c>
      <c r="P39" s="3167">
        <v>115000</v>
      </c>
      <c r="Q39" s="3167">
        <v>2.2000000000000002</v>
      </c>
      <c r="R39" s="3167">
        <v>2.2000000000000002</v>
      </c>
      <c r="S39" s="3167" t="s">
        <v>3509</v>
      </c>
      <c r="T39" s="3169">
        <v>6</v>
      </c>
      <c r="U39" s="3169">
        <v>1.0287999999999999</v>
      </c>
      <c r="V39" s="3169">
        <v>1.2158</v>
      </c>
      <c r="W39" s="3169">
        <v>45777.02</v>
      </c>
      <c r="X39" s="3170">
        <f t="shared" si="0"/>
        <v>24590</v>
      </c>
      <c r="Y39" s="3171">
        <f t="shared" si="1"/>
        <v>24881</v>
      </c>
      <c r="Z39" s="3167">
        <v>3051.8</v>
      </c>
      <c r="AA39" s="3167">
        <v>20808</v>
      </c>
      <c r="AB39" s="3167">
        <v>20808</v>
      </c>
      <c r="AC39" s="3167">
        <v>0</v>
      </c>
      <c r="AD39" s="3167" t="s">
        <v>3753</v>
      </c>
      <c r="AE39" s="3167" t="s">
        <v>3728</v>
      </c>
      <c r="AF39" s="3167" t="s">
        <v>3794</v>
      </c>
      <c r="AG39" s="3167" t="s">
        <v>3527</v>
      </c>
      <c r="AH39" s="3167" t="s">
        <v>3527</v>
      </c>
      <c r="AI39" s="3167" t="s">
        <v>3527</v>
      </c>
    </row>
    <row r="40" spans="1:35">
      <c r="A40" s="3162" t="s">
        <v>3795</v>
      </c>
      <c r="B40" s="3167" t="s">
        <v>3796</v>
      </c>
      <c r="C40" s="3167" t="s">
        <v>3567</v>
      </c>
      <c r="D40" s="3167" t="s">
        <v>3750</v>
      </c>
      <c r="E40" s="3167" t="s">
        <v>3797</v>
      </c>
      <c r="F40" s="3167" t="s">
        <v>3504</v>
      </c>
      <c r="G40" s="3167" t="s">
        <v>3505</v>
      </c>
      <c r="H40" s="3167" t="s">
        <v>3798</v>
      </c>
      <c r="I40" s="3168">
        <v>44300.000497685185</v>
      </c>
      <c r="J40" s="3168">
        <v>44322.000497685185</v>
      </c>
      <c r="K40" s="3168">
        <v>44335.000497685185</v>
      </c>
      <c r="L40" s="3168">
        <v>44335.000497685185</v>
      </c>
      <c r="M40" s="3167" t="s">
        <v>3799</v>
      </c>
      <c r="N40" s="3167">
        <v>17147.95</v>
      </c>
      <c r="O40" s="3167">
        <v>53158.65</v>
      </c>
      <c r="P40" s="3167">
        <v>69200</v>
      </c>
      <c r="Q40" s="3167" t="s">
        <v>3800</v>
      </c>
      <c r="R40" s="3167">
        <v>3.1</v>
      </c>
      <c r="S40" s="3167" t="s">
        <v>3509</v>
      </c>
      <c r="T40" s="3169">
        <v>6</v>
      </c>
      <c r="U40" s="3169">
        <v>0.95709999999999995</v>
      </c>
      <c r="V40" s="3169">
        <v>1.2158</v>
      </c>
      <c r="W40" s="3169">
        <v>40354.68</v>
      </c>
      <c r="X40" s="3170">
        <f t="shared" si="0"/>
        <v>16537</v>
      </c>
      <c r="Y40" s="3171">
        <f t="shared" si="1"/>
        <v>16733</v>
      </c>
      <c r="Z40" s="3167">
        <v>2690.31</v>
      </c>
      <c r="AA40" s="3167">
        <v>13018</v>
      </c>
      <c r="AB40" s="3167">
        <v>13018</v>
      </c>
      <c r="AC40" s="3167">
        <v>0</v>
      </c>
      <c r="AD40" s="3167" t="s">
        <v>3555</v>
      </c>
      <c r="AE40" s="3167" t="s">
        <v>3728</v>
      </c>
      <c r="AF40" s="3167" t="s">
        <v>3801</v>
      </c>
      <c r="AG40" s="3167" t="s">
        <v>3573</v>
      </c>
      <c r="AH40" s="3167" t="s">
        <v>3526</v>
      </c>
      <c r="AI40" s="3167" t="s">
        <v>3547</v>
      </c>
    </row>
  </sheetData>
  <autoFilter ref="A1:AI40" xr:uid="{00000000-0009-0000-0000-000013000000}"/>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zoomScaleSheetLayoutView="70" workbookViewId="0">
      <selection activeCell="Q37" sqref="Q3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1456</v>
      </c>
      <c r="B1" s="1373"/>
      <c r="C1" s="190"/>
      <c r="D1" s="190"/>
      <c r="E1" s="190"/>
      <c r="F1" s="190"/>
      <c r="G1" s="1062">
        <f>MATCH(B1,'数据-取费表'!A6:A16,0)+5</f>
        <v>7</v>
      </c>
    </row>
    <row r="2" spans="1:9" s="192" customFormat="1" ht="18" customHeight="1">
      <c r="A2" s="193" t="s">
        <v>1457</v>
      </c>
      <c r="B2" s="194">
        <f ca="1">IF(D2="——",C52,C52-E2)</f>
        <v>3945</v>
      </c>
      <c r="C2" s="191" t="s">
        <v>1458</v>
      </c>
      <c r="D2" s="1710" t="s">
        <v>43</v>
      </c>
      <c r="E2" s="1089" t="e">
        <f ca="1">SUMIF(INDIRECT("'"&amp;G2&amp;"'"&amp;"!A:A"),"承租人权益价值",INDIRECT("'"&amp;G2&amp;"'"&amp;"!c:c"))</f>
        <v>#REF!</v>
      </c>
      <c r="F2" s="1711" t="s">
        <v>1458</v>
      </c>
      <c r="G2" s="1712"/>
    </row>
    <row r="3" spans="1:9" s="192" customFormat="1" ht="18" customHeight="1" thickBot="1">
      <c r="A3" s="195" t="s">
        <v>1459</v>
      </c>
      <c r="B3" s="196">
        <f ca="1">ROUND(B2*10000/(IF(B1="",'数据-汇总表'!E3,INDIRECT("'数据-取费表'!k"&amp;$G$1))),0)</f>
        <v>32001</v>
      </c>
      <c r="C3" s="191" t="s">
        <v>1460</v>
      </c>
      <c r="D3" s="191"/>
      <c r="E3" s="191"/>
      <c r="F3" s="191"/>
      <c r="G3" s="191"/>
    </row>
    <row r="4" spans="1:9" s="200" customFormat="1" ht="15.75">
      <c r="A4" s="197" t="s">
        <v>1461</v>
      </c>
      <c r="B4" s="198"/>
      <c r="C4" s="198"/>
      <c r="D4" s="198"/>
      <c r="E4" s="198"/>
      <c r="F4" s="198"/>
      <c r="G4" s="199"/>
    </row>
    <row r="5" spans="1:9" s="206" customFormat="1" ht="13.5" customHeight="1">
      <c r="A5" s="247" t="s">
        <v>1462</v>
      </c>
      <c r="B5" s="202" t="s">
        <v>1463</v>
      </c>
      <c r="C5" s="203">
        <f ca="1">C6+C7+C8</f>
        <v>1648</v>
      </c>
      <c r="D5" s="203" t="s">
        <v>1464</v>
      </c>
      <c r="E5" s="204" t="s">
        <v>1465</v>
      </c>
      <c r="F5" s="204" t="s">
        <v>1466</v>
      </c>
      <c r="G5" s="205"/>
    </row>
    <row r="6" spans="1:9" s="206" customFormat="1" ht="13.5" customHeight="1">
      <c r="A6" s="732" t="s">
        <v>1467</v>
      </c>
      <c r="B6" s="207" t="s">
        <v>1468</v>
      </c>
      <c r="C6" s="208">
        <f>'土地比较法-住宅、综合'!B2</f>
        <v>1575</v>
      </c>
      <c r="D6" s="209"/>
      <c r="E6" s="210"/>
      <c r="F6" s="210"/>
      <c r="G6" s="211"/>
    </row>
    <row r="7" spans="1:9" s="206" customFormat="1" ht="13.5" customHeight="1">
      <c r="A7" s="732" t="s">
        <v>1469</v>
      </c>
      <c r="B7" s="207" t="s">
        <v>1470</v>
      </c>
      <c r="C7" s="212">
        <f>ROUND(C6*F7,0)</f>
        <v>48</v>
      </c>
      <c r="D7" s="212"/>
      <c r="E7" s="210"/>
      <c r="F7" s="213">
        <f>IF(项目基本情况!B8="出让",0,'数据-取费表'!B48+'数据-取费表'!B49)</f>
        <v>3.0499999999999999E-2</v>
      </c>
      <c r="G7" s="211"/>
    </row>
    <row r="8" spans="1:9" s="215" customFormat="1">
      <c r="A8" s="732" t="s">
        <v>1471</v>
      </c>
      <c r="B8" s="207" t="s">
        <v>1472</v>
      </c>
      <c r="C8" s="212">
        <f ca="1">IF(G8="已包含在土地购买价格中","0",IF(B1="",'数据-取费表'!B29,IF(G9="全部缴纳",C9+C10,H9)))</f>
        <v>25</v>
      </c>
      <c r="D8" s="214"/>
      <c r="E8" s="212"/>
      <c r="F8" s="213"/>
      <c r="G8" s="1713" t="s">
        <v>3824</v>
      </c>
    </row>
    <row r="9" spans="1:9" s="206" customFormat="1" ht="13.5" customHeight="1">
      <c r="A9" s="733" t="s">
        <v>355</v>
      </c>
      <c r="B9" s="216" t="s">
        <v>1473</v>
      </c>
      <c r="C9" s="217">
        <f ca="1">ROUND(D9*E9/10000,0)</f>
        <v>0</v>
      </c>
      <c r="D9" s="795">
        <f ca="1">IF(B1="",'数据-汇总表'!E5,IF(INDIRECT("'数据-取费表'!c"&amp;$G$1)="住宅",INDIRECT("'数据-取费表'!k"&amp;$G$1),0))</f>
        <v>0</v>
      </c>
      <c r="E9" s="217">
        <f>'数据-取费表'!B27</f>
        <v>160</v>
      </c>
      <c r="F9" s="213"/>
      <c r="G9" s="1714" t="s">
        <v>3825</v>
      </c>
      <c r="H9" s="1070"/>
      <c r="I9" s="1715" t="s">
        <v>1474</v>
      </c>
    </row>
    <row r="10" spans="1:9" s="206" customFormat="1" ht="13.5" customHeight="1">
      <c r="A10" s="733" t="s">
        <v>356</v>
      </c>
      <c r="B10" s="216" t="s">
        <v>1475</v>
      </c>
      <c r="C10" s="217">
        <f ca="1">ROUND(D10*E10/10000,0)</f>
        <v>25</v>
      </c>
      <c r="D10" s="795">
        <f ca="1">IF(B1="",'数据-汇总表'!E6,IF(INDIRECT("'数据-取费表'!c"&amp;$G$1)="住宅",INDIRECT("'数据-取费表'!s"&amp;$G$1),INDIRECT("'数据-取费表'!k"&amp;$G$1)+INDIRECT("'数据-取费表'!s"&amp;$G$1)))</f>
        <v>1232.79</v>
      </c>
      <c r="E10" s="217">
        <f>'数据-取费表'!B28</f>
        <v>200</v>
      </c>
      <c r="F10" s="213"/>
      <c r="G10" s="218"/>
    </row>
    <row r="11" spans="1:9" s="206" customFormat="1" ht="13.5" hidden="1" customHeight="1">
      <c r="A11" s="219" t="s">
        <v>4</v>
      </c>
      <c r="B11" s="207" t="s">
        <v>1476</v>
      </c>
      <c r="C11" s="203"/>
      <c r="D11" s="210"/>
      <c r="E11" s="210"/>
      <c r="F11" s="210"/>
      <c r="G11" s="211"/>
    </row>
    <row r="12" spans="1:9" s="206" customFormat="1" ht="13.5" hidden="1" customHeight="1">
      <c r="A12" s="219" t="s">
        <v>5</v>
      </c>
      <c r="B12" s="207" t="s">
        <v>1477</v>
      </c>
      <c r="C12" s="203">
        <v>0</v>
      </c>
      <c r="D12" s="210"/>
      <c r="E12" s="220"/>
      <c r="F12" s="213">
        <v>3.0499999999999999E-2</v>
      </c>
      <c r="G12" s="211"/>
    </row>
    <row r="13" spans="1:9" s="206" customFormat="1" ht="13.5" hidden="1" customHeight="1">
      <c r="A13" s="219" t="s">
        <v>6</v>
      </c>
      <c r="B13" s="207" t="s">
        <v>1478</v>
      </c>
      <c r="C13" s="203"/>
      <c r="D13" s="210"/>
      <c r="E13" s="210"/>
      <c r="F13" s="210"/>
      <c r="G13" s="211"/>
    </row>
    <row r="14" spans="1:9" s="206" customFormat="1" ht="13.5" hidden="1" customHeight="1">
      <c r="A14" s="219" t="s">
        <v>7</v>
      </c>
      <c r="B14" s="207" t="s">
        <v>1479</v>
      </c>
      <c r="C14" s="203"/>
      <c r="D14" s="210"/>
      <c r="E14" s="210"/>
      <c r="F14" s="210"/>
      <c r="G14" s="211" t="s">
        <v>1480</v>
      </c>
    </row>
    <row r="15" spans="1:9" s="206" customFormat="1" ht="13.5" hidden="1" customHeight="1">
      <c r="A15" s="219" t="s">
        <v>8</v>
      </c>
      <c r="B15" s="207" t="s">
        <v>1481</v>
      </c>
      <c r="C15" s="212"/>
      <c r="D15" s="210"/>
      <c r="E15" s="210"/>
      <c r="F15" s="210"/>
      <c r="G15" s="211" t="s">
        <v>1482</v>
      </c>
    </row>
    <row r="16" spans="1:9" s="206" customFormat="1" ht="13.5" hidden="1" customHeight="1">
      <c r="A16" s="219" t="s">
        <v>9</v>
      </c>
      <c r="B16" s="207" t="s">
        <v>1479</v>
      </c>
      <c r="C16" s="212"/>
      <c r="D16" s="210"/>
      <c r="E16" s="210"/>
      <c r="F16" s="210"/>
      <c r="G16" s="211"/>
    </row>
    <row r="17" spans="1:7" s="206" customFormat="1" ht="13.5" hidden="1" customHeight="1">
      <c r="A17" s="219" t="s">
        <v>10</v>
      </c>
      <c r="B17" s="207" t="s">
        <v>1483</v>
      </c>
      <c r="C17" s="221"/>
      <c r="D17" s="221"/>
      <c r="E17" s="221"/>
      <c r="F17" s="221"/>
      <c r="G17" s="211" t="s">
        <v>1482</v>
      </c>
    </row>
    <row r="18" spans="1:7" s="206" customFormat="1" ht="13.5" hidden="1" customHeight="1">
      <c r="A18" s="219" t="s">
        <v>11</v>
      </c>
      <c r="B18" s="207" t="s">
        <v>1484</v>
      </c>
      <c r="C18" s="212">
        <v>0</v>
      </c>
      <c r="D18" s="210"/>
      <c r="E18" s="210"/>
      <c r="F18" s="213">
        <v>3.0499999999999999E-2</v>
      </c>
      <c r="G18" s="211" t="s">
        <v>1485</v>
      </c>
    </row>
    <row r="19" spans="1:7" s="215" customFormat="1" ht="13.5" customHeight="1">
      <c r="A19" s="247" t="s">
        <v>1486</v>
      </c>
      <c r="B19" s="202" t="s">
        <v>1487</v>
      </c>
      <c r="C19" s="203" t="str">
        <f>IF(G19="已包含在土地取得成本中","0",ROUND(D19*E19/10000,0))</f>
        <v>0</v>
      </c>
      <c r="D19" s="204">
        <f ca="1">D9+D10</f>
        <v>1232.79</v>
      </c>
      <c r="E19" s="203">
        <f>'数据-取费表'!B31</f>
        <v>200</v>
      </c>
      <c r="F19" s="223"/>
      <c r="G19" s="1713" t="s">
        <v>3826</v>
      </c>
    </row>
    <row r="20" spans="1:7" s="206" customFormat="1" ht="13.5" customHeight="1">
      <c r="A20" s="247" t="s">
        <v>1488</v>
      </c>
      <c r="B20" s="202" t="s">
        <v>1489</v>
      </c>
      <c r="C20" s="224">
        <f ca="1">ROUND((C5+C19)*F20,0)</f>
        <v>49</v>
      </c>
      <c r="D20" s="224"/>
      <c r="E20" s="224"/>
      <c r="F20" s="225">
        <f>'数据-取费表'!B37</f>
        <v>0.03</v>
      </c>
      <c r="G20" s="226" t="s">
        <v>1490</v>
      </c>
    </row>
    <row r="21" spans="1:7" s="206" customFormat="1" ht="13.5" customHeight="1">
      <c r="A21" s="247" t="s">
        <v>1491</v>
      </c>
      <c r="B21" s="202" t="s">
        <v>1492</v>
      </c>
      <c r="C21" s="227">
        <f>F21</f>
        <v>0.03</v>
      </c>
      <c r="D21" s="228" t="s">
        <v>1493</v>
      </c>
      <c r="E21" s="224"/>
      <c r="F21" s="225">
        <f>'数据-取费表'!B38</f>
        <v>0.03</v>
      </c>
      <c r="G21" s="226" t="s">
        <v>1494</v>
      </c>
    </row>
    <row r="22" spans="1:7" s="206" customFormat="1" ht="13.5" customHeight="1">
      <c r="A22" s="247" t="s">
        <v>1495</v>
      </c>
      <c r="B22" s="202" t="s">
        <v>1496</v>
      </c>
      <c r="C22" s="1041">
        <f ca="1">ROUND(SUM(C23:C25),0)</f>
        <v>180</v>
      </c>
      <c r="D22" s="227">
        <f ca="1">C26</f>
        <v>1.6000000000000001E-3</v>
      </c>
      <c r="E22" s="228" t="s">
        <v>1493</v>
      </c>
      <c r="F22" s="229">
        <f ca="1">'数据-取费表'!B40</f>
        <v>3.4500000000000003E-2</v>
      </c>
      <c r="G22" s="226" t="str">
        <f>IF('数据-取费表'!B22&lt;=1,"单利计息","复利计息")</f>
        <v>复利计息</v>
      </c>
    </row>
    <row r="23" spans="1:7" s="206" customFormat="1" ht="13.5" customHeight="1">
      <c r="A23" s="734" t="s">
        <v>1497</v>
      </c>
      <c r="B23" s="207" t="s">
        <v>1498</v>
      </c>
      <c r="C23" s="1042">
        <f ca="1">ROUND(IF('数据-取费表'!B22&lt;=1,C5*F22*'数据-取费表'!B23,C5*(POWER((1+F22),'数据-取费表'!B23)-1)),0)</f>
        <v>177</v>
      </c>
      <c r="D23" s="230"/>
      <c r="E23" s="230"/>
      <c r="F23" s="231"/>
      <c r="G23" s="232" t="s">
        <v>1499</v>
      </c>
    </row>
    <row r="24" spans="1:7" s="206" customFormat="1" ht="13.5" customHeight="1">
      <c r="A24" s="734" t="s">
        <v>1500</v>
      </c>
      <c r="B24" s="207" t="s">
        <v>1501</v>
      </c>
      <c r="C24" s="1042">
        <f ca="1">ROUND(IF('数据-取费表'!B22&lt;=1,C19*F22*('数据-取费表'!B19/2+'数据-取费表'!B21),C19*(POWER((1+F22),('数据-取费表'!B19/2+'数据-取费表'!B21))-1)),0)</f>
        <v>0</v>
      </c>
      <c r="D24" s="230"/>
      <c r="E24" s="230"/>
      <c r="F24" s="231"/>
      <c r="G24" s="232" t="s">
        <v>1502</v>
      </c>
    </row>
    <row r="25" spans="1:7" s="206" customFormat="1" ht="24">
      <c r="A25" s="734" t="s">
        <v>1503</v>
      </c>
      <c r="B25" s="207" t="s">
        <v>1504</v>
      </c>
      <c r="C25" s="1042">
        <f ca="1">ROUND(IF('数据-取费表'!B22&lt;=1,C20*F22*'数据-取费表'!B23/2,C20*(POWER((1+F22),'数据-取费表'!B23/2)-1)),0)</f>
        <v>3</v>
      </c>
      <c r="D25" s="230"/>
      <c r="E25" s="233"/>
      <c r="F25" s="231"/>
      <c r="G25" s="234" t="s">
        <v>1505</v>
      </c>
    </row>
    <row r="26" spans="1:7" s="206" customFormat="1">
      <c r="A26" s="734" t="s">
        <v>350</v>
      </c>
      <c r="B26" s="207" t="s">
        <v>1506</v>
      </c>
      <c r="C26" s="230">
        <f ca="1">ROUND(IF('数据-取费表'!B22&lt;=1,F21*F22*'数据-取费表'!B23/2,F21*(POWER((1+F22),'数据-取费表'!B23/2)-1)),4)</f>
        <v>1.6000000000000001E-3</v>
      </c>
      <c r="D26" s="230"/>
      <c r="E26" s="233"/>
      <c r="F26" s="231"/>
      <c r="G26" s="235"/>
    </row>
    <row r="27" spans="1:7" s="206" customFormat="1" ht="24.75">
      <c r="A27" s="247" t="s">
        <v>1507</v>
      </c>
      <c r="B27" s="236" t="s">
        <v>1508</v>
      </c>
      <c r="C27" s="237">
        <f ca="1">C28</f>
        <v>305</v>
      </c>
      <c r="D27" s="227">
        <f ca="1">C29</f>
        <v>5.4000000000000003E-3</v>
      </c>
      <c r="E27" s="228" t="s">
        <v>1509</v>
      </c>
      <c r="F27" s="238">
        <f ca="1">IF(B1="",'数据-取费表'!Q16,INDIRECT("'数据-取费表'!q"&amp;$G$1))</f>
        <v>0.18</v>
      </c>
      <c r="G27" s="239" t="s">
        <v>1510</v>
      </c>
    </row>
    <row r="28" spans="1:7" s="206" customFormat="1" ht="13.5" customHeight="1">
      <c r="A28" s="734" t="s">
        <v>346</v>
      </c>
      <c r="B28" s="240" t="s">
        <v>1511</v>
      </c>
      <c r="C28" s="241">
        <f ca="1">ROUND((C5+C19+C20)*F27*'数据-取费表'!B21/'数据-取费表'!B20,0)</f>
        <v>305</v>
      </c>
      <c r="D28" s="227"/>
      <c r="E28" s="228"/>
      <c r="F28" s="238"/>
      <c r="G28" s="239"/>
    </row>
    <row r="29" spans="1:7" s="206" customFormat="1" ht="13.5" customHeight="1">
      <c r="A29" s="734" t="s">
        <v>347</v>
      </c>
      <c r="B29" s="240" t="s">
        <v>1512</v>
      </c>
      <c r="C29" s="230">
        <f ca="1">ROUND(C21*F27*'数据-取费表'!B21/'数据-取费表'!B20,4)</f>
        <v>5.4000000000000003E-3</v>
      </c>
      <c r="D29" s="227"/>
      <c r="E29" s="228"/>
      <c r="F29" s="238"/>
      <c r="G29" s="239"/>
    </row>
    <row r="30" spans="1:7" s="206" customFormat="1" ht="13.5" customHeight="1">
      <c r="A30" s="247" t="s">
        <v>1513</v>
      </c>
      <c r="B30" s="202" t="s">
        <v>1514</v>
      </c>
      <c r="C30" s="227">
        <f>ROUND(F30/(1+'数据-取费表'!C42),4)</f>
        <v>5.2400000000000002E-2</v>
      </c>
      <c r="D30" s="228" t="s">
        <v>1509</v>
      </c>
      <c r="E30" s="233"/>
      <c r="F30" s="229">
        <f>'数据-取费表'!B41</f>
        <v>5.5000000000000007E-2</v>
      </c>
      <c r="G30" s="226" t="s">
        <v>1515</v>
      </c>
    </row>
    <row r="31" spans="1:7" ht="16.5" customHeight="1">
      <c r="A31" s="201">
        <v>1</v>
      </c>
      <c r="B31" s="202" t="s">
        <v>1516</v>
      </c>
      <c r="C31" s="203">
        <f ca="1">ROUND((C5+C19+C20+C22+C27)/(1-C21-D22-D27-C30),0)</f>
        <v>2396</v>
      </c>
      <c r="D31" s="222"/>
      <c r="E31" s="203"/>
      <c r="F31" s="242"/>
      <c r="G31" s="226" t="s">
        <v>1517</v>
      </c>
    </row>
    <row r="32" spans="1:7" s="200" customFormat="1" ht="15.75">
      <c r="A32" s="244" t="s">
        <v>1518</v>
      </c>
      <c r="B32" s="245"/>
      <c r="C32" s="245"/>
      <c r="D32" s="245"/>
      <c r="E32" s="245"/>
      <c r="F32" s="245"/>
      <c r="G32" s="246"/>
    </row>
    <row r="33" spans="1:7" s="206" customFormat="1" ht="13.5" customHeight="1">
      <c r="A33" s="247" t="s">
        <v>337</v>
      </c>
      <c r="B33" s="202" t="s">
        <v>1519</v>
      </c>
      <c r="C33" s="248">
        <f ca="1">SUM(C34:C38)</f>
        <v>1208</v>
      </c>
      <c r="D33" s="224"/>
      <c r="E33" s="204"/>
      <c r="F33" s="233"/>
      <c r="G33" s="226"/>
    </row>
    <row r="34" spans="1:7" s="250" customFormat="1" ht="13.5" customHeight="1">
      <c r="A34" s="734" t="s">
        <v>346</v>
      </c>
      <c r="B34" s="207" t="s">
        <v>1520</v>
      </c>
      <c r="C34" s="212">
        <f ca="1">IF(B1="",IF(F34=100%,'数据-取费表'!M16,'数据-取费表'!O16),IF(F34=100%,INDIRECT("'数据-取费表'!m"&amp;$G$1)+INDIRECT("'数据-取费表'!t"&amp;$G$1),INDIRECT("'数据-取费表'!o"&amp;$G$1)+INDIRECT("'数据-取费表'!aq"&amp;$G$1)))</f>
        <v>1110</v>
      </c>
      <c r="D34" s="209"/>
      <c r="E34" s="212"/>
      <c r="F34" s="249">
        <f ca="1">IF('数据-取费表'!B24=0,1,IF(B1="",'数据-取费表'!N16,INDIRECT("'数据-取费表'!n"&amp;$G$1)))</f>
        <v>1</v>
      </c>
      <c r="G34" s="211" t="s">
        <v>1521</v>
      </c>
    </row>
    <row r="35" spans="1:7" ht="13.5" customHeight="1">
      <c r="A35" s="734" t="s">
        <v>351</v>
      </c>
      <c r="B35" s="207" t="s">
        <v>1522</v>
      </c>
      <c r="C35" s="212">
        <f ca="1">ROUND(C34*F35,0)</f>
        <v>56</v>
      </c>
      <c r="D35" s="212"/>
      <c r="E35" s="212"/>
      <c r="F35" s="251">
        <f>'数据-取费表'!B33</f>
        <v>0.05</v>
      </c>
      <c r="G35" s="211" t="s">
        <v>1523</v>
      </c>
    </row>
    <row r="36" spans="1:7" ht="24">
      <c r="A36" s="734" t="s">
        <v>352</v>
      </c>
      <c r="B36" s="207" t="s">
        <v>1524</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1525</v>
      </c>
    </row>
    <row r="37" spans="1:7" s="250" customFormat="1" ht="13.5" customHeight="1">
      <c r="A37" s="734" t="s">
        <v>353</v>
      </c>
      <c r="B37" s="207" t="s">
        <v>1526</v>
      </c>
      <c r="C37" s="241">
        <f ca="1">ROUND(E37*D37*F34/10000,0)</f>
        <v>25</v>
      </c>
      <c r="D37" s="209">
        <f ca="1">D19</f>
        <v>1232.79</v>
      </c>
      <c r="E37" s="241">
        <f>'数据-取费表'!B35</f>
        <v>200</v>
      </c>
      <c r="F37" s="251"/>
      <c r="G37" s="253" t="s">
        <v>1527</v>
      </c>
    </row>
    <row r="38" spans="1:7" ht="13.5" customHeight="1">
      <c r="A38" s="734" t="s">
        <v>354</v>
      </c>
      <c r="B38" s="207" t="s">
        <v>1528</v>
      </c>
      <c r="C38" s="212">
        <f ca="1">ROUND(C34*F38,0)</f>
        <v>17</v>
      </c>
      <c r="D38" s="212"/>
      <c r="E38" s="212"/>
      <c r="F38" s="251">
        <f>'数据-取费表'!B36</f>
        <v>1.4999999999999999E-2</v>
      </c>
      <c r="G38" s="211" t="s">
        <v>1523</v>
      </c>
    </row>
    <row r="39" spans="1:7" s="206" customFormat="1" ht="13.5" customHeight="1">
      <c r="A39" s="247" t="s">
        <v>1529</v>
      </c>
      <c r="B39" s="202" t="s">
        <v>1530</v>
      </c>
      <c r="C39" s="224">
        <f ca="1">ROUND(C33*F20,0)</f>
        <v>36</v>
      </c>
      <c r="D39" s="224"/>
      <c r="E39" s="224"/>
      <c r="F39" s="225">
        <f>F20</f>
        <v>0.03</v>
      </c>
      <c r="G39" s="226" t="s">
        <v>1531</v>
      </c>
    </row>
    <row r="40" spans="1:7" s="206" customFormat="1" ht="13.5" customHeight="1">
      <c r="A40" s="247" t="s">
        <v>1532</v>
      </c>
      <c r="B40" s="202" t="s">
        <v>1533</v>
      </c>
      <c r="C40" s="227">
        <f>F21</f>
        <v>0.03</v>
      </c>
      <c r="D40" s="228" t="s">
        <v>1534</v>
      </c>
      <c r="E40" s="224"/>
      <c r="F40" s="225">
        <f>F21</f>
        <v>0.03</v>
      </c>
      <c r="G40" s="226" t="s">
        <v>1535</v>
      </c>
    </row>
    <row r="41" spans="1:7" s="206" customFormat="1" ht="13.5" customHeight="1">
      <c r="A41" s="247" t="s">
        <v>1536</v>
      </c>
      <c r="B41" s="202" t="s">
        <v>1537</v>
      </c>
      <c r="C41" s="224">
        <f ca="1">ROUND(SUM(C42:C43),0)</f>
        <v>65</v>
      </c>
      <c r="D41" s="227">
        <f ca="1">C44</f>
        <v>1.6000000000000001E-3</v>
      </c>
      <c r="E41" s="228" t="s">
        <v>1534</v>
      </c>
      <c r="F41" s="229">
        <f ca="1">F22</f>
        <v>3.4500000000000003E-2</v>
      </c>
      <c r="G41" s="226" t="str">
        <f>IF('数据-取费表'!B22&lt;=1,"单利计息","复利计息")</f>
        <v>复利计息</v>
      </c>
    </row>
    <row r="42" spans="1:7" ht="13.5" customHeight="1">
      <c r="A42" s="734" t="s">
        <v>346</v>
      </c>
      <c r="B42" s="207" t="s">
        <v>1538</v>
      </c>
      <c r="C42" s="230">
        <f ca="1">ROUND(IF('数据-取费表'!B22&lt;=1,C33*F22*'数据-取费表'!B21/2,C33*(POWER((1+F22),'数据-取费表'!B21/2)-1)),0)</f>
        <v>63</v>
      </c>
      <c r="D42" s="230"/>
      <c r="E42" s="230"/>
      <c r="F42" s="231"/>
      <c r="G42" s="3392" t="s">
        <v>1539</v>
      </c>
    </row>
    <row r="43" spans="1:7" ht="13.5" customHeight="1">
      <c r="A43" s="734" t="s">
        <v>347</v>
      </c>
      <c r="B43" s="207" t="s">
        <v>1540</v>
      </c>
      <c r="C43" s="230">
        <f ca="1">ROUND(IF('数据-取费表'!B22&lt;=1,C39*F22*'数据-取费表'!B21/2,C39*(POWER((1+F22),'数据-取费表'!B21/2)-1)),0)</f>
        <v>2</v>
      </c>
      <c r="D43" s="230"/>
      <c r="E43" s="230"/>
      <c r="F43" s="231"/>
      <c r="G43" s="3393"/>
    </row>
    <row r="44" spans="1:7" ht="13.5" customHeight="1">
      <c r="A44" s="734" t="s">
        <v>348</v>
      </c>
      <c r="B44" s="207" t="s">
        <v>1541</v>
      </c>
      <c r="C44" s="230">
        <f ca="1">ROUND(IF('数据-取费表'!B22&lt;=1,C40*F22*'数据-取费表'!B21/2,C40*(POWER((1+F22),'数据-取费表'!B21/2)-1)),4)</f>
        <v>1.6000000000000001E-3</v>
      </c>
      <c r="D44" s="230"/>
      <c r="E44" s="230"/>
      <c r="F44" s="231"/>
      <c r="G44" s="3394"/>
    </row>
    <row r="45" spans="1:7" s="206" customFormat="1" ht="13.5" customHeight="1">
      <c r="A45" s="247" t="s">
        <v>1542</v>
      </c>
      <c r="B45" s="236" t="s">
        <v>1508</v>
      </c>
      <c r="C45" s="237">
        <f ca="1">C46</f>
        <v>224</v>
      </c>
      <c r="D45" s="227">
        <f ca="1">C47</f>
        <v>5.4000000000000003E-3</v>
      </c>
      <c r="E45" s="228" t="s">
        <v>1534</v>
      </c>
      <c r="F45" s="238">
        <f ca="1">F27</f>
        <v>0.18</v>
      </c>
      <c r="G45" s="239" t="s">
        <v>1543</v>
      </c>
    </row>
    <row r="46" spans="1:7" s="206" customFormat="1" ht="13.5" customHeight="1">
      <c r="A46" s="734" t="s">
        <v>346</v>
      </c>
      <c r="B46" s="240" t="s">
        <v>1544</v>
      </c>
      <c r="C46" s="241">
        <f ca="1">ROUND((C33+C39)*F27,0)</f>
        <v>224</v>
      </c>
      <c r="D46" s="255"/>
      <c r="E46" s="228"/>
      <c r="F46" s="238"/>
      <c r="G46" s="239"/>
    </row>
    <row r="47" spans="1:7" s="206" customFormat="1" ht="13.5" customHeight="1">
      <c r="A47" s="734" t="s">
        <v>347</v>
      </c>
      <c r="B47" s="240" t="s">
        <v>1545</v>
      </c>
      <c r="C47" s="230">
        <f ca="1">ROUND(C40*F27,4)</f>
        <v>5.4000000000000003E-3</v>
      </c>
      <c r="D47" s="255"/>
      <c r="E47" s="228"/>
      <c r="F47" s="238"/>
      <c r="G47" s="239"/>
    </row>
    <row r="48" spans="1:7" s="206" customFormat="1" ht="13.5" customHeight="1">
      <c r="A48" s="247" t="s">
        <v>1507</v>
      </c>
      <c r="B48" s="202" t="s">
        <v>1546</v>
      </c>
      <c r="C48" s="227">
        <f>ROUND(F30/(1+'数据-取费表'!C42),4)</f>
        <v>5.2400000000000002E-2</v>
      </c>
      <c r="D48" s="228" t="s">
        <v>1534</v>
      </c>
      <c r="E48" s="224"/>
      <c r="F48" s="229">
        <f>F30</f>
        <v>5.5000000000000007E-2</v>
      </c>
      <c r="G48" s="226" t="s">
        <v>1547</v>
      </c>
    </row>
    <row r="49" spans="1:7" ht="16.5" customHeight="1">
      <c r="A49" s="247" t="s">
        <v>1513</v>
      </c>
      <c r="B49" s="202" t="s">
        <v>1548</v>
      </c>
      <c r="C49" s="224">
        <f ca="1">ROUND((C33+C39+C41+C45)/(1-C40-D41-D45-C48),0)</f>
        <v>1684</v>
      </c>
      <c r="D49" s="224"/>
      <c r="E49" s="224"/>
      <c r="F49" s="256"/>
      <c r="G49" s="226" t="s">
        <v>1549</v>
      </c>
    </row>
    <row r="50" spans="1:7" s="250" customFormat="1" ht="24">
      <c r="A50" s="247" t="s">
        <v>1550</v>
      </c>
      <c r="B50" s="202" t="s">
        <v>1551</v>
      </c>
      <c r="C50" s="224"/>
      <c r="D50" s="224"/>
      <c r="E50" s="224"/>
      <c r="F50" s="256">
        <f>IF('数据-取费表'!B24=0,'数据-取费表'!N16,1)</f>
        <v>0.92</v>
      </c>
      <c r="G50" s="239" t="s">
        <v>1552</v>
      </c>
    </row>
    <row r="51" spans="1:7" ht="16.5" customHeight="1">
      <c r="A51" s="247" t="s">
        <v>1553</v>
      </c>
      <c r="B51" s="202" t="s">
        <v>1554</v>
      </c>
      <c r="C51" s="224">
        <f ca="1">ROUND(C49*F50,0)</f>
        <v>1549</v>
      </c>
      <c r="D51" s="224"/>
      <c r="E51" s="224"/>
      <c r="F51" s="256"/>
      <c r="G51" s="226" t="s">
        <v>1555</v>
      </c>
    </row>
    <row r="52" spans="1:7" s="200" customFormat="1" ht="16.5" thickBot="1">
      <c r="A52" s="257" t="s">
        <v>1556</v>
      </c>
      <c r="B52" s="258"/>
      <c r="C52" s="259">
        <f ca="1">C31+C51</f>
        <v>3945</v>
      </c>
      <c r="D52" s="258"/>
      <c r="E52" s="258"/>
      <c r="F52" s="258"/>
      <c r="G52" s="260"/>
    </row>
    <row r="55" spans="1:7" ht="15">
      <c r="B55" s="262" t="s">
        <v>1557</v>
      </c>
      <c r="C55" s="263"/>
    </row>
    <row r="56" spans="1:7">
      <c r="B56" s="265" t="s">
        <v>797</v>
      </c>
      <c r="C56" s="267">
        <f ca="1">1-C57</f>
        <v>0.60699999999999998</v>
      </c>
    </row>
    <row r="57" spans="1:7">
      <c r="B57" s="265" t="s">
        <v>798</v>
      </c>
      <c r="C57" s="266">
        <f ca="1">ROUND(C51/C52,3)</f>
        <v>0.39300000000000002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1456</v>
      </c>
      <c r="B1" s="1373"/>
      <c r="C1" s="1716" t="s">
        <v>1558</v>
      </c>
      <c r="D1" s="190"/>
      <c r="E1" s="190"/>
      <c r="F1" s="190"/>
      <c r="G1" s="1062">
        <f>MATCH(B1,'数据-取费表'!A6:A16,0)+5</f>
        <v>7</v>
      </c>
      <c r="H1" s="998" t="str">
        <f>IF(ISERROR(FIND("住宅",B1)),"非住宅","住宅")</f>
        <v>非住宅</v>
      </c>
    </row>
    <row r="2" spans="1:8" s="192" customFormat="1" ht="18" customHeight="1">
      <c r="A2" s="193" t="s">
        <v>1457</v>
      </c>
      <c r="B2" s="3119">
        <f ca="1">ROUND(IF(D2="——",C52/10000,C52/10000-E2),4)</f>
        <v>1618.4748999999999</v>
      </c>
      <c r="C2" s="191" t="s">
        <v>1458</v>
      </c>
      <c r="D2" s="1710" t="s">
        <v>43</v>
      </c>
      <c r="E2" s="1089" t="e">
        <f ca="1">SUMIF(INDIRECT("'"&amp;G2&amp;"'"&amp;"!A:A"),"承租人权益价值",INDIRECT("'"&amp;G2&amp;"'"&amp;"!c:c"))</f>
        <v>#REF!</v>
      </c>
      <c r="F2" s="1711" t="s">
        <v>1458</v>
      </c>
      <c r="G2" s="1712"/>
    </row>
    <row r="3" spans="1:8" s="192" customFormat="1" ht="18" customHeight="1" thickBot="1">
      <c r="A3" s="195" t="s">
        <v>1459</v>
      </c>
      <c r="B3" s="196">
        <f ca="1">ROUND(B2*10000/(IF(B1="",'数据-汇总表'!E3,INDIRECT("'数据-取费表'!k"&amp;$G$1))),0)</f>
        <v>13129</v>
      </c>
      <c r="C3" s="191" t="s">
        <v>1460</v>
      </c>
      <c r="D3" s="191"/>
      <c r="E3" s="191"/>
      <c r="F3" s="191"/>
      <c r="G3" s="191"/>
    </row>
    <row r="4" spans="1:8" s="200" customFormat="1" ht="15.75">
      <c r="A4" s="197" t="s">
        <v>1461</v>
      </c>
      <c r="B4" s="198"/>
      <c r="C4" s="198"/>
      <c r="D4" s="198"/>
      <c r="E4" s="198"/>
      <c r="F4" s="198"/>
      <c r="G4" s="199"/>
    </row>
    <row r="5" spans="1:8" s="206" customFormat="1" ht="13.5" customHeight="1">
      <c r="A5" s="247" t="s">
        <v>1462</v>
      </c>
      <c r="B5" s="202" t="s">
        <v>1463</v>
      </c>
      <c r="C5" s="203">
        <f ca="1">C6+C7+C8</f>
        <v>246558</v>
      </c>
      <c r="D5" s="203" t="s">
        <v>1464</v>
      </c>
      <c r="E5" s="204" t="s">
        <v>1465</v>
      </c>
      <c r="F5" s="204" t="s">
        <v>1466</v>
      </c>
      <c r="G5" s="205"/>
    </row>
    <row r="6" spans="1:8" s="206" customFormat="1" ht="13.5" customHeight="1">
      <c r="A6" s="732" t="s">
        <v>1467</v>
      </c>
      <c r="B6" s="207" t="s">
        <v>1468</v>
      </c>
      <c r="C6" s="208"/>
      <c r="D6" s="209"/>
      <c r="E6" s="210"/>
      <c r="F6" s="210"/>
      <c r="G6" s="211"/>
    </row>
    <row r="7" spans="1:8" s="206" customFormat="1" ht="13.5" customHeight="1">
      <c r="A7" s="732" t="s">
        <v>1469</v>
      </c>
      <c r="B7" s="207" t="s">
        <v>1470</v>
      </c>
      <c r="C7" s="212">
        <f>ROUND(C6*F7,0)</f>
        <v>0</v>
      </c>
      <c r="D7" s="212"/>
      <c r="E7" s="210"/>
      <c r="F7" s="213">
        <f>IF(项目基本情况!B8="出让",0,'数据-取费表'!B48+'数据-取费表'!B49)</f>
        <v>3.0499999999999999E-2</v>
      </c>
      <c r="G7" s="211"/>
    </row>
    <row r="8" spans="1:8" s="215" customFormat="1">
      <c r="A8" s="732" t="s">
        <v>1471</v>
      </c>
      <c r="B8" s="207" t="s">
        <v>1472</v>
      </c>
      <c r="C8" s="212">
        <f ca="1">IF(G8="已包含在土地购买价格中",0,C9+C10)</f>
        <v>246558</v>
      </c>
      <c r="D8" s="214"/>
      <c r="E8" s="212"/>
      <c r="F8" s="213"/>
      <c r="G8" s="1713"/>
    </row>
    <row r="9" spans="1:8" s="206" customFormat="1" ht="13.5" customHeight="1">
      <c r="A9" s="733" t="s">
        <v>355</v>
      </c>
      <c r="B9" s="216" t="s">
        <v>1473</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1475</v>
      </c>
      <c r="C10" s="217">
        <f ca="1">ROUND(D10*E10,0)</f>
        <v>246558</v>
      </c>
      <c r="D10" s="795">
        <f ca="1">IF(B1="",'数据-汇总表'!E6,IF(INDIRECT("'数据-取费表'!c"&amp;$G$1)="住宅",INDIRECT("'数据-取费表'!s"&amp;$G$1),INDIRECT("'数据-取费表'!k"&amp;$G$1)+INDIRECT("'数据-取费表'!s"&amp;$G$1)))</f>
        <v>1232.79</v>
      </c>
      <c r="E10" s="217">
        <f>'数据-取费表'!B28</f>
        <v>200</v>
      </c>
      <c r="F10" s="213"/>
      <c r="G10" s="218"/>
    </row>
    <row r="11" spans="1:8" s="206" customFormat="1" ht="13.5" hidden="1" customHeight="1">
      <c r="A11" s="219" t="s">
        <v>4</v>
      </c>
      <c r="B11" s="207" t="s">
        <v>1476</v>
      </c>
      <c r="C11" s="203"/>
      <c r="D11" s="210"/>
      <c r="E11" s="210"/>
      <c r="F11" s="210"/>
      <c r="G11" s="211"/>
    </row>
    <row r="12" spans="1:8" s="206" customFormat="1" ht="13.5" hidden="1" customHeight="1">
      <c r="A12" s="219" t="s">
        <v>5</v>
      </c>
      <c r="B12" s="207" t="s">
        <v>1559</v>
      </c>
      <c r="C12" s="203">
        <v>0</v>
      </c>
      <c r="D12" s="210"/>
      <c r="E12" s="220"/>
      <c r="F12" s="213">
        <v>3.0499999999999999E-2</v>
      </c>
      <c r="G12" s="211"/>
    </row>
    <row r="13" spans="1:8" s="206" customFormat="1" ht="13.5" hidden="1" customHeight="1">
      <c r="A13" s="219" t="s">
        <v>6</v>
      </c>
      <c r="B13" s="207" t="s">
        <v>1560</v>
      </c>
      <c r="C13" s="203"/>
      <c r="D13" s="210"/>
      <c r="E13" s="210"/>
      <c r="F13" s="210"/>
      <c r="G13" s="211"/>
    </row>
    <row r="14" spans="1:8" s="206" customFormat="1" ht="13.5" hidden="1" customHeight="1">
      <c r="A14" s="219" t="s">
        <v>7</v>
      </c>
      <c r="B14" s="207" t="s">
        <v>1472</v>
      </c>
      <c r="C14" s="203"/>
      <c r="D14" s="210"/>
      <c r="E14" s="210"/>
      <c r="F14" s="210"/>
      <c r="G14" s="211" t="s">
        <v>1561</v>
      </c>
    </row>
    <row r="15" spans="1:8" s="206" customFormat="1" ht="13.5" hidden="1" customHeight="1">
      <c r="A15" s="219" t="s">
        <v>8</v>
      </c>
      <c r="B15" s="207" t="s">
        <v>1562</v>
      </c>
      <c r="C15" s="212"/>
      <c r="D15" s="210"/>
      <c r="E15" s="210"/>
      <c r="F15" s="210"/>
      <c r="G15" s="211" t="s">
        <v>1563</v>
      </c>
    </row>
    <row r="16" spans="1:8" s="206" customFormat="1" ht="13.5" hidden="1" customHeight="1">
      <c r="A16" s="219" t="s">
        <v>9</v>
      </c>
      <c r="B16" s="207" t="s">
        <v>1472</v>
      </c>
      <c r="C16" s="212"/>
      <c r="D16" s="210"/>
      <c r="E16" s="210"/>
      <c r="F16" s="210"/>
      <c r="G16" s="211"/>
    </row>
    <row r="17" spans="1:7" s="206" customFormat="1" ht="13.5" hidden="1" customHeight="1">
      <c r="A17" s="219" t="s">
        <v>10</v>
      </c>
      <c r="B17" s="207" t="s">
        <v>1564</v>
      </c>
      <c r="C17" s="221"/>
      <c r="D17" s="221"/>
      <c r="E17" s="221"/>
      <c r="F17" s="221"/>
      <c r="G17" s="211" t="s">
        <v>1563</v>
      </c>
    </row>
    <row r="18" spans="1:7" s="206" customFormat="1" ht="13.5" hidden="1" customHeight="1">
      <c r="A18" s="219" t="s">
        <v>11</v>
      </c>
      <c r="B18" s="207" t="s">
        <v>1565</v>
      </c>
      <c r="C18" s="212">
        <v>0</v>
      </c>
      <c r="D18" s="210"/>
      <c r="E18" s="210"/>
      <c r="F18" s="213">
        <v>3.0499999999999999E-2</v>
      </c>
      <c r="G18" s="211" t="s">
        <v>1566</v>
      </c>
    </row>
    <row r="19" spans="1:7" s="215" customFormat="1" ht="13.5" customHeight="1">
      <c r="A19" s="247" t="s">
        <v>1567</v>
      </c>
      <c r="B19" s="202" t="s">
        <v>1568</v>
      </c>
      <c r="C19" s="203">
        <f ca="1">IF(G19="已包含在土地取得成本中","0",ROUND(D19*E19,0))</f>
        <v>246558</v>
      </c>
      <c r="D19" s="204">
        <f ca="1">D9+D10</f>
        <v>1232.79</v>
      </c>
      <c r="E19" s="203">
        <f>'数据-取费表'!B31</f>
        <v>200</v>
      </c>
      <c r="F19" s="223"/>
      <c r="G19" s="1713"/>
    </row>
    <row r="20" spans="1:7" s="206" customFormat="1" ht="13.5" customHeight="1">
      <c r="A20" s="247" t="s">
        <v>1569</v>
      </c>
      <c r="B20" s="202" t="s">
        <v>1570</v>
      </c>
      <c r="C20" s="224">
        <f ca="1">ROUND((C5+C19)*F20,0)</f>
        <v>14793</v>
      </c>
      <c r="D20" s="224"/>
      <c r="E20" s="224"/>
      <c r="F20" s="225">
        <f>'数据-取费表'!B37</f>
        <v>0.03</v>
      </c>
      <c r="G20" s="226" t="s">
        <v>1571</v>
      </c>
    </row>
    <row r="21" spans="1:7" s="206" customFormat="1" ht="13.5" customHeight="1">
      <c r="A21" s="247" t="s">
        <v>1572</v>
      </c>
      <c r="B21" s="202" t="s">
        <v>1573</v>
      </c>
      <c r="C21" s="227">
        <f>F21</f>
        <v>0.03</v>
      </c>
      <c r="D21" s="228" t="s">
        <v>1574</v>
      </c>
      <c r="E21" s="224"/>
      <c r="F21" s="225">
        <f>'数据-取费表'!B38</f>
        <v>0.03</v>
      </c>
      <c r="G21" s="226" t="s">
        <v>1575</v>
      </c>
    </row>
    <row r="22" spans="1:7" s="206" customFormat="1" ht="13.5" customHeight="1">
      <c r="A22" s="247" t="s">
        <v>1576</v>
      </c>
      <c r="B22" s="202" t="s">
        <v>1577</v>
      </c>
      <c r="C22" s="224">
        <f ca="1">ROUND(SUM(C23:C25),0)</f>
        <v>53590</v>
      </c>
      <c r="D22" s="227">
        <f ca="1">C26</f>
        <v>1.6000000000000001E-3</v>
      </c>
      <c r="E22" s="228" t="s">
        <v>1574</v>
      </c>
      <c r="F22" s="229">
        <f ca="1">'数据-取费表'!B40</f>
        <v>3.4500000000000003E-2</v>
      </c>
      <c r="G22" s="226" t="str">
        <f>IF('数据-取费表'!B22&lt;=1,"单利计息","复利计息")</f>
        <v>复利计息</v>
      </c>
    </row>
    <row r="23" spans="1:7" s="206" customFormat="1" ht="13.5" customHeight="1">
      <c r="A23" s="734" t="s">
        <v>1467</v>
      </c>
      <c r="B23" s="207" t="s">
        <v>1578</v>
      </c>
      <c r="C23" s="230">
        <f ca="1">ROUND(IF('数据-取费表'!B22&lt;=1,C5*F22*'数据-取费表'!B22,C5*(POWER((1+F22),'数据-取费表'!B22)-1)),0)</f>
        <v>26409</v>
      </c>
      <c r="D23" s="230"/>
      <c r="E23" s="230"/>
      <c r="F23" s="231"/>
      <c r="G23" s="232" t="s">
        <v>1579</v>
      </c>
    </row>
    <row r="24" spans="1:7" s="206" customFormat="1" ht="13.5" customHeight="1">
      <c r="A24" s="734" t="s">
        <v>1469</v>
      </c>
      <c r="B24" s="207" t="s">
        <v>1580</v>
      </c>
      <c r="C24" s="230">
        <f ca="1">ROUND(IF('数据-取费表'!B22&lt;=1,C19*F22*('数据-取费表'!B19/2+'数据-取费表'!B20),C19*(POWER((1+F22),('数据-取费表'!B19/2+'数据-取费表'!B20))-1)),0)</f>
        <v>26409</v>
      </c>
      <c r="D24" s="230"/>
      <c r="E24" s="230"/>
      <c r="F24" s="231"/>
      <c r="G24" s="232" t="s">
        <v>1581</v>
      </c>
    </row>
    <row r="25" spans="1:7" s="206" customFormat="1" ht="24">
      <c r="A25" s="734" t="s">
        <v>1471</v>
      </c>
      <c r="B25" s="207" t="s">
        <v>1582</v>
      </c>
      <c r="C25" s="230">
        <f ca="1">ROUND(IF('数据-取费表'!B22&lt;=1,C20*F22*'数据-取费表'!B22/2,C20*(POWER((1+F22),'数据-取费表'!B22/2)-1)),0)</f>
        <v>772</v>
      </c>
      <c r="D25" s="230"/>
      <c r="E25" s="233"/>
      <c r="F25" s="231"/>
      <c r="G25" s="234" t="s">
        <v>1583</v>
      </c>
    </row>
    <row r="26" spans="1:7" s="206" customFormat="1">
      <c r="A26" s="734" t="s">
        <v>350</v>
      </c>
      <c r="B26" s="207" t="s">
        <v>1506</v>
      </c>
      <c r="C26" s="230">
        <f ca="1">ROUND(IF('数据-取费表'!B22&lt;=1,F21*F22*'数据-取费表'!B22/2,F21*(POWER((1+F22),'数据-取费表'!B22/2)-1)),4)</f>
        <v>1.6000000000000001E-3</v>
      </c>
      <c r="D26" s="230"/>
      <c r="E26" s="233"/>
      <c r="F26" s="231"/>
      <c r="G26" s="235"/>
    </row>
    <row r="27" spans="1:7" s="206" customFormat="1" ht="24.75">
      <c r="A27" s="247" t="s">
        <v>1507</v>
      </c>
      <c r="B27" s="236" t="s">
        <v>1508</v>
      </c>
      <c r="C27" s="237">
        <f ca="1">C28</f>
        <v>91424</v>
      </c>
      <c r="D27" s="227">
        <f ca="1">C29</f>
        <v>5.4000000000000003E-3</v>
      </c>
      <c r="E27" s="228" t="s">
        <v>1509</v>
      </c>
      <c r="F27" s="238">
        <f ca="1">IF(B1="",'数据-取费表'!Q16,INDIRECT("'数据-取费表'!q"&amp;$G$1))</f>
        <v>0.18</v>
      </c>
      <c r="G27" s="239" t="s">
        <v>1510</v>
      </c>
    </row>
    <row r="28" spans="1:7" s="206" customFormat="1" ht="13.5" customHeight="1">
      <c r="A28" s="734" t="s">
        <v>346</v>
      </c>
      <c r="B28" s="240" t="s">
        <v>1511</v>
      </c>
      <c r="C28" s="241">
        <f ca="1">ROUND((C5+C19+C20)*F27,0)</f>
        <v>91424</v>
      </c>
      <c r="D28" s="227"/>
      <c r="E28" s="228"/>
      <c r="F28" s="238"/>
      <c r="G28" s="239"/>
    </row>
    <row r="29" spans="1:7" s="206" customFormat="1" ht="13.5" customHeight="1">
      <c r="A29" s="734" t="s">
        <v>347</v>
      </c>
      <c r="B29" s="240" t="s">
        <v>1512</v>
      </c>
      <c r="C29" s="230">
        <f ca="1">ROUND(C21*F27,4)</f>
        <v>5.4000000000000003E-3</v>
      </c>
      <c r="D29" s="227"/>
      <c r="E29" s="228"/>
      <c r="F29" s="238"/>
      <c r="G29" s="239"/>
    </row>
    <row r="30" spans="1:7" s="206" customFormat="1" ht="13.5" customHeight="1">
      <c r="A30" s="247" t="s">
        <v>1513</v>
      </c>
      <c r="B30" s="202" t="s">
        <v>1514</v>
      </c>
      <c r="C30" s="227">
        <f>ROUND(F30/(1+'数据-取费表'!C42),4)</f>
        <v>5.2400000000000002E-2</v>
      </c>
      <c r="D30" s="228" t="s">
        <v>1509</v>
      </c>
      <c r="E30" s="233"/>
      <c r="F30" s="229">
        <f>'数据-取费表'!B41</f>
        <v>5.5000000000000007E-2</v>
      </c>
      <c r="G30" s="226" t="s">
        <v>1515</v>
      </c>
    </row>
    <row r="31" spans="1:7" ht="16.5" customHeight="1">
      <c r="A31" s="201">
        <v>1</v>
      </c>
      <c r="B31" s="202" t="s">
        <v>1516</v>
      </c>
      <c r="C31" s="203">
        <f ca="1">ROUND((C5+C19+C20+C22+C27)/(1-C21-D22-D27-C30),0)</f>
        <v>717025</v>
      </c>
      <c r="D31" s="222"/>
      <c r="E31" s="203"/>
      <c r="F31" s="242"/>
      <c r="G31" s="226" t="s">
        <v>1517</v>
      </c>
    </row>
    <row r="32" spans="1:7" s="200" customFormat="1" ht="15.75">
      <c r="A32" s="244" t="s">
        <v>1584</v>
      </c>
      <c r="B32" s="245"/>
      <c r="C32" s="245"/>
      <c r="D32" s="245"/>
      <c r="E32" s="245"/>
      <c r="F32" s="245"/>
      <c r="G32" s="246"/>
    </row>
    <row r="33" spans="1:7" s="206" customFormat="1" ht="13.5" customHeight="1">
      <c r="A33" s="247" t="s">
        <v>337</v>
      </c>
      <c r="B33" s="202" t="s">
        <v>1585</v>
      </c>
      <c r="C33" s="248">
        <f ca="1">SUM(C34:C38)</f>
        <v>12062851</v>
      </c>
      <c r="D33" s="224"/>
      <c r="E33" s="204"/>
      <c r="F33" s="233"/>
      <c r="G33" s="226"/>
    </row>
    <row r="34" spans="1:7" s="250" customFormat="1" ht="13.5" customHeight="1">
      <c r="A34" s="734" t="s">
        <v>346</v>
      </c>
      <c r="B34" s="207" t="s">
        <v>1520</v>
      </c>
      <c r="C34" s="212">
        <f ca="1">ROUND(IF(B1="",SUMPRODUCT('数据-取费表'!K6:K14,'数据-取费表'!L6:L14),INDIRECT("'数据-取费表'!l"&amp;$G$1)*INDIRECT("'数据-取费表'!k"&amp;$G$1)+'数据-取费表'!L14*INDIRECT("'数据-取费表'!S"&amp;$G$1)),0)</f>
        <v>11095110</v>
      </c>
      <c r="D34" s="209"/>
      <c r="E34" s="212"/>
      <c r="F34" s="249"/>
      <c r="G34" s="211"/>
    </row>
    <row r="35" spans="1:7" ht="13.5" customHeight="1">
      <c r="A35" s="734" t="s">
        <v>351</v>
      </c>
      <c r="B35" s="207" t="s">
        <v>1522</v>
      </c>
      <c r="C35" s="212">
        <f ca="1">ROUND(C34*F35,0)</f>
        <v>554756</v>
      </c>
      <c r="D35" s="212"/>
      <c r="E35" s="212"/>
      <c r="F35" s="251">
        <f>'数据-取费表'!B33</f>
        <v>0.05</v>
      </c>
      <c r="G35" s="211" t="s">
        <v>1523</v>
      </c>
    </row>
    <row r="36" spans="1:7" ht="24">
      <c r="A36" s="734" t="s">
        <v>352</v>
      </c>
      <c r="B36" s="207" t="s">
        <v>1524</v>
      </c>
      <c r="C36" s="212">
        <f ca="1">ROUND(IF(B1="",SUM('数据-取费表'!AP6:AP13)*F36,IF(INDIRECT("'数据-取费表'!c"&amp;$G$1)="住宅",INDIRECT("'数据-取费表'!k"&amp;$G$1)*INDIRECT("'数据-取费表'!l"&amp;$G$1)*F36,0)),0)</f>
        <v>0</v>
      </c>
      <c r="D36" s="212"/>
      <c r="E36" s="212"/>
      <c r="F36" s="251">
        <f>'数据-取费表'!B34</f>
        <v>0</v>
      </c>
      <c r="G36" s="252" t="s">
        <v>1525</v>
      </c>
    </row>
    <row r="37" spans="1:7" s="250" customFormat="1" ht="13.5" customHeight="1">
      <c r="A37" s="734" t="s">
        <v>353</v>
      </c>
      <c r="B37" s="207" t="s">
        <v>1526</v>
      </c>
      <c r="C37" s="241">
        <f ca="1">ROUND(E37*D37,0)</f>
        <v>246558</v>
      </c>
      <c r="D37" s="209">
        <f ca="1">D19</f>
        <v>1232.79</v>
      </c>
      <c r="E37" s="241">
        <f>'数据-取费表'!B35</f>
        <v>200</v>
      </c>
      <c r="F37" s="251"/>
      <c r="G37" s="253"/>
    </row>
    <row r="38" spans="1:7" ht="13.5" customHeight="1">
      <c r="A38" s="734" t="s">
        <v>354</v>
      </c>
      <c r="B38" s="207" t="s">
        <v>1528</v>
      </c>
      <c r="C38" s="212">
        <f ca="1">ROUND(C34*F38,0)</f>
        <v>166427</v>
      </c>
      <c r="D38" s="212"/>
      <c r="E38" s="212"/>
      <c r="F38" s="251">
        <f>'数据-取费表'!B36</f>
        <v>1.4999999999999999E-2</v>
      </c>
      <c r="G38" s="211" t="s">
        <v>1523</v>
      </c>
    </row>
    <row r="39" spans="1:7" s="206" customFormat="1" ht="13.5" customHeight="1">
      <c r="A39" s="247" t="s">
        <v>1529</v>
      </c>
      <c r="B39" s="202" t="s">
        <v>1530</v>
      </c>
      <c r="C39" s="224">
        <f ca="1">ROUND(C33*F20,0)</f>
        <v>361886</v>
      </c>
      <c r="D39" s="224"/>
      <c r="E39" s="224"/>
      <c r="F39" s="225">
        <f>F20</f>
        <v>0.03</v>
      </c>
      <c r="G39" s="226" t="s">
        <v>1531</v>
      </c>
    </row>
    <row r="40" spans="1:7" s="206" customFormat="1" ht="13.5" customHeight="1">
      <c r="A40" s="247" t="s">
        <v>1532</v>
      </c>
      <c r="B40" s="202" t="s">
        <v>1533</v>
      </c>
      <c r="C40" s="227">
        <f>F21</f>
        <v>0.03</v>
      </c>
      <c r="D40" s="228" t="s">
        <v>1534</v>
      </c>
      <c r="E40" s="224"/>
      <c r="F40" s="225">
        <f>F21</f>
        <v>0.03</v>
      </c>
      <c r="G40" s="226" t="s">
        <v>1535</v>
      </c>
    </row>
    <row r="41" spans="1:7" s="206" customFormat="1" ht="13.5" customHeight="1">
      <c r="A41" s="247" t="s">
        <v>1536</v>
      </c>
      <c r="B41" s="202" t="s">
        <v>1537</v>
      </c>
      <c r="C41" s="224">
        <f ca="1">ROUND(SUM(C42:C43),0)</f>
        <v>648494</v>
      </c>
      <c r="D41" s="227">
        <f ca="1">C44</f>
        <v>1.6000000000000001E-3</v>
      </c>
      <c r="E41" s="228" t="s">
        <v>1534</v>
      </c>
      <c r="F41" s="229">
        <f ca="1">F22</f>
        <v>3.4500000000000003E-2</v>
      </c>
      <c r="G41" s="226" t="str">
        <f>IF('数据-取费表'!B22&lt;=1,"单利计息","复利计息")</f>
        <v>复利计息</v>
      </c>
    </row>
    <row r="42" spans="1:7" ht="13.5" customHeight="1">
      <c r="A42" s="734" t="s">
        <v>346</v>
      </c>
      <c r="B42" s="207" t="s">
        <v>1538</v>
      </c>
      <c r="C42" s="230">
        <f ca="1">ROUND(IF('数据-取费表'!B22&lt;=1,C33*F22*'数据-取费表'!B20/2,C33*(POWER((1+F22),'数据-取费表'!B20/2)-1)),0)</f>
        <v>629606</v>
      </c>
      <c r="D42" s="230"/>
      <c r="E42" s="230"/>
      <c r="F42" s="231"/>
      <c r="G42" s="3392" t="s">
        <v>1586</v>
      </c>
    </row>
    <row r="43" spans="1:7" ht="13.5" customHeight="1">
      <c r="A43" s="734" t="s">
        <v>347</v>
      </c>
      <c r="B43" s="207" t="s">
        <v>1540</v>
      </c>
      <c r="C43" s="230">
        <f ca="1">ROUND(IF('数据-取费表'!B22&lt;=1,C39*F22*'数据-取费表'!B20/2,C39*(POWER((1+F22),'数据-取费表'!B20/2)-1)),0)</f>
        <v>18888</v>
      </c>
      <c r="D43" s="230"/>
      <c r="E43" s="230"/>
      <c r="F43" s="231"/>
      <c r="G43" s="3393"/>
    </row>
    <row r="44" spans="1:7" ht="13.5" customHeight="1">
      <c r="A44" s="734" t="s">
        <v>348</v>
      </c>
      <c r="B44" s="207" t="s">
        <v>1541</v>
      </c>
      <c r="C44" s="230">
        <f ca="1">ROUND(IF('数据-取费表'!B22&lt;=1,C40*F22*'数据-取费表'!B20/2,C40*(POWER((1+F22),'数据-取费表'!B20/2)-1)),4)</f>
        <v>1.6000000000000001E-3</v>
      </c>
      <c r="D44" s="230"/>
      <c r="E44" s="230"/>
      <c r="F44" s="231"/>
      <c r="G44" s="3394"/>
    </row>
    <row r="45" spans="1:7" s="206" customFormat="1" ht="13.5" customHeight="1">
      <c r="A45" s="247" t="s">
        <v>1542</v>
      </c>
      <c r="B45" s="236" t="s">
        <v>1508</v>
      </c>
      <c r="C45" s="237">
        <f ca="1">C46</f>
        <v>2236453</v>
      </c>
      <c r="D45" s="227">
        <f ca="1">C47</f>
        <v>5.4000000000000003E-3</v>
      </c>
      <c r="E45" s="228" t="s">
        <v>1534</v>
      </c>
      <c r="F45" s="238">
        <f ca="1">F27</f>
        <v>0.18</v>
      </c>
      <c r="G45" s="239" t="s">
        <v>1543</v>
      </c>
    </row>
    <row r="46" spans="1:7" s="206" customFormat="1" ht="13.5" customHeight="1">
      <c r="A46" s="734" t="s">
        <v>346</v>
      </c>
      <c r="B46" s="240" t="s">
        <v>1544</v>
      </c>
      <c r="C46" s="241">
        <f ca="1">ROUND((C33+C39)*F27,0)</f>
        <v>2236453</v>
      </c>
      <c r="D46" s="255"/>
      <c r="E46" s="228"/>
      <c r="F46" s="238"/>
      <c r="G46" s="239"/>
    </row>
    <row r="47" spans="1:7" s="206" customFormat="1" ht="13.5" customHeight="1">
      <c r="A47" s="734" t="s">
        <v>347</v>
      </c>
      <c r="B47" s="240" t="s">
        <v>1545</v>
      </c>
      <c r="C47" s="230">
        <f ca="1">ROUND(C40*F27,4)</f>
        <v>5.4000000000000003E-3</v>
      </c>
      <c r="D47" s="255"/>
      <c r="E47" s="228"/>
      <c r="F47" s="238"/>
      <c r="G47" s="239"/>
    </row>
    <row r="48" spans="1:7" s="206" customFormat="1" ht="13.5" customHeight="1">
      <c r="A48" s="247" t="s">
        <v>1507</v>
      </c>
      <c r="B48" s="202" t="s">
        <v>1546</v>
      </c>
      <c r="C48" s="254">
        <f>ROUND(F30/(1+'数据-取费表'!C42),4)</f>
        <v>5.2400000000000002E-2</v>
      </c>
      <c r="D48" s="228" t="s">
        <v>1534</v>
      </c>
      <c r="E48" s="224"/>
      <c r="F48" s="229">
        <f>F30</f>
        <v>5.5000000000000007E-2</v>
      </c>
      <c r="G48" s="226" t="s">
        <v>1547</v>
      </c>
    </row>
    <row r="49" spans="1:7" ht="16.5" customHeight="1">
      <c r="A49" s="247" t="s">
        <v>1513</v>
      </c>
      <c r="B49" s="202" t="s">
        <v>1587</v>
      </c>
      <c r="C49" s="224">
        <f ca="1">ROUND((C33+C39+C41+C45)/(1-C40-D41-D45-C48),0)</f>
        <v>16812743</v>
      </c>
      <c r="D49" s="224"/>
      <c r="E49" s="224"/>
      <c r="F49" s="256"/>
      <c r="G49" s="226" t="s">
        <v>1549</v>
      </c>
    </row>
    <row r="50" spans="1:7" s="250" customFormat="1">
      <c r="A50" s="247" t="s">
        <v>1550</v>
      </c>
      <c r="B50" s="202" t="s">
        <v>1551</v>
      </c>
      <c r="C50" s="224"/>
      <c r="D50" s="224"/>
      <c r="E50" s="224"/>
      <c r="F50" s="256">
        <f>IF('数据-取费表'!B24=0,'数据-取费表'!N16,1)</f>
        <v>0.92</v>
      </c>
      <c r="G50" s="239"/>
    </row>
    <row r="51" spans="1:7" ht="16.5" customHeight="1">
      <c r="A51" s="247" t="s">
        <v>1553</v>
      </c>
      <c r="B51" s="202" t="s">
        <v>1588</v>
      </c>
      <c r="C51" s="224">
        <f ca="1">ROUND(C49*F50,0)</f>
        <v>15467724</v>
      </c>
      <c r="D51" s="224"/>
      <c r="E51" s="224"/>
      <c r="F51" s="256"/>
      <c r="G51" s="226" t="s">
        <v>1555</v>
      </c>
    </row>
    <row r="52" spans="1:7" s="200" customFormat="1" ht="16.5" thickBot="1">
      <c r="A52" s="257" t="s">
        <v>1556</v>
      </c>
      <c r="B52" s="258"/>
      <c r="C52" s="259">
        <f ca="1">C31+C51</f>
        <v>16184749</v>
      </c>
      <c r="D52" s="258"/>
      <c r="E52" s="258"/>
      <c r="F52" s="258"/>
      <c r="G52" s="260"/>
    </row>
    <row r="55" spans="1:7" ht="15">
      <c r="B55" s="262" t="s">
        <v>1557</v>
      </c>
      <c r="C55" s="263"/>
    </row>
    <row r="56" spans="1:7">
      <c r="B56" s="265" t="s">
        <v>797</v>
      </c>
      <c r="C56" s="267">
        <f ca="1">1-C57</f>
        <v>4.4000000000000039E-2</v>
      </c>
    </row>
    <row r="57" spans="1:7">
      <c r="B57" s="265" t="s">
        <v>798</v>
      </c>
      <c r="C57" s="266">
        <f ca="1">ROUND(C51/C52,3)</f>
        <v>0.95599999999999996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1589</v>
      </c>
      <c r="B1" s="121"/>
      <c r="C1" s="1109"/>
      <c r="D1" s="1108"/>
      <c r="E1" s="2564"/>
      <c r="F1" s="2564"/>
      <c r="G1" s="2445"/>
      <c r="H1" s="2564"/>
      <c r="I1" s="2564"/>
      <c r="J1" s="2564"/>
      <c r="K1" s="2565">
        <f>MATCH(C1,'数据-取费表'!A6:A16,0)+5</f>
        <v>7</v>
      </c>
    </row>
    <row r="2" spans="1:33" ht="18" customHeight="1">
      <c r="A2" s="193" t="s">
        <v>1457</v>
      </c>
      <c r="B2" s="196">
        <f ca="1">C32</f>
        <v>0</v>
      </c>
      <c r="C2" s="268" t="s">
        <v>1590</v>
      </c>
      <c r="D2" s="268"/>
      <c r="E2" s="2564"/>
      <c r="F2" s="2564"/>
      <c r="G2" s="2564"/>
      <c r="H2" s="2564"/>
      <c r="I2" s="2564"/>
      <c r="J2" s="2564"/>
      <c r="K2" s="2564"/>
    </row>
    <row r="3" spans="1:33" ht="18" customHeight="1" thickBot="1">
      <c r="A3" s="195" t="s">
        <v>1459</v>
      </c>
      <c r="B3" s="196">
        <f ca="1">ROUND(B2*10000/IF(C1="",'数据-汇总表'!E3,INDIRECT("'数据-取费表'!K"&amp;$K$1)),0)</f>
        <v>0</v>
      </c>
      <c r="C3" s="268" t="s">
        <v>1591</v>
      </c>
      <c r="D3" s="268"/>
      <c r="E3" s="2564"/>
      <c r="F3" s="2564"/>
      <c r="G3" s="2564"/>
      <c r="H3" s="2564"/>
      <c r="I3" s="2564"/>
      <c r="J3" s="2564"/>
      <c r="K3" s="2564"/>
    </row>
    <row r="4" spans="1:33" s="739" customFormat="1" ht="16.5" customHeight="1">
      <c r="A4" s="736" t="s">
        <v>1592</v>
      </c>
      <c r="B4" s="737"/>
      <c r="C4" s="775">
        <f>SUM(C8:K8)</f>
        <v>0</v>
      </c>
      <c r="D4" s="737"/>
      <c r="E4" s="737"/>
      <c r="F4" s="737"/>
      <c r="G4" s="737"/>
      <c r="H4" s="737"/>
      <c r="I4" s="737"/>
      <c r="J4" s="737"/>
      <c r="K4" s="738"/>
    </row>
    <row r="5" spans="1:33" s="743" customFormat="1" ht="15">
      <c r="A5" s="740" t="s">
        <v>1593</v>
      </c>
      <c r="B5" s="741" t="s">
        <v>1594</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1595</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1596</v>
      </c>
      <c r="B7" s="123" t="s">
        <v>1597</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1598</v>
      </c>
      <c r="B8" s="156" t="s">
        <v>1599</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1600</v>
      </c>
      <c r="B9" s="737"/>
      <c r="C9" s="737"/>
      <c r="D9" s="737"/>
      <c r="E9" s="737"/>
      <c r="F9" s="737"/>
      <c r="G9" s="737"/>
      <c r="H9" s="737"/>
      <c r="I9" s="737"/>
      <c r="J9" s="737"/>
      <c r="K9" s="738"/>
    </row>
    <row r="10" spans="1:33" s="751" customFormat="1" ht="13.5" customHeight="1">
      <c r="A10" s="740" t="s">
        <v>1601</v>
      </c>
      <c r="B10" s="5" t="s">
        <v>1602</v>
      </c>
      <c r="C10" s="747" t="s">
        <v>1603</v>
      </c>
      <c r="D10" s="748" t="s">
        <v>1604</v>
      </c>
      <c r="E10" s="748" t="s">
        <v>1605</v>
      </c>
      <c r="F10" s="748" t="s">
        <v>1606</v>
      </c>
      <c r="G10" s="5"/>
      <c r="H10" s="749"/>
      <c r="I10" s="749"/>
      <c r="J10" s="749"/>
      <c r="K10" s="750"/>
    </row>
    <row r="11" spans="1:33" s="755" customFormat="1" ht="13.5" customHeight="1">
      <c r="A11" s="752" t="s">
        <v>635</v>
      </c>
      <c r="B11" s="753" t="s">
        <v>1607</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1608</v>
      </c>
      <c r="C12" s="21">
        <f ca="1">ROUND(C11*F12,0)</f>
        <v>0</v>
      </c>
      <c r="D12" s="754"/>
      <c r="E12" s="138"/>
      <c r="F12" s="764">
        <f>'数据-取费表'!B33</f>
        <v>0.05</v>
      </c>
      <c r="G12" s="5" t="s">
        <v>1609</v>
      </c>
      <c r="H12" s="749"/>
      <c r="I12" s="749"/>
      <c r="J12" s="749"/>
      <c r="K12" s="750"/>
    </row>
    <row r="13" spans="1:33" s="755" customFormat="1" ht="13.5" customHeight="1">
      <c r="A13" s="752" t="s">
        <v>637</v>
      </c>
      <c r="B13" s="753" t="s">
        <v>1610</v>
      </c>
      <c r="C13" s="21">
        <f ca="1">ROUND(IF(C1="",SUMIF('数据-取费表'!C:C,"住宅",'数据-取费表'!P:P)*F13,IF(INDIRECT("'数据-取费表'!c"&amp;$K$1)="住宅",INDIRECT("'数据-取费表'!P"&amp;$K$1)*F13,0)),0)</f>
        <v>0</v>
      </c>
      <c r="D13" s="796"/>
      <c r="E13" s="138"/>
      <c r="F13" s="764">
        <f>'数据-取费表'!B34</f>
        <v>0</v>
      </c>
      <c r="G13" s="5" t="s">
        <v>1611</v>
      </c>
      <c r="H13" s="749"/>
      <c r="I13" s="749"/>
      <c r="J13" s="749"/>
      <c r="K13" s="750"/>
    </row>
    <row r="14" spans="1:33" s="757" customFormat="1" ht="13.5" customHeight="1">
      <c r="A14" s="752" t="s">
        <v>638</v>
      </c>
      <c r="B14" s="753" t="s">
        <v>1612</v>
      </c>
      <c r="C14" s="21">
        <f ca="1">ROUND(D14*E14*F11/10000,0)</f>
        <v>0</v>
      </c>
      <c r="D14" s="796">
        <f ca="1">IF(C1="",'数据-汇总表'!E3,INDIRECT("'数据-取费表'!K"&amp;$K$1)+INDIRECT("'数据-取费表'!S"&amp;$K$1))</f>
        <v>1232.79</v>
      </c>
      <c r="E14" s="21">
        <f>'数据-取费表'!B35</f>
        <v>200</v>
      </c>
      <c r="F14" s="756"/>
      <c r="G14" s="5" t="s">
        <v>1613</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1614</v>
      </c>
      <c r="C15" s="763">
        <f ca="1">ROUND(C11*F15,0)</f>
        <v>0</v>
      </c>
      <c r="D15" s="758"/>
      <c r="E15" s="763"/>
      <c r="F15" s="764">
        <f>'数据-取费表'!B36</f>
        <v>1.4999999999999999E-2</v>
      </c>
      <c r="G15" s="123" t="s">
        <v>1615</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1616</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1617</v>
      </c>
      <c r="C17" s="21">
        <f ca="1">ROUND(D17*E17/10000,0)</f>
        <v>0</v>
      </c>
      <c r="D17" s="796">
        <f ca="1">D14</f>
        <v>1232.79</v>
      </c>
      <c r="E17" s="21">
        <f>'数据-取费表'!B32</f>
        <v>0</v>
      </c>
      <c r="F17" s="758"/>
      <c r="G17" s="123" t="s">
        <v>1618</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1619</v>
      </c>
      <c r="C18" s="21">
        <f ca="1">C19+C20-IF(C1="",'数据-取费表'!B29,IF(G18="已全部缴纳",C19+C20,H18))</f>
        <v>0</v>
      </c>
      <c r="D18" s="796"/>
      <c r="E18" s="21"/>
      <c r="F18" s="756"/>
      <c r="G18" s="1719"/>
      <c r="H18" s="1105"/>
      <c r="I18" s="1720" t="s">
        <v>1620</v>
      </c>
      <c r="J18" s="759"/>
      <c r="K18" s="760"/>
    </row>
    <row r="19" spans="1:33" s="755" customFormat="1" ht="13.5" customHeight="1">
      <c r="A19" s="752" t="s">
        <v>360</v>
      </c>
      <c r="B19" s="753" t="s">
        <v>1621</v>
      </c>
      <c r="C19" s="21">
        <f ca="1">ROUND(D19*E19/10000,0)</f>
        <v>0</v>
      </c>
      <c r="D19" s="796">
        <f ca="1">IF(C1="",'数据-汇总表'!E5,IF(INDIRECT("'数据-取费表'!c"&amp;$K$1)="住宅",INDIRECT("'数据-取费表'!k"&amp;$K$1),0))</f>
        <v>0</v>
      </c>
      <c r="E19" s="21">
        <f>'数据-取费表'!B27</f>
        <v>160</v>
      </c>
      <c r="F19" s="756"/>
      <c r="G19" s="12"/>
      <c r="H19" s="1107"/>
      <c r="I19" s="761"/>
      <c r="J19" s="761"/>
      <c r="K19" s="762"/>
    </row>
    <row r="20" spans="1:33" s="755" customFormat="1" ht="13.5" customHeight="1">
      <c r="A20" s="752" t="s">
        <v>361</v>
      </c>
      <c r="B20" s="753" t="s">
        <v>1622</v>
      </c>
      <c r="C20" s="21">
        <f ca="1">ROUND(D20*E20/10000,0)</f>
        <v>25</v>
      </c>
      <c r="D20" s="796">
        <f ca="1">IF(C1="",'数据-汇总表'!E6,IF(INDIRECT("'数据-取费表'!c"&amp;$K$1)="住宅",INDIRECT("'数据-取费表'!s"&amp;$K$1),INDIRECT("'数据-取费表'!k"&amp;$K$1)+INDIRECT("'数据-取费表'!s"&amp;$K$1)))</f>
        <v>1232.79</v>
      </c>
      <c r="E20" s="21">
        <f>'数据-取费表'!B28</f>
        <v>200</v>
      </c>
      <c r="F20" s="756"/>
      <c r="G20" s="12"/>
      <c r="H20" s="761"/>
      <c r="I20" s="761"/>
      <c r="J20" s="761"/>
      <c r="K20" s="762"/>
    </row>
    <row r="21" spans="1:33" s="755" customFormat="1" ht="13.5" customHeight="1">
      <c r="A21" s="744" t="s">
        <v>357</v>
      </c>
      <c r="B21" s="765" t="s">
        <v>1623</v>
      </c>
      <c r="C21" s="766">
        <f ca="1">C16+C17+C18</f>
        <v>0</v>
      </c>
      <c r="D21" s="767"/>
      <c r="E21" s="273"/>
      <c r="F21" s="273"/>
      <c r="G21" s="123" t="s">
        <v>1624</v>
      </c>
      <c r="H21" s="759"/>
      <c r="I21" s="759"/>
      <c r="J21" s="759"/>
      <c r="K21" s="760"/>
    </row>
    <row r="22" spans="1:33" s="755" customFormat="1" ht="13.5" customHeight="1">
      <c r="A22" s="744" t="s">
        <v>1596</v>
      </c>
      <c r="B22" s="765" t="s">
        <v>1625</v>
      </c>
      <c r="C22" s="766">
        <f ca="1">ROUND(C21*F22,0)</f>
        <v>0</v>
      </c>
      <c r="D22" s="273"/>
      <c r="E22" s="273"/>
      <c r="F22" s="768">
        <f>'数据-取费表'!B37</f>
        <v>0.03</v>
      </c>
      <c r="G22" s="5" t="s">
        <v>1626</v>
      </c>
      <c r="H22" s="749"/>
      <c r="I22" s="749"/>
      <c r="J22" s="749"/>
      <c r="K22" s="750"/>
    </row>
    <row r="23" spans="1:33" s="755" customFormat="1" ht="13.5" customHeight="1">
      <c r="A23" s="744" t="s">
        <v>1598</v>
      </c>
      <c r="B23" s="765" t="s">
        <v>1627</v>
      </c>
      <c r="C23" s="766">
        <f ca="1">ROUND(C4*F23*F11,0)</f>
        <v>0</v>
      </c>
      <c r="D23" s="273"/>
      <c r="E23" s="273"/>
      <c r="F23" s="768">
        <f>'数据-取费表'!B38</f>
        <v>0.03</v>
      </c>
      <c r="G23" s="5" t="s">
        <v>1628</v>
      </c>
      <c r="H23" s="749"/>
      <c r="I23" s="749"/>
      <c r="J23" s="749"/>
      <c r="K23" s="750"/>
    </row>
    <row r="24" spans="1:33" s="755" customFormat="1" ht="13.5" customHeight="1">
      <c r="A24" s="744" t="s">
        <v>1629</v>
      </c>
      <c r="B24" s="765" t="s">
        <v>1630</v>
      </c>
      <c r="C24" s="272">
        <f>ROUND(F24/(1+'数据-取费表'!C42),4)</f>
        <v>2.9000000000000001E-2</v>
      </c>
      <c r="D24" s="273" t="s">
        <v>12</v>
      </c>
      <c r="E24" s="273"/>
      <c r="F24" s="768">
        <f>IF(项目基本情况!B8="出让",0,'数据-取费表'!B48+'数据-取费表'!B49)</f>
        <v>3.0499999999999999E-2</v>
      </c>
      <c r="G24" s="5" t="s">
        <v>1631</v>
      </c>
      <c r="H24" s="770"/>
      <c r="I24" s="770"/>
      <c r="J24" s="770"/>
      <c r="K24" s="55"/>
    </row>
    <row r="25" spans="1:33" s="755" customFormat="1" ht="13.5" customHeight="1">
      <c r="A25" s="744" t="s">
        <v>1632</v>
      </c>
      <c r="B25" s="767" t="s">
        <v>1633</v>
      </c>
      <c r="C25" s="1043">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1634</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1635</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1636</v>
      </c>
      <c r="B28" s="1722" t="s">
        <v>1637</v>
      </c>
      <c r="C28" s="279">
        <f ca="1">C30</f>
        <v>0</v>
      </c>
      <c r="D28" s="272">
        <f ca="1">C29</f>
        <v>0</v>
      </c>
      <c r="E28" s="274" t="s">
        <v>12</v>
      </c>
      <c r="F28" s="280">
        <f ca="1">IF(C1="",'数据-取费表'!Q16,INDIRECT("'数据-取费表'!q"&amp;$K$1))</f>
        <v>0.18</v>
      </c>
      <c r="G28" s="769"/>
      <c r="H28" s="770"/>
      <c r="I28" s="770"/>
      <c r="J28" s="770"/>
      <c r="K28" s="55"/>
    </row>
    <row r="29" spans="1:33" s="283" customFormat="1" ht="13.5" customHeight="1">
      <c r="A29" s="752" t="s">
        <v>358</v>
      </c>
      <c r="B29" s="773" t="s">
        <v>1638</v>
      </c>
      <c r="C29" s="276">
        <f ca="1">ROUND((1+C24)*F28*'数据-取费表'!B24/'数据-取费表'!B20,4)</f>
        <v>0</v>
      </c>
      <c r="D29" s="276"/>
      <c r="E29" s="277"/>
      <c r="F29" s="282"/>
      <c r="G29" s="123" t="s">
        <v>1639</v>
      </c>
      <c r="H29" s="759"/>
      <c r="I29" s="759"/>
      <c r="J29" s="759"/>
      <c r="K29" s="760"/>
    </row>
    <row r="30" spans="1:33" s="283" customFormat="1" ht="13.5" customHeight="1">
      <c r="A30" s="752" t="s">
        <v>359</v>
      </c>
      <c r="B30" s="773" t="s">
        <v>1640</v>
      </c>
      <c r="C30" s="284">
        <f ca="1">ROUND((C21+C22+C23)*F28,0)</f>
        <v>0</v>
      </c>
      <c r="D30" s="276"/>
      <c r="E30" s="277"/>
      <c r="F30" s="282"/>
      <c r="G30" s="123"/>
      <c r="H30" s="759"/>
      <c r="I30" s="759"/>
      <c r="J30" s="759"/>
      <c r="K30" s="760"/>
    </row>
    <row r="31" spans="1:33" s="755" customFormat="1" ht="13.5" customHeight="1" thickBot="1">
      <c r="A31" s="1723" t="s">
        <v>1641</v>
      </c>
      <c r="B31" s="783" t="s">
        <v>1642</v>
      </c>
      <c r="C31" s="784">
        <f>ROUND(C4*F31/(1+'数据-取费表'!C42),0)</f>
        <v>0</v>
      </c>
      <c r="D31" s="785"/>
      <c r="E31" s="786"/>
      <c r="F31" s="787">
        <f>'数据-取费表'!B41</f>
        <v>5.5000000000000007E-2</v>
      </c>
      <c r="G31" s="788" t="s">
        <v>1643</v>
      </c>
      <c r="H31" s="789"/>
      <c r="I31" s="789"/>
      <c r="J31" s="789"/>
      <c r="K31" s="790"/>
    </row>
    <row r="32" spans="1:33" s="751" customFormat="1" ht="13.5" customHeight="1" thickBot="1">
      <c r="A32" s="449" t="s">
        <v>1644</v>
      </c>
      <c r="B32" s="779"/>
      <c r="C32" s="780">
        <f ca="1">ROUND((C4-C21-C22-C23-C25-C28-C31)/(1+C24+D25+D28),0)</f>
        <v>0</v>
      </c>
      <c r="D32" s="779"/>
      <c r="E32" s="779"/>
      <c r="F32" s="779"/>
      <c r="G32" s="781" t="s">
        <v>1645</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872</v>
      </c>
      <c r="B1" s="663"/>
      <c r="C1" s="1286" t="s">
        <v>3906</v>
      </c>
      <c r="D1" s="1270" t="s">
        <v>43</v>
      </c>
      <c r="E1" s="1271" t="s">
        <v>673</v>
      </c>
      <c r="F1" s="999">
        <f ca="1">J53</f>
        <v>36.119999999999997</v>
      </c>
      <c r="G1" s="1285">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799</v>
      </c>
      <c r="B2" s="1293">
        <f ca="1">C40+J29+L46</f>
        <v>1100</v>
      </c>
      <c r="C2" s="1288" t="s">
        <v>800</v>
      </c>
      <c r="D2" s="1288"/>
      <c r="E2" s="1294"/>
      <c r="F2" s="1295"/>
      <c r="G2" s="2475"/>
      <c r="H2" s="2465"/>
      <c r="I2" s="2465"/>
      <c r="J2" s="2465"/>
      <c r="K2" s="2466"/>
      <c r="L2" s="2465"/>
      <c r="M2" s="2465"/>
    </row>
    <row r="3" spans="1:37" ht="18" customHeight="1" thickBot="1">
      <c r="A3" s="1296" t="s">
        <v>801</v>
      </c>
      <c r="B3" s="1297">
        <f ca="1">IF(ISERROR(B2*10000/F43),0,ROUND(B2*10000/F43,0))</f>
        <v>8923</v>
      </c>
      <c r="C3" s="1288" t="s">
        <v>802</v>
      </c>
      <c r="D3" s="1288"/>
      <c r="E3" s="1294"/>
      <c r="F3" s="1295"/>
      <c r="G3" s="2475"/>
      <c r="H3" s="649" t="s">
        <v>871</v>
      </c>
      <c r="I3" s="1289"/>
      <c r="J3" s="1289"/>
      <c r="K3" s="1290"/>
      <c r="L3" s="1289"/>
      <c r="M3" s="1289"/>
    </row>
    <row r="4" spans="1:37" ht="18" customHeight="1">
      <c r="A4" s="287" t="s">
        <v>682</v>
      </c>
      <c r="B4" s="288" t="s">
        <v>683</v>
      </c>
      <c r="C4" s="288" t="s">
        <v>684</v>
      </c>
      <c r="D4" s="288" t="s">
        <v>685</v>
      </c>
      <c r="E4" s="289" t="s">
        <v>686</v>
      </c>
      <c r="F4" s="290"/>
      <c r="G4" s="1291"/>
      <c r="H4" s="287" t="s">
        <v>682</v>
      </c>
      <c r="I4" s="288" t="s">
        <v>683</v>
      </c>
      <c r="J4" s="288" t="s">
        <v>684</v>
      </c>
      <c r="K4" s="288" t="s">
        <v>685</v>
      </c>
      <c r="L4" s="289" t="s">
        <v>686</v>
      </c>
      <c r="M4" s="290"/>
    </row>
    <row r="5" spans="1:37" ht="18" customHeight="1">
      <c r="A5" s="291">
        <v>1</v>
      </c>
      <c r="B5" s="292" t="s">
        <v>687</v>
      </c>
      <c r="C5" s="1007">
        <f ca="1">C6+C10+C12</f>
        <v>83</v>
      </c>
      <c r="D5" s="1272" t="s">
        <v>688</v>
      </c>
      <c r="E5" s="1008"/>
      <c r="F5" s="1009"/>
      <c r="G5" s="1291"/>
      <c r="H5" s="291">
        <v>1</v>
      </c>
      <c r="I5" s="292" t="s">
        <v>687</v>
      </c>
      <c r="J5" s="1007">
        <f ca="1">J6+J10+J12</f>
        <v>0</v>
      </c>
      <c r="K5" s="1272" t="s">
        <v>688</v>
      </c>
      <c r="L5" s="1008"/>
      <c r="M5" s="1009"/>
    </row>
    <row r="6" spans="1:37" ht="18" customHeight="1">
      <c r="A6" s="1006" t="s">
        <v>398</v>
      </c>
      <c r="B6" s="3397" t="s">
        <v>689</v>
      </c>
      <c r="C6" s="1011">
        <f ca="1">ROUND(F6*F8*F7*(1-F9)/10000,0)</f>
        <v>83</v>
      </c>
      <c r="D6" s="147" t="s">
        <v>2103</v>
      </c>
      <c r="E6" s="294" t="s">
        <v>691</v>
      </c>
      <c r="F6" s="295">
        <f ca="1">INDIRECT("'数据-取费表'!u"&amp;$G$1)</f>
        <v>2.2999999999999998</v>
      </c>
      <c r="G6" s="1291"/>
      <c r="H6" s="1006" t="s">
        <v>398</v>
      </c>
      <c r="I6" s="3397" t="s">
        <v>689</v>
      </c>
      <c r="J6" s="293">
        <f ca="1">ROUND(M6*M8*M7*(1-M9)/10000,0)</f>
        <v>0</v>
      </c>
      <c r="K6" s="147" t="s">
        <v>2102</v>
      </c>
      <c r="L6" s="294" t="s">
        <v>691</v>
      </c>
      <c r="M6" s="295">
        <f ca="1">INDIRECT("'数据-取费表'!z"&amp;$G$1)</f>
        <v>0</v>
      </c>
    </row>
    <row r="7" spans="1:37" ht="18" customHeight="1">
      <c r="A7" s="1010"/>
      <c r="B7" s="3398"/>
      <c r="C7" s="1012"/>
      <c r="D7" s="299"/>
      <c r="E7" s="1013" t="s">
        <v>692</v>
      </c>
      <c r="F7" s="295">
        <f ca="1">IF(INDIRECT("'数据-取费表'!ah"&amp;$G$1)="",INDIRECT("'数据-取费表'!k"&amp;$G$1),INDIRECT("'数据-取费表'!ah"&amp;$G$1))</f>
        <v>1232.79</v>
      </c>
      <c r="G7" s="1291"/>
      <c r="H7" s="296"/>
      <c r="I7" s="3398"/>
      <c r="J7" s="298"/>
      <c r="K7" s="299"/>
      <c r="L7" s="294" t="s">
        <v>692</v>
      </c>
      <c r="M7" s="295">
        <f ca="1">F7</f>
        <v>1232.79</v>
      </c>
    </row>
    <row r="8" spans="1:37" ht="18" customHeight="1">
      <c r="A8" s="296"/>
      <c r="B8" s="3398"/>
      <c r="C8" s="298"/>
      <c r="D8" s="299"/>
      <c r="E8" s="294" t="s">
        <v>693</v>
      </c>
      <c r="F8" s="295">
        <f ca="1">INDIRECT("'数据-取费表'!ai"&amp;$G$1)</f>
        <v>365</v>
      </c>
      <c r="G8" s="1291"/>
      <c r="H8" s="296"/>
      <c r="I8" s="3398"/>
      <c r="J8" s="298"/>
      <c r="K8" s="299"/>
      <c r="L8" s="294" t="s">
        <v>693</v>
      </c>
      <c r="M8" s="295">
        <f ca="1">INDIRECT("'数据-取费表'!ai"&amp;$G$1)</f>
        <v>365</v>
      </c>
    </row>
    <row r="9" spans="1:37" ht="18" customHeight="1">
      <c r="A9" s="296"/>
      <c r="B9" s="3399"/>
      <c r="C9" s="298"/>
      <c r="D9" s="299"/>
      <c r="E9" s="294" t="s">
        <v>694</v>
      </c>
      <c r="F9" s="304">
        <f ca="1">INDIRECT("'数据-取费表'!w"&amp;$G$1)</f>
        <v>0.2</v>
      </c>
      <c r="G9" s="1291"/>
      <c r="H9" s="296"/>
      <c r="I9" s="3399"/>
      <c r="J9" s="298"/>
      <c r="K9" s="299"/>
      <c r="L9" s="305" t="s">
        <v>694</v>
      </c>
      <c r="M9" s="306">
        <f ca="1">INDIRECT("'数据-取费表'!ab"&amp;$G$1)</f>
        <v>0</v>
      </c>
    </row>
    <row r="10" spans="1:37" ht="18" customHeight="1">
      <c r="A10" s="1006" t="s">
        <v>402</v>
      </c>
      <c r="B10" s="1273" t="s">
        <v>695</v>
      </c>
      <c r="C10" s="308">
        <f ca="1">ROUND(IF(F10="押一",C6/12*F11,IF(F10="押二",C6/12*2*F11,IF(F10="押三",C6/12*3*F11,C11*F11))),0)</f>
        <v>0</v>
      </c>
      <c r="D10" s="150" t="s">
        <v>2111</v>
      </c>
      <c r="E10" s="305" t="s">
        <v>696</v>
      </c>
      <c r="F10" s="1053" t="s">
        <v>3829</v>
      </c>
      <c r="G10" s="1291"/>
      <c r="H10" s="1006" t="s">
        <v>402</v>
      </c>
      <c r="I10" s="1273" t="s">
        <v>695</v>
      </c>
      <c r="J10" s="293">
        <f ca="1">ROUND(IF(M10="押一",J6/12*M11,IF(M10="押二",J6/12*2*M11,IF(M10="押三",J6/12*3*M11,J11*M11))),0)</f>
        <v>0</v>
      </c>
      <c r="K10" s="150" t="s">
        <v>2110</v>
      </c>
      <c r="L10" s="305" t="s">
        <v>696</v>
      </c>
      <c r="M10" s="1053"/>
    </row>
    <row r="11" spans="1:37" ht="18" customHeight="1">
      <c r="A11" s="300"/>
      <c r="B11" s="1274" t="s">
        <v>674</v>
      </c>
      <c r="C11" s="905"/>
      <c r="D11" s="1275"/>
      <c r="E11" s="305" t="s">
        <v>697</v>
      </c>
      <c r="F11" s="306">
        <f ca="1">'数据-取费表'!B39</f>
        <v>1.4999999999999999E-2</v>
      </c>
      <c r="G11" s="1291"/>
      <c r="H11" s="1014"/>
      <c r="I11" s="1274" t="s">
        <v>674</v>
      </c>
      <c r="J11" s="905"/>
      <c r="K11" s="646"/>
      <c r="L11" s="305" t="s">
        <v>697</v>
      </c>
      <c r="M11" s="809">
        <f ca="1">'数据-取费表'!B39</f>
        <v>1.4999999999999999E-2</v>
      </c>
    </row>
    <row r="12" spans="1:37" ht="18" customHeight="1" thickBot="1">
      <c r="A12" s="1020" t="s">
        <v>437</v>
      </c>
      <c r="B12" s="1276" t="s">
        <v>698</v>
      </c>
      <c r="C12" s="1021"/>
      <c r="D12" s="1022"/>
      <c r="E12" s="1027"/>
      <c r="F12" s="1023"/>
      <c r="G12" s="1291"/>
      <c r="H12" s="1020" t="s">
        <v>437</v>
      </c>
      <c r="I12" s="1276" t="s">
        <v>698</v>
      </c>
      <c r="J12" s="1021"/>
      <c r="K12" s="1035"/>
      <c r="L12" s="1027"/>
      <c r="M12" s="1036"/>
    </row>
    <row r="13" spans="1:37" ht="18" customHeight="1" thickTop="1">
      <c r="A13" s="1016">
        <v>2</v>
      </c>
      <c r="B13" s="1017" t="s">
        <v>699</v>
      </c>
      <c r="C13" s="302">
        <f ca="1">ROUND(C29*F13,0)</f>
        <v>1549</v>
      </c>
      <c r="D13" s="1018" t="s">
        <v>700</v>
      </c>
      <c r="E13" s="1018" t="s">
        <v>701</v>
      </c>
      <c r="F13" s="1019">
        <f ca="1">INDIRECT("'数据-取费表'!y"&amp;$G$1)</f>
        <v>0.92</v>
      </c>
      <c r="G13" s="1291"/>
      <c r="H13" s="1016">
        <v>2</v>
      </c>
      <c r="I13" s="1017" t="s">
        <v>699</v>
      </c>
      <c r="J13" s="1005">
        <f ca="1">ROUND(J14*J15,0)</f>
        <v>0</v>
      </c>
      <c r="K13" s="1024" t="s">
        <v>700</v>
      </c>
      <c r="L13" s="1298"/>
      <c r="M13" s="1299"/>
    </row>
    <row r="14" spans="1:37" ht="18" customHeight="1">
      <c r="A14" s="928" t="s">
        <v>397</v>
      </c>
      <c r="B14" s="294" t="s">
        <v>702</v>
      </c>
      <c r="C14" s="310">
        <f ca="1">INDIRECT("'数据-取费表'!m"&amp;$G$1)+INDIRECT("'数据-取费表'!t"&amp;$G$1)</f>
        <v>1110</v>
      </c>
      <c r="D14" s="1256" t="s">
        <v>703</v>
      </c>
      <c r="E14" s="1254"/>
      <c r="F14" s="311"/>
      <c r="G14" s="1291"/>
      <c r="H14" s="928" t="s">
        <v>398</v>
      </c>
      <c r="I14" s="294" t="s">
        <v>704</v>
      </c>
      <c r="J14" s="21">
        <f ca="1">C29</f>
        <v>1684</v>
      </c>
      <c r="K14" s="12"/>
      <c r="L14" s="759"/>
      <c r="M14" s="760"/>
    </row>
    <row r="15" spans="1:37" s="1303" customFormat="1" ht="18" customHeight="1" thickBot="1">
      <c r="A15" s="928" t="s">
        <v>399</v>
      </c>
      <c r="B15" s="294" t="s">
        <v>705</v>
      </c>
      <c r="C15" s="21">
        <f ca="1">ROUND(C14*F15,0)</f>
        <v>56</v>
      </c>
      <c r="D15" s="312" t="s">
        <v>706</v>
      </c>
      <c r="E15" s="312" t="s">
        <v>707</v>
      </c>
      <c r="F15" s="313">
        <f>'数据-取费表'!B33</f>
        <v>0.05</v>
      </c>
      <c r="G15" s="1302"/>
      <c r="H15" s="1026" t="s">
        <v>402</v>
      </c>
      <c r="I15" s="1027" t="s">
        <v>701</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675</v>
      </c>
      <c r="B16" s="294" t="s">
        <v>708</v>
      </c>
      <c r="C16" s="21">
        <f ca="1">ROUND(INDIRECT("'数据-取费表'!m"&amp;$G$1)*F16,0)</f>
        <v>0</v>
      </c>
      <c r="D16" s="294" t="s">
        <v>706</v>
      </c>
      <c r="E16" s="294" t="s">
        <v>707</v>
      </c>
      <c r="F16" s="314">
        <f ca="1">IF(INDIRECT("'数据-取费表'!c"&amp;$G$1)="住宅",'数据-取费表'!B34,0)</f>
        <v>0</v>
      </c>
      <c r="G16" s="1291"/>
      <c r="H16" s="1016" t="s">
        <v>393</v>
      </c>
      <c r="I16" s="1017" t="s">
        <v>709</v>
      </c>
      <c r="J16" s="302">
        <f ca="1">ROUND(J17+J22+J23+J24,0)</f>
        <v>9</v>
      </c>
      <c r="K16" s="1024" t="s">
        <v>710</v>
      </c>
      <c r="L16" s="1025"/>
      <c r="M16" s="1009"/>
    </row>
    <row r="17" spans="1:37" s="1303" customFormat="1" ht="18" customHeight="1">
      <c r="A17" s="928" t="s">
        <v>676</v>
      </c>
      <c r="B17" s="294" t="s">
        <v>711</v>
      </c>
      <c r="C17" s="21">
        <f ca="1">ROUND(F17*(F43+INDIRECT("'数据-取费表'!S"&amp;$G$1))/10000,0)</f>
        <v>25</v>
      </c>
      <c r="D17" s="294" t="s">
        <v>712</v>
      </c>
      <c r="E17" s="294" t="s">
        <v>713</v>
      </c>
      <c r="F17" s="23">
        <f>'数据-取费表'!B35</f>
        <v>200</v>
      </c>
      <c r="G17" s="1302"/>
      <c r="H17" s="928" t="s">
        <v>398</v>
      </c>
      <c r="I17" s="294" t="s">
        <v>714</v>
      </c>
      <c r="J17" s="2137">
        <f ca="1">ROUND(IF(AND(项目基本情况!B11="自然人",项目基本情况!B10="北京市"),J6*M17/(1+'数据-取费表'!C42),J18+J19+J20),2)</f>
        <v>0.13</v>
      </c>
      <c r="K17" s="1256" t="s">
        <v>715</v>
      </c>
      <c r="L17" s="1255" t="s">
        <v>716</v>
      </c>
      <c r="M17" s="2136"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677</v>
      </c>
      <c r="B18" s="294" t="s">
        <v>717</v>
      </c>
      <c r="C18" s="21">
        <f ca="1">ROUND(C14*F18,0)</f>
        <v>17</v>
      </c>
      <c r="D18" s="294" t="s">
        <v>706</v>
      </c>
      <c r="E18" s="294" t="s">
        <v>707</v>
      </c>
      <c r="F18" s="314">
        <f>'数据-取费表'!B36</f>
        <v>1.4999999999999999E-2</v>
      </c>
      <c r="G18" s="1302"/>
      <c r="H18" s="928" t="s">
        <v>397</v>
      </c>
      <c r="I18" s="294" t="s">
        <v>718</v>
      </c>
      <c r="J18" s="21">
        <f ca="1">ROUND(J6*M18/(1+'数据-取费表'!C42),2)</f>
        <v>0</v>
      </c>
      <c r="K18" s="1255" t="s">
        <v>719</v>
      </c>
      <c r="L18" s="294" t="s">
        <v>707</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720</v>
      </c>
      <c r="C19" s="21">
        <f ca="1">SUM(C14:C18)</f>
        <v>1208</v>
      </c>
      <c r="D19" s="123" t="s">
        <v>721</v>
      </c>
      <c r="E19" s="1268"/>
      <c r="F19" s="23"/>
      <c r="G19" s="1291"/>
      <c r="H19" s="928" t="s">
        <v>399</v>
      </c>
      <c r="I19" s="294" t="s">
        <v>722</v>
      </c>
      <c r="J19" s="21">
        <f ca="1">IF(K19="按租金收入计税",ROUND(J6*M19/(1+'数据-取费表'!C42),2),ROUND(C29*M19*0.7,2))</f>
        <v>0</v>
      </c>
      <c r="K19" s="1277" t="s">
        <v>3322</v>
      </c>
      <c r="L19" s="294" t="s">
        <v>707</v>
      </c>
      <c r="M19" s="314">
        <f>IF(K19="按租金收入计税",'数据-取费表'!B51,'数据-取费表'!B50)</f>
        <v>0.12</v>
      </c>
    </row>
    <row r="20" spans="1:37" s="1303" customFormat="1" ht="18" customHeight="1">
      <c r="A20" s="928" t="s">
        <v>402</v>
      </c>
      <c r="B20" s="294" t="s">
        <v>723</v>
      </c>
      <c r="C20" s="21">
        <f ca="1">ROUND(C19*F20,0)</f>
        <v>36</v>
      </c>
      <c r="D20" s="315" t="s">
        <v>724</v>
      </c>
      <c r="E20" s="294" t="s">
        <v>707</v>
      </c>
      <c r="F20" s="314">
        <f>'数据-取费表'!B37</f>
        <v>0.03</v>
      </c>
      <c r="G20" s="1302"/>
      <c r="H20" s="928" t="s">
        <v>675</v>
      </c>
      <c r="I20" s="147" t="s">
        <v>725</v>
      </c>
      <c r="J20" s="22">
        <f ca="1">ROUND(M20*M21/10000,2)</f>
        <v>0.13</v>
      </c>
      <c r="K20" s="316" t="s">
        <v>726</v>
      </c>
      <c r="L20" s="294" t="s">
        <v>727</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728</v>
      </c>
      <c r="C21" s="21" t="s">
        <v>15</v>
      </c>
      <c r="D21" s="315" t="s">
        <v>729</v>
      </c>
      <c r="E21" s="294" t="s">
        <v>730</v>
      </c>
      <c r="F21" s="314">
        <f>'数据-取费表'!B38</f>
        <v>0.03</v>
      </c>
      <c r="G21" s="1302"/>
      <c r="H21" s="318"/>
      <c r="I21" s="303"/>
      <c r="J21" s="26"/>
      <c r="K21" s="319"/>
      <c r="L21" s="294" t="s">
        <v>731</v>
      </c>
      <c r="M21" s="295">
        <f ca="1">INDIRECT("'数据-取费表'!r"&amp;$G$1)</f>
        <v>891.05</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678</v>
      </c>
      <c r="B22" s="294" t="s">
        <v>732</v>
      </c>
      <c r="C22" s="21"/>
      <c r="D22" s="123" t="str">
        <f>IF(F23&lt;=1,"单利计息。","复利计息。")&amp;"建造成本、管理费用、销售费用产生的利息。"</f>
        <v>复利计息。建造成本、管理费用、销售费用产生的利息。</v>
      </c>
      <c r="E22" s="1268"/>
      <c r="F22" s="23"/>
      <c r="G22" s="1291"/>
      <c r="H22" s="928" t="s">
        <v>402</v>
      </c>
      <c r="I22" s="294" t="s">
        <v>733</v>
      </c>
      <c r="J22" s="21">
        <f ca="1">ROUND(J14*M22,2)</f>
        <v>8.42</v>
      </c>
      <c r="K22" s="1255" t="s">
        <v>734</v>
      </c>
      <c r="L22" s="294" t="s">
        <v>707</v>
      </c>
      <c r="M22" s="320">
        <f ca="1">INDIRECT("'数据-取费表'!Ak"&amp;$G$1)</f>
        <v>5.0000000000000001E-3</v>
      </c>
    </row>
    <row r="23" spans="1:37" s="1303" customFormat="1" ht="18" customHeight="1">
      <c r="A23" s="928" t="s">
        <v>397</v>
      </c>
      <c r="B23" s="294" t="s">
        <v>735</v>
      </c>
      <c r="C23" s="21">
        <f ca="1">IF('数据-取费表'!B22&lt;=1,ROUND(C19*F24*F23/2,0)+ROUND(C20*F24*F23/2,0),ROUND(C19*(POWER((1+F24),F23/2)-1),0)+ROUND(C20*(POWER((1+F24),F23/2)-1),0))</f>
        <v>65</v>
      </c>
      <c r="D23" s="138" t="str">
        <f>IF(F23&lt;=1,"(建造成本+管理费用)×利率×(建设周期÷2)","(建造成本+管理费用)×((1+利率)^(建设周期÷2)-1)")</f>
        <v>(建造成本+管理费用)×((1+利率)^(建设周期÷2)-1)</v>
      </c>
      <c r="E23" s="294" t="s">
        <v>736</v>
      </c>
      <c r="F23" s="317">
        <f>'数据-取费表'!B20</f>
        <v>3</v>
      </c>
      <c r="G23" s="1302"/>
      <c r="H23" s="928" t="s">
        <v>437</v>
      </c>
      <c r="I23" s="294" t="s">
        <v>737</v>
      </c>
      <c r="J23" s="21">
        <f ca="1">ROUND(J13*M23,2)</f>
        <v>0</v>
      </c>
      <c r="K23" s="1255" t="s">
        <v>738</v>
      </c>
      <c r="L23" s="294" t="s">
        <v>739</v>
      </c>
      <c r="M23" s="321">
        <f ca="1">INDIRECT("'数据-取费表'!Al"&amp;$G$1)</f>
        <v>2E-3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740</v>
      </c>
      <c r="B24" s="294" t="s">
        <v>741</v>
      </c>
      <c r="C24" s="21">
        <f ca="1">ROUND(IF('数据-取费表'!B22&lt;=1,F21*F24*F23/2,F21*(POWER((1+F24),F23/2)-1)),4)</f>
        <v>1.6000000000000001E-3</v>
      </c>
      <c r="D24" s="138" t="str">
        <f>IF(F23&lt;=1,"销售费用×利率×(建设周期÷2)","销售费用×((1+利率)^(建设周期÷2)-1)")</f>
        <v>销售费用×((1+利率)^(建设周期÷2)-1)</v>
      </c>
      <c r="E24" s="294" t="s">
        <v>742</v>
      </c>
      <c r="F24" s="322">
        <f ca="1">'数据-取费表'!B40</f>
        <v>3.4500000000000003E-2</v>
      </c>
      <c r="G24" s="1302"/>
      <c r="H24" s="1026" t="s">
        <v>679</v>
      </c>
      <c r="I24" s="1027" t="s">
        <v>723</v>
      </c>
      <c r="J24" s="1028">
        <f ca="1">ROUND(J5*M24,2)</f>
        <v>0</v>
      </c>
      <c r="K24" s="1029" t="s">
        <v>743</v>
      </c>
      <c r="L24" s="1027" t="s">
        <v>739</v>
      </c>
      <c r="M24" s="1023">
        <f ca="1">INDIRECT("'数据-取费表'!Am"&amp;$G$1)</f>
        <v>0.02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744</v>
      </c>
      <c r="B25" s="294" t="s">
        <v>745</v>
      </c>
      <c r="C25" s="21"/>
      <c r="D25" s="123" t="s">
        <v>746</v>
      </c>
      <c r="E25" s="1268"/>
      <c r="F25" s="23"/>
      <c r="G25" s="1291"/>
      <c r="H25" s="1016" t="s">
        <v>394</v>
      </c>
      <c r="I25" s="1031" t="s">
        <v>747</v>
      </c>
      <c r="J25" s="302">
        <f ca="1">J5-J16</f>
        <v>-9</v>
      </c>
      <c r="K25" s="1032" t="s">
        <v>748</v>
      </c>
      <c r="L25" s="1033"/>
      <c r="M25" s="1034"/>
    </row>
    <row r="26" spans="1:37">
      <c r="A26" s="928" t="s">
        <v>397</v>
      </c>
      <c r="B26" s="294" t="s">
        <v>749</v>
      </c>
      <c r="C26" s="21">
        <f ca="1">ROUND((C19+C20)*F26,0)</f>
        <v>224</v>
      </c>
      <c r="D26" s="315" t="s">
        <v>750</v>
      </c>
      <c r="E26" s="305" t="s">
        <v>751</v>
      </c>
      <c r="F26" s="304">
        <f ca="1">INDIRECT("'数据-取费表'!q"&amp;$G$1)</f>
        <v>0.18</v>
      </c>
      <c r="G26" s="1291"/>
      <c r="H26" s="291" t="s">
        <v>395</v>
      </c>
      <c r="I26" s="292" t="s">
        <v>752</v>
      </c>
      <c r="J26" s="293">
        <f ca="1">IF(J5&lt;&gt;0,ROUND(J25*(1-((1+M28)/(1+M26))^M27)/(M26-M28),0),0)</f>
        <v>0</v>
      </c>
      <c r="K26" s="316" t="s">
        <v>753</v>
      </c>
      <c r="L26" s="294" t="s">
        <v>754</v>
      </c>
      <c r="M26" s="304">
        <f ca="1">INDIRECT("'数据-取费表'!I"&amp;$G$1)</f>
        <v>0.06</v>
      </c>
    </row>
    <row r="27" spans="1:37" ht="18" customHeight="1">
      <c r="A27" s="928" t="s">
        <v>399</v>
      </c>
      <c r="B27" s="294" t="s">
        <v>755</v>
      </c>
      <c r="C27" s="21">
        <f ca="1">ROUND(F21*F26,4)</f>
        <v>5.4000000000000003E-3</v>
      </c>
      <c r="D27" s="315" t="s">
        <v>756</v>
      </c>
      <c r="E27" s="312"/>
      <c r="F27" s="313"/>
      <c r="G27" s="1291"/>
      <c r="H27" s="296"/>
      <c r="I27" s="297"/>
      <c r="J27" s="298"/>
      <c r="K27" s="323" t="s">
        <v>757</v>
      </c>
      <c r="L27" s="294" t="s">
        <v>758</v>
      </c>
      <c r="M27" s="324">
        <f ca="1">INDIRECT("'数据-取费表'!ag"&amp;$G$1)</f>
        <v>0</v>
      </c>
    </row>
    <row r="28" spans="1:37" s="1303" customFormat="1" ht="18" customHeight="1">
      <c r="A28" s="928" t="s">
        <v>400</v>
      </c>
      <c r="B28" s="294" t="s">
        <v>759</v>
      </c>
      <c r="C28" s="21">
        <f>ROUND(F28/(1+'数据-取费表'!C42),4)</f>
        <v>5.2400000000000002E-2</v>
      </c>
      <c r="D28" s="315" t="s">
        <v>760</v>
      </c>
      <c r="E28" s="294" t="s">
        <v>707</v>
      </c>
      <c r="F28" s="314">
        <f>'数据-取费表'!B41</f>
        <v>5.5000000000000007E-2</v>
      </c>
      <c r="G28" s="1302"/>
      <c r="H28" s="300"/>
      <c r="I28" s="301"/>
      <c r="J28" s="302"/>
      <c r="K28" s="319"/>
      <c r="L28" s="294" t="s">
        <v>761</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762</v>
      </c>
      <c r="C29" s="1028">
        <f ca="1">ROUND((C19+C20+C23+C26)/(1-F21-C24-C27-C28),0)</f>
        <v>1684</v>
      </c>
      <c r="D29" s="1029"/>
      <c r="E29" s="1027"/>
      <c r="F29" s="1030"/>
      <c r="G29" s="1302"/>
      <c r="H29" s="325" t="s">
        <v>396</v>
      </c>
      <c r="I29" s="326" t="s">
        <v>763</v>
      </c>
      <c r="J29" s="327">
        <f ca="1">ROUND(J26/(1+F40)^F41,0)</f>
        <v>0</v>
      </c>
      <c r="K29" s="328" t="s">
        <v>764</v>
      </c>
      <c r="L29" s="329"/>
      <c r="M29" s="330">
        <f ca="1">INDIRECT("'数据-取费表'!k"&amp;$G$1)</f>
        <v>1232.79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709</v>
      </c>
      <c r="C30" s="302">
        <f ca="1">ROUND(C31+C36+C37+C38,0)</f>
        <v>27</v>
      </c>
      <c r="D30" s="1024" t="s">
        <v>710</v>
      </c>
      <c r="E30" s="1025"/>
      <c r="F30" s="1009"/>
      <c r="G30" s="1291"/>
      <c r="H30" s="2467"/>
      <c r="I30" s="1304"/>
      <c r="J30" s="1305"/>
      <c r="K30" s="121"/>
      <c r="L30" s="2468"/>
      <c r="M30" s="2469"/>
    </row>
    <row r="31" spans="1:37" ht="18" customHeight="1">
      <c r="A31" s="928" t="s">
        <v>398</v>
      </c>
      <c r="B31" s="294" t="s">
        <v>714</v>
      </c>
      <c r="C31" s="2137">
        <f ca="1">ROUND(IF(AND(项目基本情况!B11="自然人",项目基本情况!B10="北京市"),C6*F31/(1+'数据-取费表'!C42),C32+C33+C34),2)</f>
        <v>13.97</v>
      </c>
      <c r="D31" s="1256" t="s">
        <v>715</v>
      </c>
      <c r="E31" s="1255" t="s">
        <v>765</v>
      </c>
      <c r="F31" s="2136" t="str">
        <f>IF(项目基本情况!B11="企业","——",IF(M47="住宅",IF(F6*F7*F8/12/(1+'数据-取费表'!F30)&gt;100000,4%,2.5%),IF(F6*F7*F8/12/(1+'数据-取费表'!F30)&gt;100000,12%,7%)))</f>
        <v>——</v>
      </c>
      <c r="G31" s="1291"/>
      <c r="H31" s="2566" t="s">
        <v>2293</v>
      </c>
      <c r="I31" s="1304"/>
      <c r="J31" s="1305"/>
      <c r="K31" s="121"/>
      <c r="L31" s="2468"/>
      <c r="M31" s="2469"/>
    </row>
    <row r="32" spans="1:37" ht="18" customHeight="1">
      <c r="A32" s="928" t="s">
        <v>397</v>
      </c>
      <c r="B32" s="294" t="s">
        <v>718</v>
      </c>
      <c r="C32" s="21">
        <f ca="1">IF(项目基本情况!B11="自然人","——",ROUND(C6*F32/(1+'数据-取费表'!C42),2))</f>
        <v>4.3499999999999996</v>
      </c>
      <c r="D32" s="1255" t="s">
        <v>719</v>
      </c>
      <c r="E32" s="294" t="s">
        <v>707</v>
      </c>
      <c r="F32" s="322">
        <f>'数据-取费表'!B41</f>
        <v>5.5000000000000007E-2</v>
      </c>
      <c r="G32" s="1291"/>
      <c r="H32" s="2467"/>
      <c r="I32" s="1304"/>
      <c r="J32" s="1305"/>
      <c r="K32" s="121"/>
      <c r="L32" s="2468"/>
      <c r="M32" s="2469"/>
    </row>
    <row r="33" spans="1:18" ht="18" customHeight="1">
      <c r="A33" s="928" t="s">
        <v>399</v>
      </c>
      <c r="B33" s="294" t="s">
        <v>722</v>
      </c>
      <c r="C33" s="21">
        <f ca="1">IF(项目基本情况!B11="自然人","——",IF(D33="按租金收入计税",ROUND(C6*F33/(1+'数据-取费表'!C42),2),IF(D33="按房产原值计税",ROUND(C29*F33*0.7,2),INDIRECT("'数据-取费表'!Aj"&amp;$G$1))))</f>
        <v>9.49</v>
      </c>
      <c r="D33" s="1277" t="s">
        <v>3322</v>
      </c>
      <c r="E33" s="294" t="s">
        <v>707</v>
      </c>
      <c r="F33" s="314">
        <f>IF(D33="按票据","——",IF(D33="按租金收入计税",'数据-取费表'!B51,'数据-取费表'!B50))</f>
        <v>0.12</v>
      </c>
      <c r="G33" s="1291"/>
      <c r="H33" s="2470"/>
      <c r="I33" s="1304"/>
      <c r="J33" s="1305"/>
      <c r="K33" s="2471"/>
      <c r="L33" s="2470"/>
      <c r="M33" s="2470"/>
    </row>
    <row r="34" spans="1:18" ht="18" customHeight="1">
      <c r="A34" s="1006" t="s">
        <v>675</v>
      </c>
      <c r="B34" s="147" t="s">
        <v>725</v>
      </c>
      <c r="C34" s="22">
        <f ca="1">IF(项目基本情况!B11="自然人","——",ROUND(F34*F35/10000,2))</f>
        <v>0.13</v>
      </c>
      <c r="D34" s="316" t="s">
        <v>726</v>
      </c>
      <c r="E34" s="294" t="s">
        <v>727</v>
      </c>
      <c r="F34" s="317">
        <f>'数据-取费表'!B52</f>
        <v>1.5</v>
      </c>
      <c r="G34" s="1291"/>
      <c r="H34" s="2467"/>
      <c r="I34" s="1304"/>
      <c r="J34" s="1305"/>
      <c r="K34" s="2472"/>
      <c r="L34" s="2473"/>
      <c r="M34" s="2473"/>
    </row>
    <row r="35" spans="1:18" ht="18" customHeight="1">
      <c r="A35" s="1040"/>
      <c r="B35" s="1038"/>
      <c r="C35" s="26"/>
      <c r="D35" s="319"/>
      <c r="E35" s="294" t="s">
        <v>731</v>
      </c>
      <c r="F35" s="295">
        <f ca="1">INDIRECT("'数据-取费表'!r"&amp;$G$1)</f>
        <v>891.05</v>
      </c>
      <c r="G35" s="1291"/>
      <c r="H35" s="2467"/>
      <c r="I35" s="1304"/>
      <c r="J35" s="1305"/>
      <c r="K35" s="2471"/>
      <c r="L35" s="2470"/>
      <c r="M35" s="2470"/>
    </row>
    <row r="36" spans="1:18" ht="18" customHeight="1">
      <c r="A36" s="1039" t="s">
        <v>402</v>
      </c>
      <c r="B36" s="294" t="s">
        <v>733</v>
      </c>
      <c r="C36" s="21">
        <f ca="1">ROUND(C29*F36,2)</f>
        <v>8.42</v>
      </c>
      <c r="D36" s="1255" t="s">
        <v>766</v>
      </c>
      <c r="E36" s="294" t="s">
        <v>707</v>
      </c>
      <c r="F36" s="320">
        <f ca="1">INDIRECT("'数据-取费表'!Ak"&amp;$G$1)</f>
        <v>5.0000000000000001E-3</v>
      </c>
      <c r="G36" s="1291"/>
      <c r="H36" s="2470"/>
      <c r="I36" s="1304"/>
      <c r="J36" s="1305"/>
      <c r="K36" s="2327"/>
      <c r="L36" s="2470"/>
      <c r="M36" s="2470"/>
    </row>
    <row r="37" spans="1:18" ht="18" customHeight="1">
      <c r="A37" s="928" t="s">
        <v>437</v>
      </c>
      <c r="B37" s="294" t="s">
        <v>737</v>
      </c>
      <c r="C37" s="21">
        <f ca="1">ROUND(C13*F37,2)</f>
        <v>3.1</v>
      </c>
      <c r="D37" s="1255" t="s">
        <v>738</v>
      </c>
      <c r="E37" s="294" t="s">
        <v>739</v>
      </c>
      <c r="F37" s="321">
        <f ca="1">INDIRECT("'数据-取费表'!Al"&amp;$G$1)</f>
        <v>2E-3</v>
      </c>
      <c r="G37" s="1291"/>
      <c r="H37" s="2470"/>
      <c r="I37" s="1304"/>
      <c r="J37" s="1305"/>
      <c r="K37" s="2327"/>
      <c r="L37" s="2470"/>
      <c r="M37" s="2470"/>
    </row>
    <row r="38" spans="1:18" ht="18" customHeight="1" thickBot="1">
      <c r="A38" s="1026" t="s">
        <v>679</v>
      </c>
      <c r="B38" s="1027" t="s">
        <v>723</v>
      </c>
      <c r="C38" s="1028">
        <f ca="1">ROUND(C5*F38,2)</f>
        <v>1.66</v>
      </c>
      <c r="D38" s="1029" t="s">
        <v>743</v>
      </c>
      <c r="E38" s="1027" t="s">
        <v>739</v>
      </c>
      <c r="F38" s="1023">
        <f ca="1">INDIRECT("'数据-取费表'!Am"&amp;$G$1)</f>
        <v>0.02</v>
      </c>
      <c r="G38" s="1291"/>
      <c r="H38" s="2470"/>
      <c r="I38" s="1304"/>
      <c r="J38" s="1305"/>
      <c r="K38" s="2468"/>
      <c r="L38" s="2470"/>
      <c r="M38" s="2470"/>
    </row>
    <row r="39" spans="1:18" ht="24.6" customHeight="1" thickTop="1">
      <c r="A39" s="1016" t="s">
        <v>394</v>
      </c>
      <c r="B39" s="1031" t="s">
        <v>767</v>
      </c>
      <c r="C39" s="302">
        <f ca="1">C5-C30</f>
        <v>56</v>
      </c>
      <c r="D39" s="1032" t="s">
        <v>768</v>
      </c>
      <c r="E39" s="1033"/>
      <c r="F39" s="1034"/>
      <c r="G39" s="1291"/>
      <c r="H39" s="2470"/>
      <c r="I39" s="1304">
        <f ca="1">C30/C6</f>
        <v>0.3253012048192771</v>
      </c>
      <c r="J39" s="1305"/>
      <c r="K39" s="2468"/>
      <c r="L39" s="2470"/>
      <c r="M39" s="2470"/>
    </row>
    <row r="40" spans="1:18" ht="18" customHeight="1">
      <c r="A40" s="291" t="s">
        <v>395</v>
      </c>
      <c r="B40" s="292" t="s">
        <v>769</v>
      </c>
      <c r="C40" s="293">
        <f ca="1">ROUND(C39*(1-((1+F42)/(1+F40))^F41)/(F40-F42),0)</f>
        <v>1051</v>
      </c>
      <c r="D40" s="316" t="s">
        <v>753</v>
      </c>
      <c r="E40" s="294" t="s">
        <v>754</v>
      </c>
      <c r="F40" s="304">
        <f ca="1">INDIRECT("'数据-取费表'!I"&amp;$G$1)</f>
        <v>0.06</v>
      </c>
      <c r="G40" s="1291"/>
      <c r="H40" s="1365"/>
      <c r="I40" s="1304">
        <f ca="1">1-I39</f>
        <v>0.67469879518072284</v>
      </c>
      <c r="J40" s="1305"/>
      <c r="K40" s="2468"/>
      <c r="L40" s="1365"/>
      <c r="M40" s="1365"/>
    </row>
    <row r="41" spans="1:18" ht="18" customHeight="1">
      <c r="A41" s="296"/>
      <c r="B41" s="297"/>
      <c r="C41" s="298"/>
      <c r="D41" s="323" t="s">
        <v>770</v>
      </c>
      <c r="E41" s="294" t="s">
        <v>758</v>
      </c>
      <c r="F41" s="324">
        <f ca="1">IF(INDIRECT("'数据-取费表'!af"&amp;$G$1)=0,INDIRECT("'数据-取费表'!ae"&amp;$G$1),INDIRECT("'数据-取费表'!af"&amp;$G$1))</f>
        <v>36.119999999999997</v>
      </c>
      <c r="G41" s="1291"/>
      <c r="H41" s="121"/>
      <c r="I41" s="1304"/>
      <c r="J41" s="1305"/>
      <c r="K41" s="2327"/>
      <c r="L41" s="121"/>
      <c r="M41" s="121"/>
    </row>
    <row r="42" spans="1:18" ht="18" customHeight="1">
      <c r="A42" s="300"/>
      <c r="B42" s="301"/>
      <c r="C42" s="302"/>
      <c r="D42" s="319"/>
      <c r="E42" s="294" t="s">
        <v>761</v>
      </c>
      <c r="F42" s="304">
        <f ca="1">INDIRECT("'数据-取费表'!v"&amp;$G$1)</f>
        <v>0.02</v>
      </c>
      <c r="G42" s="1291"/>
      <c r="H42" s="121"/>
      <c r="I42" s="1304"/>
      <c r="J42" s="1305"/>
      <c r="K42" s="2327"/>
      <c r="L42" s="121"/>
      <c r="M42" s="121"/>
    </row>
    <row r="43" spans="1:18" ht="18" customHeight="1" thickBot="1">
      <c r="A43" s="325" t="s">
        <v>396</v>
      </c>
      <c r="B43" s="326" t="s">
        <v>771</v>
      </c>
      <c r="C43" s="327">
        <f ca="1">ROUND(C40*10000/F43,0)</f>
        <v>8525</v>
      </c>
      <c r="D43" s="328" t="s">
        <v>772</v>
      </c>
      <c r="E43" s="329" t="s">
        <v>773</v>
      </c>
      <c r="F43" s="330">
        <f ca="1">INDIRECT("'数据-取费表'!k"&amp;$G$1)</f>
        <v>1232.79</v>
      </c>
      <c r="G43" s="1291"/>
      <c r="H43" s="121"/>
      <c r="I43" s="121"/>
      <c r="J43" s="121"/>
      <c r="K43" s="2327"/>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4" t="s">
        <v>803</v>
      </c>
      <c r="P45" s="1365"/>
      <c r="Q45" s="1365"/>
      <c r="R45" s="1365"/>
    </row>
    <row r="46" spans="1:18" s="1291" customFormat="1" ht="13.5" thickBot="1">
      <c r="A46" s="1310" t="s">
        <v>804</v>
      </c>
      <c r="C46" s="1311">
        <f ca="1">C68-C40</f>
        <v>-1227</v>
      </c>
      <c r="D46" s="1312" t="str">
        <f>C2</f>
        <v>万元</v>
      </c>
      <c r="E46" s="1306"/>
      <c r="F46" s="1306"/>
      <c r="I46" s="1313" t="s">
        <v>805</v>
      </c>
      <c r="J46" s="1314"/>
      <c r="K46" s="1315"/>
      <c r="L46" s="1316">
        <f ca="1">IF(M47="住宅",0,IF(L48&gt;J51,L60,J60))</f>
        <v>49</v>
      </c>
      <c r="O46" s="1317" t="s">
        <v>806</v>
      </c>
      <c r="P46" s="1318" t="s">
        <v>807</v>
      </c>
      <c r="Q46" s="1319" t="s">
        <v>808</v>
      </c>
      <c r="R46" s="1319" t="s">
        <v>809</v>
      </c>
    </row>
    <row r="47" spans="1:18" s="1291" customFormat="1" ht="13.5" thickBot="1">
      <c r="A47" s="892" t="s">
        <v>682</v>
      </c>
      <c r="B47" s="924" t="s">
        <v>683</v>
      </c>
      <c r="C47" s="1054" t="s">
        <v>684</v>
      </c>
      <c r="D47" s="924" t="s">
        <v>685</v>
      </c>
      <c r="E47" s="995" t="s">
        <v>686</v>
      </c>
      <c r="F47" s="996"/>
      <c r="G47" s="681"/>
      <c r="I47" s="1320" t="s">
        <v>810</v>
      </c>
      <c r="J47" s="1321" t="s">
        <v>3827</v>
      </c>
      <c r="K47" s="1322" t="s">
        <v>811</v>
      </c>
      <c r="L47" s="1323">
        <f ca="1">INDIRECT("'数据-取费表'!d"&amp;$G$1)</f>
        <v>50</v>
      </c>
      <c r="M47" s="1287" t="str">
        <f>IF(ISNUMBER(FIND("住宅",C1)),"住宅","非住宅")</f>
        <v>非住宅</v>
      </c>
      <c r="O47" s="1324" t="s">
        <v>403</v>
      </c>
      <c r="P47" s="1325" t="s">
        <v>812</v>
      </c>
      <c r="Q47" s="1326">
        <f ca="1">C40+J29</f>
        <v>1051</v>
      </c>
      <c r="R47" s="1326" t="s">
        <v>813</v>
      </c>
    </row>
    <row r="48" spans="1:18" s="1291" customFormat="1" ht="28.5" thickBot="1">
      <c r="A48" s="1047" t="s">
        <v>438</v>
      </c>
      <c r="B48" s="292" t="s">
        <v>687</v>
      </c>
      <c r="C48" s="1267">
        <f ca="1">C49+C53+C55</f>
        <v>0</v>
      </c>
      <c r="D48" s="1049"/>
      <c r="E48" s="1050"/>
      <c r="F48" s="908"/>
      <c r="G48" s="681"/>
      <c r="H48" s="682"/>
      <c r="I48" s="1327" t="s">
        <v>814</v>
      </c>
      <c r="J48" s="1328" t="s">
        <v>3828</v>
      </c>
      <c r="K48" s="1329" t="s">
        <v>815</v>
      </c>
      <c r="L48" s="1330">
        <f ca="1">INDIRECT("'数据-取费表'!f"&amp;$G$1)</f>
        <v>36.119999999999997</v>
      </c>
      <c r="O48" s="1324" t="s">
        <v>404</v>
      </c>
      <c r="P48" s="1325" t="s">
        <v>816</v>
      </c>
      <c r="Q48" s="1326">
        <f ca="1">J60</f>
        <v>49</v>
      </c>
      <c r="R48" s="1326" t="s">
        <v>817</v>
      </c>
    </row>
    <row r="49" spans="1:18" s="1291" customFormat="1" ht="13.5" thickBot="1">
      <c r="A49" s="921" t="s">
        <v>439</v>
      </c>
      <c r="B49" s="1278" t="s">
        <v>774</v>
      </c>
      <c r="C49" s="1051">
        <f ca="1">ROUND(F49*F51*F50*(1-F52)/10000,0)</f>
        <v>0</v>
      </c>
      <c r="D49" s="992" t="s">
        <v>2104</v>
      </c>
      <c r="E49" s="1279" t="s">
        <v>775</v>
      </c>
      <c r="F49" s="997"/>
      <c r="H49" s="682"/>
      <c r="I49" s="1327" t="s">
        <v>818</v>
      </c>
      <c r="J49" s="1331">
        <v>2019</v>
      </c>
      <c r="K49" s="1329" t="s">
        <v>819</v>
      </c>
      <c r="L49" s="1332"/>
      <c r="O49" s="1333" t="s">
        <v>405</v>
      </c>
      <c r="P49" s="1325" t="s">
        <v>820</v>
      </c>
      <c r="Q49" s="1326">
        <f ca="1">C29</f>
        <v>1684</v>
      </c>
      <c r="R49" s="1326" t="s">
        <v>813</v>
      </c>
    </row>
    <row r="50" spans="1:18" s="1291" customFormat="1" ht="13.5" thickBot="1">
      <c r="A50" s="922"/>
      <c r="B50" s="925"/>
      <c r="C50" s="1055"/>
      <c r="D50" s="899"/>
      <c r="E50" s="993" t="s">
        <v>692</v>
      </c>
      <c r="F50" s="994">
        <f ca="1">F7</f>
        <v>1232.79</v>
      </c>
      <c r="H50" s="682"/>
      <c r="I50" s="1327" t="s">
        <v>821</v>
      </c>
      <c r="J50" s="1334">
        <f>SUMPRODUCT((I63:I65=J47)*(J62:L62=J48)*(J63:L65))</f>
        <v>60</v>
      </c>
      <c r="K50" s="1329" t="s">
        <v>822</v>
      </c>
      <c r="L50" s="1332"/>
      <c r="M50" s="1335"/>
      <c r="O50" s="1333" t="s">
        <v>406</v>
      </c>
      <c r="P50" s="1325" t="s">
        <v>823</v>
      </c>
      <c r="Q50" s="1336">
        <f ca="1">J58</f>
        <v>0.4</v>
      </c>
      <c r="R50" s="1326"/>
    </row>
    <row r="51" spans="1:18" s="1291" customFormat="1" ht="13.5" thickBot="1">
      <c r="A51" s="923"/>
      <c r="B51" s="925"/>
      <c r="C51" s="926"/>
      <c r="D51" s="899"/>
      <c r="E51" s="927" t="s">
        <v>693</v>
      </c>
      <c r="F51" s="295">
        <f ca="1">F8</f>
        <v>365</v>
      </c>
      <c r="I51" s="1337" t="s">
        <v>824</v>
      </c>
      <c r="J51" s="1330">
        <f>IF(J49="",J50,J49+J50-YEAR('数据-取费表'!B2))</f>
        <v>55</v>
      </c>
      <c r="K51" s="1338" t="s">
        <v>825</v>
      </c>
      <c r="L51" s="1339">
        <f ca="1">ROUND(-PV(INDIRECT("'数据-取费表'!h"&amp;$G$1),J51,(C39-C13*C76),0),0)</f>
        <v>-1037</v>
      </c>
      <c r="M51" s="1340"/>
      <c r="O51" s="1333" t="s">
        <v>407</v>
      </c>
      <c r="P51" s="1325" t="s">
        <v>826</v>
      </c>
      <c r="Q51" s="1336">
        <f>J52</f>
        <v>7.4999999999999997E-2</v>
      </c>
      <c r="R51" s="1326"/>
    </row>
    <row r="52" spans="1:18" s="1291" customFormat="1" ht="13.5" thickBot="1">
      <c r="A52" s="923"/>
      <c r="B52" s="925"/>
      <c r="C52" s="926"/>
      <c r="D52" s="899"/>
      <c r="E52" s="927" t="s">
        <v>694</v>
      </c>
      <c r="F52" s="991"/>
      <c r="I52" s="1341" t="s">
        <v>827</v>
      </c>
      <c r="J52" s="1342">
        <v>7.4999999999999997E-2</v>
      </c>
      <c r="K52" s="1341" t="s">
        <v>828</v>
      </c>
      <c r="L52" s="1342"/>
      <c r="O52" s="1333" t="s">
        <v>408</v>
      </c>
      <c r="P52" s="1325" t="s">
        <v>829</v>
      </c>
      <c r="Q52" s="1326">
        <f ca="1">J53</f>
        <v>36.119999999999997</v>
      </c>
      <c r="R52" s="1326" t="s">
        <v>830</v>
      </c>
    </row>
    <row r="53" spans="1:18" s="1291" customFormat="1" ht="24.75" thickBot="1">
      <c r="A53" s="1079" t="s">
        <v>440</v>
      </c>
      <c r="B53" s="1280" t="s">
        <v>695</v>
      </c>
      <c r="C53" s="308">
        <f ca="1">ROUND(IF(F53="押一",C49/12*F11,IF(F53="押二",C49/12*2*F11,IF(F53="押三",C49/12*3*F11,C54*F11))),0)</f>
        <v>0</v>
      </c>
      <c r="D53" s="150" t="s">
        <v>2110</v>
      </c>
      <c r="E53" s="305" t="s">
        <v>696</v>
      </c>
      <c r="F53" s="1053"/>
      <c r="I53" s="1343" t="s">
        <v>831</v>
      </c>
      <c r="J53" s="2003">
        <f ca="1">IF(M47="住宅",IF(D1="——",MAX(J51,L48),MAX(J51,L48-'数据-取费表'!B24)),IF(D1="——",MIN(J51,L48),MIN(J51,L48-'数据-取费表'!B24)))</f>
        <v>36.119999999999997</v>
      </c>
      <c r="K53" s="3395" t="s">
        <v>832</v>
      </c>
      <c r="L53" s="3396"/>
      <c r="O53" s="1324" t="s">
        <v>409</v>
      </c>
      <c r="P53" s="1325" t="s">
        <v>833</v>
      </c>
      <c r="Q53" s="1326">
        <f ca="1">Q47+Q48</f>
        <v>1100</v>
      </c>
      <c r="R53" s="1326" t="s">
        <v>410</v>
      </c>
    </row>
    <row r="54" spans="1:18" s="1291" customFormat="1" ht="13.5" thickBot="1">
      <c r="A54" s="1080"/>
      <c r="B54" s="1274" t="s">
        <v>674</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834</v>
      </c>
      <c r="P54" s="1288"/>
      <c r="Q54" s="1288"/>
      <c r="R54" s="1288"/>
    </row>
    <row r="55" spans="1:18" s="1291" customFormat="1" ht="13.5" thickBot="1">
      <c r="A55" s="1020" t="s">
        <v>437</v>
      </c>
      <c r="B55" s="1276" t="s">
        <v>698</v>
      </c>
      <c r="C55" s="1021"/>
      <c r="D55" s="150"/>
      <c r="E55" s="1281"/>
      <c r="F55" s="1344"/>
      <c r="I55" s="1347" t="s">
        <v>835</v>
      </c>
      <c r="J55" s="1348">
        <f ca="1">ROUND(IF(J47="钢混",J57/J50,1-(1-2%)*(J50-J57)/J50),3)</f>
        <v>0.315</v>
      </c>
      <c r="K55" s="1349" t="s">
        <v>836</v>
      </c>
      <c r="L55" s="1350"/>
      <c r="O55" s="1317" t="s">
        <v>806</v>
      </c>
      <c r="P55" s="1318" t="s">
        <v>807</v>
      </c>
      <c r="Q55" s="1319" t="s">
        <v>808</v>
      </c>
      <c r="R55" s="1319" t="s">
        <v>809</v>
      </c>
    </row>
    <row r="56" spans="1:18" s="1291" customFormat="1" ht="25.5" thickTop="1" thickBot="1">
      <c r="A56" s="903">
        <v>2</v>
      </c>
      <c r="B56" s="904" t="s">
        <v>699</v>
      </c>
      <c r="C56" s="224">
        <f ca="1">C13</f>
        <v>1549</v>
      </c>
      <c r="D56" s="1351"/>
      <c r="E56" s="1352"/>
      <c r="F56" s="1344"/>
      <c r="I56" s="1353" t="s">
        <v>837</v>
      </c>
      <c r="J56" s="1354" t="s">
        <v>3460</v>
      </c>
      <c r="K56" s="1327" t="s">
        <v>838</v>
      </c>
      <c r="L56" s="1330" t="str">
        <f ca="1">IF(L48&lt;J51,"——",L48-J53)</f>
        <v>——</v>
      </c>
      <c r="O56" s="1324" t="s">
        <v>403</v>
      </c>
      <c r="P56" s="1325" t="s">
        <v>812</v>
      </c>
      <c r="Q56" s="1326">
        <f ca="1">C40+J29</f>
        <v>1051</v>
      </c>
      <c r="R56" s="1326" t="s">
        <v>813</v>
      </c>
    </row>
    <row r="57" spans="1:18" s="1291" customFormat="1" ht="24.75" thickBot="1">
      <c r="A57" s="1355"/>
      <c r="B57" s="896" t="s">
        <v>762</v>
      </c>
      <c r="C57" s="230">
        <f ca="1">C29</f>
        <v>1684</v>
      </c>
      <c r="D57" s="1356"/>
      <c r="E57" s="1357"/>
      <c r="F57" s="1358"/>
      <c r="I57" s="1359" t="s">
        <v>839</v>
      </c>
      <c r="J57" s="1360">
        <f ca="1">IF(OR(M47="住宅",J51&lt;L48,J56="是"),"——",J51-L48)</f>
        <v>18.880000000000003</v>
      </c>
      <c r="K57" s="1327" t="s">
        <v>840</v>
      </c>
      <c r="L57" s="1330" t="str">
        <f ca="1">IF(L48&lt;J51,"——",IF(L55="比较法",L49,IF(L55="基准地价",L50,L51)))</f>
        <v>——</v>
      </c>
      <c r="O57" s="1324" t="s">
        <v>404</v>
      </c>
      <c r="P57" s="1325" t="s">
        <v>841</v>
      </c>
      <c r="Q57" s="1326">
        <f ca="1">L60</f>
        <v>0</v>
      </c>
      <c r="R57" s="1326" t="s">
        <v>842</v>
      </c>
    </row>
    <row r="58" spans="1:18" s="1291" customFormat="1" ht="24.75" thickBot="1">
      <c r="A58" s="307" t="s">
        <v>393</v>
      </c>
      <c r="B58" s="904" t="s">
        <v>709</v>
      </c>
      <c r="C58" s="308">
        <f ca="1">ROUND(C59+C64+C65+C66,0)</f>
        <v>12</v>
      </c>
      <c r="D58" s="906" t="s">
        <v>710</v>
      </c>
      <c r="E58" s="907"/>
      <c r="F58" s="908"/>
      <c r="I58" s="1359" t="s">
        <v>843</v>
      </c>
      <c r="J58" s="1361">
        <f ca="1">IF(J55&lt;0.4,0.4,J55)</f>
        <v>0.4</v>
      </c>
      <c r="K58" s="1338" t="s">
        <v>844</v>
      </c>
      <c r="L58" s="1330" t="e">
        <f ca="1">ROUND(POWER(1+L52,L47-L48)*(POWER(1+L52,L48)-1)/(POWER(1+L52,L47)-1),4)</f>
        <v>#DIV/0!</v>
      </c>
      <c r="O58" s="1333" t="s">
        <v>405</v>
      </c>
      <c r="P58" s="1325" t="s">
        <v>845</v>
      </c>
      <c r="Q58" s="1326">
        <f>IF(L55="比较法",L49,IF(L55="基准地价",L50,0))</f>
        <v>0</v>
      </c>
      <c r="R58" s="1326" t="s">
        <v>813</v>
      </c>
    </row>
    <row r="59" spans="1:18" s="1291" customFormat="1" ht="24.75" thickBot="1">
      <c r="A59" s="928" t="s">
        <v>398</v>
      </c>
      <c r="B59" s="896" t="s">
        <v>714</v>
      </c>
      <c r="C59" s="2137">
        <f ca="1">ROUND(IF(AND(项目基本情况!B11="自然人",项目基本情况!B10="北京市"),C49*F59/(1+'数据-取费表'!C42),C60+C61+C62),0)</f>
        <v>0</v>
      </c>
      <c r="D59" s="909" t="s">
        <v>715</v>
      </c>
      <c r="E59" s="910" t="s">
        <v>716</v>
      </c>
      <c r="F59" s="2136" t="str">
        <f>IF(项目基本情况!B11="企业","——",IF('数据-取费表'!B10="住宅",IF(F49*F50*F51/12/(1+'数据-取费表'!F30)&gt;100000,4%,2.5%),IF(F49*F50*F51/12/(1+'数据-取费表'!F30)&gt;100000,12%,7%)))</f>
        <v>——</v>
      </c>
      <c r="I59" s="1359" t="s">
        <v>846</v>
      </c>
      <c r="J59" s="1360">
        <f ca="1">IF(OR(M47="住宅",J51&lt;L48,J56="是"),"——",ROUND(C29*J58,0))</f>
        <v>674</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847</v>
      </c>
      <c r="Q59" s="1336">
        <f>L52</f>
        <v>0</v>
      </c>
      <c r="R59" s="1326"/>
    </row>
    <row r="60" spans="1:18" s="1291" customFormat="1" ht="16.5" thickBot="1">
      <c r="A60" s="928" t="s">
        <v>397</v>
      </c>
      <c r="B60" s="896" t="s">
        <v>718</v>
      </c>
      <c r="C60" s="21">
        <f ca="1">IF(项目基本情况!B11="自然人","——",ROUND(C48*F60/(1+'数据-取费表'!C42),2))</f>
        <v>0</v>
      </c>
      <c r="D60" s="910" t="s">
        <v>719</v>
      </c>
      <c r="E60" s="896" t="s">
        <v>707</v>
      </c>
      <c r="F60" s="322">
        <f t="shared" ref="F60:F66" si="0">F32</f>
        <v>5.5000000000000007E-2</v>
      </c>
      <c r="I60" s="1362" t="s">
        <v>848</v>
      </c>
      <c r="J60" s="1363">
        <f ca="1">IF(OR(M47="住宅",J51&lt;L48,J56="是"),"0",ROUND(J59/(1+J52)^J53,0))</f>
        <v>49</v>
      </c>
      <c r="K60" s="1364" t="s">
        <v>849</v>
      </c>
      <c r="L60" s="1363">
        <f ca="1">IF(OR(M47="住宅",L48&lt;J51),0,ROUND(L57*(L58/L59-1),0))</f>
        <v>0</v>
      </c>
      <c r="O60" s="1333" t="s">
        <v>407</v>
      </c>
      <c r="P60" s="1325" t="s">
        <v>850</v>
      </c>
      <c r="Q60" s="1326" t="e">
        <f ca="1">L58</f>
        <v>#DIV/0!</v>
      </c>
      <c r="R60" s="1326" t="s">
        <v>851</v>
      </c>
    </row>
    <row r="61" spans="1:18" s="1291" customFormat="1" ht="13.5" thickBot="1">
      <c r="A61" s="928" t="s">
        <v>776</v>
      </c>
      <c r="B61" s="896" t="s">
        <v>777</v>
      </c>
      <c r="C61" s="21">
        <f ca="1">IF(项目基本情况!B11="自然人","——",IF(D61="按租金收入计税",ROUND(C49*F61/(1+'数据-取费表'!C42),2),IF(D61="按房产原值计税",ROUND(C57*F61*0.7,2),INDIRECT("'数据-取费表'!Aj"&amp;$G$1))))</f>
        <v>0</v>
      </c>
      <c r="D61" s="1277" t="s">
        <v>3322</v>
      </c>
      <c r="E61" s="896" t="s">
        <v>778</v>
      </c>
      <c r="F61" s="314">
        <f t="shared" si="0"/>
        <v>0.12</v>
      </c>
      <c r="I61" s="1365"/>
      <c r="J61" s="1365"/>
      <c r="K61" s="1365"/>
      <c r="L61" s="1365"/>
      <c r="O61" s="1333" t="s">
        <v>408</v>
      </c>
      <c r="P61" s="1325" t="str">
        <f>K59</f>
        <v>建筑物剩余耐用年限下的土地年期修正系数Kn</v>
      </c>
      <c r="Q61" s="1326" t="e">
        <f ca="1">L59</f>
        <v>#DIV/0!</v>
      </c>
      <c r="R61" s="1326" t="s">
        <v>852</v>
      </c>
    </row>
    <row r="62" spans="1:18" s="1291" customFormat="1" ht="13.5" thickBot="1">
      <c r="A62" s="928" t="s">
        <v>779</v>
      </c>
      <c r="B62" s="895" t="s">
        <v>780</v>
      </c>
      <c r="C62" s="22">
        <f ca="1">IF(项目基本情况!B11="自然人","——",ROUND(F62*F63/10000,2))</f>
        <v>0.13</v>
      </c>
      <c r="D62" s="911" t="s">
        <v>781</v>
      </c>
      <c r="E62" s="896" t="s">
        <v>782</v>
      </c>
      <c r="F62" s="317">
        <f t="shared" si="0"/>
        <v>1.5</v>
      </c>
      <c r="I62" s="1366" t="s">
        <v>853</v>
      </c>
      <c r="J62" s="610" t="s">
        <v>854</v>
      </c>
      <c r="K62" s="610" t="s">
        <v>855</v>
      </c>
      <c r="L62" s="610" t="s">
        <v>856</v>
      </c>
      <c r="M62" s="1367" t="s">
        <v>857</v>
      </c>
      <c r="O62" s="1324" t="s">
        <v>409</v>
      </c>
      <c r="P62" s="1325" t="s">
        <v>858</v>
      </c>
      <c r="Q62" s="1326">
        <f ca="1">Q56+Q57</f>
        <v>1051</v>
      </c>
      <c r="R62" s="1326" t="s">
        <v>410</v>
      </c>
    </row>
    <row r="63" spans="1:18" s="1291" customFormat="1" ht="13.5" thickBot="1">
      <c r="A63" s="318"/>
      <c r="B63" s="902"/>
      <c r="C63" s="26"/>
      <c r="D63" s="912"/>
      <c r="E63" s="896" t="s">
        <v>783</v>
      </c>
      <c r="F63" s="295">
        <f t="shared" ca="1" si="0"/>
        <v>891.05</v>
      </c>
      <c r="I63" s="1366" t="s">
        <v>859</v>
      </c>
      <c r="J63" s="610">
        <v>70</v>
      </c>
      <c r="K63" s="610">
        <v>50</v>
      </c>
      <c r="L63" s="610">
        <v>80</v>
      </c>
      <c r="M63" s="1368">
        <v>0.02</v>
      </c>
      <c r="O63" s="1309" t="s">
        <v>860</v>
      </c>
      <c r="P63" s="1288"/>
      <c r="Q63" s="1288"/>
      <c r="R63" s="1288"/>
    </row>
    <row r="64" spans="1:18" s="1291" customFormat="1" ht="13.5" thickBot="1">
      <c r="A64" s="928" t="s">
        <v>784</v>
      </c>
      <c r="B64" s="896" t="s">
        <v>785</v>
      </c>
      <c r="C64" s="21">
        <f ca="1">ROUND(C57*F64,2)</f>
        <v>8.42</v>
      </c>
      <c r="D64" s="910" t="s">
        <v>786</v>
      </c>
      <c r="E64" s="896" t="s">
        <v>778</v>
      </c>
      <c r="F64" s="320">
        <f t="shared" ca="1" si="0"/>
        <v>5.0000000000000001E-3</v>
      </c>
      <c r="I64" s="1366" t="s">
        <v>861</v>
      </c>
      <c r="J64" s="610">
        <v>50</v>
      </c>
      <c r="K64" s="610">
        <v>35</v>
      </c>
      <c r="L64" s="610">
        <v>60</v>
      </c>
      <c r="M64" s="1367">
        <v>0</v>
      </c>
      <c r="O64" s="1317" t="s">
        <v>806</v>
      </c>
      <c r="P64" s="1318" t="s">
        <v>807</v>
      </c>
      <c r="Q64" s="1319" t="s">
        <v>808</v>
      </c>
      <c r="R64" s="1319" t="s">
        <v>809</v>
      </c>
    </row>
    <row r="65" spans="1:18" s="1291" customFormat="1" ht="13.5" thickBot="1">
      <c r="A65" s="928" t="s">
        <v>787</v>
      </c>
      <c r="B65" s="896" t="s">
        <v>737</v>
      </c>
      <c r="C65" s="21">
        <f ca="1">ROUND(C56*F65,2)</f>
        <v>3.1</v>
      </c>
      <c r="D65" s="910" t="s">
        <v>738</v>
      </c>
      <c r="E65" s="896" t="s">
        <v>739</v>
      </c>
      <c r="F65" s="321">
        <f t="shared" ca="1" si="0"/>
        <v>2E-3</v>
      </c>
      <c r="I65" s="1366" t="s">
        <v>862</v>
      </c>
      <c r="J65" s="610">
        <v>40</v>
      </c>
      <c r="K65" s="610">
        <v>30</v>
      </c>
      <c r="L65" s="610">
        <v>50</v>
      </c>
      <c r="M65" s="1368">
        <v>0.02</v>
      </c>
      <c r="O65" s="1324" t="s">
        <v>403</v>
      </c>
      <c r="P65" s="1325" t="s">
        <v>863</v>
      </c>
      <c r="Q65" s="1326">
        <f ca="1">C40+J29</f>
        <v>1051</v>
      </c>
      <c r="R65" s="1326" t="s">
        <v>813</v>
      </c>
    </row>
    <row r="66" spans="1:18" s="1291" customFormat="1" ht="16.5" thickBot="1">
      <c r="A66" s="928" t="s">
        <v>788</v>
      </c>
      <c r="B66" s="896" t="s">
        <v>723</v>
      </c>
      <c r="C66" s="21">
        <f ca="1">ROUND(C48*F66,2)</f>
        <v>0</v>
      </c>
      <c r="D66" s="910" t="s">
        <v>789</v>
      </c>
      <c r="E66" s="896" t="s">
        <v>707</v>
      </c>
      <c r="F66" s="304">
        <f t="shared" ca="1" si="0"/>
        <v>0.02</v>
      </c>
      <c r="O66" s="1324" t="s">
        <v>404</v>
      </c>
      <c r="P66" s="1325" t="s">
        <v>841</v>
      </c>
      <c r="Q66" s="1326">
        <f ca="1">L60</f>
        <v>0</v>
      </c>
      <c r="R66" s="1326" t="s">
        <v>864</v>
      </c>
    </row>
    <row r="67" spans="1:18" s="1291" customFormat="1" ht="16.5" thickBot="1">
      <c r="A67" s="903" t="s">
        <v>394</v>
      </c>
      <c r="B67" s="913" t="s">
        <v>747</v>
      </c>
      <c r="C67" s="308">
        <f ca="1">C48-C58</f>
        <v>-12</v>
      </c>
      <c r="D67" s="909" t="s">
        <v>748</v>
      </c>
      <c r="E67" s="914"/>
      <c r="F67" s="915"/>
      <c r="O67" s="1333" t="s">
        <v>405</v>
      </c>
      <c r="P67" s="1325" t="s">
        <v>845</v>
      </c>
      <c r="Q67" s="1369">
        <f ca="1">L51</f>
        <v>-1037</v>
      </c>
      <c r="R67" s="1326" t="s">
        <v>865</v>
      </c>
    </row>
    <row r="68" spans="1:18" s="1291" customFormat="1" ht="16.5" thickBot="1">
      <c r="A68" s="893" t="s">
        <v>395</v>
      </c>
      <c r="B68" s="894" t="s">
        <v>769</v>
      </c>
      <c r="C68" s="293">
        <f ca="1">ROUND(C67*(1-((1+F70)/(1+F68))^F69)/(F68-F70),0)</f>
        <v>-176</v>
      </c>
      <c r="D68" s="911" t="s">
        <v>753</v>
      </c>
      <c r="E68" s="896" t="s">
        <v>754</v>
      </c>
      <c r="F68" s="304">
        <f ca="1">F40</f>
        <v>0.06</v>
      </c>
      <c r="O68" s="1333" t="s">
        <v>406</v>
      </c>
      <c r="P68" s="1370" t="s">
        <v>866</v>
      </c>
      <c r="Q68" s="1326">
        <f ca="1">ROUND(Q69-Q70*Q71,0)</f>
        <v>-60</v>
      </c>
      <c r="R68" s="1326" t="s">
        <v>414</v>
      </c>
    </row>
    <row r="69" spans="1:18" s="1291" customFormat="1" ht="13.5" thickBot="1">
      <c r="A69" s="897"/>
      <c r="B69" s="898"/>
      <c r="C69" s="298"/>
      <c r="D69" s="916" t="s">
        <v>757</v>
      </c>
      <c r="E69" s="896" t="s">
        <v>758</v>
      </c>
      <c r="F69" s="324">
        <f ca="1">F41</f>
        <v>36.119999999999997</v>
      </c>
      <c r="O69" s="1333" t="s">
        <v>411</v>
      </c>
      <c r="P69" s="1370" t="s">
        <v>867</v>
      </c>
      <c r="Q69" s="1326">
        <f ca="1">C39</f>
        <v>56</v>
      </c>
      <c r="R69" s="1326" t="s">
        <v>813</v>
      </c>
    </row>
    <row r="70" spans="1:18" s="1291" customFormat="1" ht="13.5" thickBot="1">
      <c r="A70" s="900"/>
      <c r="B70" s="901"/>
      <c r="C70" s="302"/>
      <c r="D70" s="912"/>
      <c r="E70" s="896" t="s">
        <v>761</v>
      </c>
      <c r="F70" s="991"/>
      <c r="O70" s="1333" t="s">
        <v>412</v>
      </c>
      <c r="P70" s="1370" t="s">
        <v>868</v>
      </c>
      <c r="Q70" s="1326">
        <f ca="1">C13</f>
        <v>1549</v>
      </c>
      <c r="R70" s="1326" t="s">
        <v>813</v>
      </c>
    </row>
    <row r="71" spans="1:18" s="1291" customFormat="1" ht="13.5" thickBot="1">
      <c r="A71" s="917" t="s">
        <v>396</v>
      </c>
      <c r="B71" s="918" t="s">
        <v>771</v>
      </c>
      <c r="C71" s="327">
        <f ca="1">ROUND(C68*10000/F71,0)</f>
        <v>-1428</v>
      </c>
      <c r="D71" s="919" t="s">
        <v>772</v>
      </c>
      <c r="E71" s="920" t="s">
        <v>773</v>
      </c>
      <c r="F71" s="330">
        <f ca="1">F43</f>
        <v>1232.79</v>
      </c>
      <c r="O71" s="1333" t="s">
        <v>413</v>
      </c>
      <c r="P71" s="1370" t="s">
        <v>869</v>
      </c>
      <c r="Q71" s="1336">
        <f ca="1">C76</f>
        <v>7.4999999999999997E-2</v>
      </c>
      <c r="R71" s="1326"/>
    </row>
    <row r="72" spans="1:18" s="1291" customFormat="1" ht="13.5" thickBot="1">
      <c r="B72" s="685"/>
      <c r="C72" s="685"/>
      <c r="O72" s="1333" t="s">
        <v>407</v>
      </c>
      <c r="P72" s="1325" t="s">
        <v>847</v>
      </c>
      <c r="Q72" s="1336">
        <f>L52</f>
        <v>0</v>
      </c>
      <c r="R72" s="1326"/>
    </row>
    <row r="73" spans="1:18" ht="16.5" thickBot="1">
      <c r="A73" s="1291"/>
      <c r="B73" s="685"/>
      <c r="C73" s="685"/>
      <c r="D73" s="1291"/>
      <c r="E73" s="1291"/>
      <c r="F73" s="1291"/>
      <c r="O73" s="1333" t="s">
        <v>408</v>
      </c>
      <c r="P73" s="1325" t="s">
        <v>850</v>
      </c>
      <c r="Q73" s="1326" t="e">
        <f ca="1">L58</f>
        <v>#DIV/0!</v>
      </c>
      <c r="R73" s="1326" t="s">
        <v>851</v>
      </c>
    </row>
    <row r="74" spans="1:18" ht="13.5" thickBot="1">
      <c r="A74" s="1291"/>
      <c r="B74" s="265" t="s">
        <v>870</v>
      </c>
      <c r="C74" s="1372"/>
      <c r="D74" s="1291"/>
      <c r="E74" s="1291"/>
      <c r="F74" s="1291"/>
      <c r="O74" s="1333" t="s">
        <v>415</v>
      </c>
      <c r="P74" s="1325" t="str">
        <f>K59</f>
        <v>建筑物剩余耐用年限下的土地年期修正系数Kn</v>
      </c>
      <c r="Q74" s="1326" t="e">
        <f ca="1">L59</f>
        <v>#DIV/0!</v>
      </c>
      <c r="R74" s="1326" t="s">
        <v>852</v>
      </c>
    </row>
    <row r="75" spans="1:18" ht="13.5" thickBot="1">
      <c r="A75" s="1291"/>
      <c r="B75" s="331" t="s">
        <v>790</v>
      </c>
      <c r="C75" s="332">
        <f ca="1">ROUND(C13*C76,0)</f>
        <v>116</v>
      </c>
      <c r="D75" s="1291"/>
      <c r="E75" s="1291"/>
      <c r="F75" s="1291"/>
      <c r="K75" s="1308"/>
      <c r="L75" s="1291"/>
      <c r="O75" s="1324" t="s">
        <v>409</v>
      </c>
      <c r="P75" s="1325" t="s">
        <v>833</v>
      </c>
      <c r="Q75" s="1326">
        <f ca="1">Q65+Q66</f>
        <v>1051</v>
      </c>
      <c r="R75" s="1326" t="s">
        <v>410</v>
      </c>
    </row>
    <row r="76" spans="1:18">
      <c r="B76" s="333" t="s">
        <v>791</v>
      </c>
      <c r="C76" s="334">
        <f ca="1">INDIRECT("'数据-取费表'!j"&amp;$G$1)</f>
        <v>7.4999999999999997E-2</v>
      </c>
      <c r="I76" s="1291"/>
      <c r="J76" s="1291"/>
      <c r="K76" s="1308"/>
      <c r="L76" s="1291"/>
    </row>
    <row r="77" spans="1:18">
      <c r="B77" s="335" t="s">
        <v>792</v>
      </c>
      <c r="C77" s="336"/>
      <c r="I77" s="1291"/>
      <c r="J77" s="1291"/>
      <c r="K77" s="1308"/>
      <c r="L77" s="1291"/>
    </row>
    <row r="78" spans="1:18">
      <c r="B78" s="262" t="s">
        <v>793</v>
      </c>
      <c r="C78" s="337"/>
    </row>
    <row r="79" spans="1:18">
      <c r="B79" s="331" t="s">
        <v>794</v>
      </c>
      <c r="C79" s="266">
        <f ca="1">1-C80</f>
        <v>-1.0710000000000002</v>
      </c>
    </row>
    <row r="80" spans="1:18">
      <c r="B80" s="331" t="s">
        <v>795</v>
      </c>
      <c r="C80" s="266">
        <f ca="1">ROUND(C75/C39,3)</f>
        <v>2.0710000000000002</v>
      </c>
    </row>
    <row r="81" spans="2:3">
      <c r="B81" s="262" t="s">
        <v>796</v>
      </c>
      <c r="C81" s="230"/>
    </row>
    <row r="82" spans="2:3">
      <c r="B82" s="265" t="s">
        <v>797</v>
      </c>
      <c r="C82" s="267">
        <f ca="1">1-C83</f>
        <v>-0.47399999999999998</v>
      </c>
    </row>
    <row r="83" spans="2:3">
      <c r="B83" s="265" t="s">
        <v>798</v>
      </c>
      <c r="C83" s="266">
        <f ca="1">ROUND(C13/C40,3)</f>
        <v>1.474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872</v>
      </c>
      <c r="B1" s="663"/>
      <c r="C1" s="1286"/>
      <c r="D1" s="1270" t="s">
        <v>43</v>
      </c>
      <c r="E1" s="1271" t="s">
        <v>673</v>
      </c>
      <c r="F1" s="999">
        <f ca="1">J53</f>
        <v>0</v>
      </c>
      <c r="G1" s="1285">
        <f>MATCH(C1,'数据-取费表'!A6:A16,0)+5</f>
        <v>7</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873</v>
      </c>
      <c r="B2" s="3120" t="e">
        <f ca="1">ROUND(D2/10000,4)</f>
        <v>#DIV/0!</v>
      </c>
      <c r="C2" s="1288" t="s">
        <v>874</v>
      </c>
      <c r="D2" s="1374" t="e">
        <f ca="1">C40+J29+L46</f>
        <v>#DIV/0!</v>
      </c>
      <c r="E2" s="1294" t="s">
        <v>875</v>
      </c>
      <c r="F2" s="1295"/>
      <c r="G2" s="2475"/>
      <c r="H2" s="2465"/>
      <c r="I2" s="2465"/>
      <c r="J2" s="2465"/>
      <c r="K2" s="2466"/>
      <c r="L2" s="2465"/>
      <c r="M2" s="2465"/>
    </row>
    <row r="3" spans="1:37" ht="18" customHeight="1" thickBot="1">
      <c r="A3" s="1296" t="s">
        <v>876</v>
      </c>
      <c r="B3" s="1297">
        <f ca="1">IF(ISERROR(D2/F43),0,ROUND(D2/F43,0))</f>
        <v>0</v>
      </c>
      <c r="C3" s="1288" t="s">
        <v>877</v>
      </c>
      <c r="D3" s="1288"/>
      <c r="E3" s="1294"/>
      <c r="F3" s="1295"/>
      <c r="G3" s="2475"/>
      <c r="H3" s="649" t="s">
        <v>871</v>
      </c>
      <c r="I3" s="1289"/>
      <c r="J3" s="1289"/>
      <c r="K3" s="1290"/>
      <c r="L3" s="1289"/>
      <c r="M3" s="1289"/>
    </row>
    <row r="4" spans="1:37" ht="18" customHeight="1">
      <c r="A4" s="287" t="s">
        <v>878</v>
      </c>
      <c r="B4" s="288" t="s">
        <v>879</v>
      </c>
      <c r="C4" s="288" t="s">
        <v>880</v>
      </c>
      <c r="D4" s="288" t="s">
        <v>881</v>
      </c>
      <c r="E4" s="289" t="s">
        <v>882</v>
      </c>
      <c r="F4" s="290"/>
      <c r="G4" s="1291"/>
      <c r="H4" s="287" t="s">
        <v>878</v>
      </c>
      <c r="I4" s="288" t="s">
        <v>879</v>
      </c>
      <c r="J4" s="288" t="s">
        <v>880</v>
      </c>
      <c r="K4" s="288" t="s">
        <v>881</v>
      </c>
      <c r="L4" s="289" t="s">
        <v>882</v>
      </c>
      <c r="M4" s="290"/>
    </row>
    <row r="5" spans="1:37" ht="18" customHeight="1">
      <c r="A5" s="291">
        <v>1</v>
      </c>
      <c r="B5" s="292" t="s">
        <v>883</v>
      </c>
      <c r="C5" s="1007">
        <f ca="1">C6+C10+C12</f>
        <v>0</v>
      </c>
      <c r="D5" s="1272" t="s">
        <v>884</v>
      </c>
      <c r="E5" s="1008"/>
      <c r="F5" s="1009"/>
      <c r="G5" s="1291"/>
      <c r="H5" s="291">
        <v>1</v>
      </c>
      <c r="I5" s="292" t="s">
        <v>883</v>
      </c>
      <c r="J5" s="1007">
        <f ca="1">J6+J10+J12</f>
        <v>0</v>
      </c>
      <c r="K5" s="1272" t="s">
        <v>884</v>
      </c>
      <c r="L5" s="1008"/>
      <c r="M5" s="1009"/>
    </row>
    <row r="6" spans="1:37" ht="18" customHeight="1">
      <c r="A6" s="1006" t="s">
        <v>398</v>
      </c>
      <c r="B6" s="3397" t="s">
        <v>689</v>
      </c>
      <c r="C6" s="1011">
        <f ca="1">ROUND(F6*F8*F7*(1-F9),0)</f>
        <v>0</v>
      </c>
      <c r="D6" s="147" t="s">
        <v>2100</v>
      </c>
      <c r="E6" s="294" t="s">
        <v>691</v>
      </c>
      <c r="F6" s="295">
        <f ca="1">INDIRECT("'数据-取费表'!u"&amp;$G$1)</f>
        <v>0</v>
      </c>
      <c r="G6" s="1291"/>
      <c r="H6" s="1006" t="s">
        <v>398</v>
      </c>
      <c r="I6" s="3397" t="s">
        <v>689</v>
      </c>
      <c r="J6" s="293">
        <f ca="1">ROUND(M6*M8*M7*(1-M9),0)</f>
        <v>0</v>
      </c>
      <c r="K6" s="1283" t="s">
        <v>2101</v>
      </c>
      <c r="L6" s="294" t="s">
        <v>691</v>
      </c>
      <c r="M6" s="295">
        <f ca="1">INDIRECT("'数据-取费表'!z"&amp;$G$1)</f>
        <v>0</v>
      </c>
    </row>
    <row r="7" spans="1:37" ht="18" customHeight="1">
      <c r="A7" s="1010"/>
      <c r="B7" s="3398"/>
      <c r="C7" s="1012"/>
      <c r="D7" s="299"/>
      <c r="E7" s="1013" t="s">
        <v>692</v>
      </c>
      <c r="F7" s="295">
        <f ca="1">IF(INDIRECT("'数据-取费表'!ah"&amp;$G$1)="",INDIRECT("'数据-取费表'!k"&amp;$G$1),INDIRECT("'数据-取费表'!ah"&amp;$G$1))</f>
        <v>0</v>
      </c>
      <c r="G7" s="1291"/>
      <c r="H7" s="296"/>
      <c r="I7" s="3398"/>
      <c r="J7" s="298"/>
      <c r="K7" s="299"/>
      <c r="L7" s="294" t="s">
        <v>692</v>
      </c>
      <c r="M7" s="295">
        <f ca="1">F7</f>
        <v>0</v>
      </c>
    </row>
    <row r="8" spans="1:37" ht="18" customHeight="1">
      <c r="A8" s="296"/>
      <c r="B8" s="3398"/>
      <c r="C8" s="298"/>
      <c r="D8" s="299"/>
      <c r="E8" s="294" t="s">
        <v>693</v>
      </c>
      <c r="F8" s="295">
        <f ca="1">INDIRECT("'数据-取费表'!ai"&amp;$G$1)</f>
        <v>0</v>
      </c>
      <c r="G8" s="1291"/>
      <c r="H8" s="296"/>
      <c r="I8" s="3398"/>
      <c r="J8" s="298"/>
      <c r="K8" s="299"/>
      <c r="L8" s="294" t="s">
        <v>693</v>
      </c>
      <c r="M8" s="295">
        <f ca="1">INDIRECT("'数据-取费表'!ai"&amp;$G$1)</f>
        <v>0</v>
      </c>
    </row>
    <row r="9" spans="1:37" ht="18" customHeight="1">
      <c r="A9" s="296"/>
      <c r="B9" s="3399"/>
      <c r="C9" s="298"/>
      <c r="D9" s="299"/>
      <c r="E9" s="294" t="s">
        <v>694</v>
      </c>
      <c r="F9" s="304">
        <f ca="1">INDIRECT("'数据-取费表'!w"&amp;$G$1)</f>
        <v>0</v>
      </c>
      <c r="G9" s="1291"/>
      <c r="H9" s="296"/>
      <c r="I9" s="3399"/>
      <c r="J9" s="298"/>
      <c r="K9" s="299"/>
      <c r="L9" s="305" t="s">
        <v>694</v>
      </c>
      <c r="M9" s="306">
        <f ca="1">INDIRECT("'数据-取费表'!ab"&amp;$G$1)</f>
        <v>0</v>
      </c>
    </row>
    <row r="10" spans="1:37" ht="18" customHeight="1">
      <c r="A10" s="1006" t="s">
        <v>402</v>
      </c>
      <c r="B10" s="1273" t="s">
        <v>695</v>
      </c>
      <c r="C10" s="308">
        <f ca="1">ROUND(IF(F10="押一",C6/12*F11,IF(F10="押二",C6/12*2*F11,IF(F10="押三",C6/12*3*F11,C11*F11))),0)</f>
        <v>0</v>
      </c>
      <c r="D10" s="150" t="s">
        <v>2110</v>
      </c>
      <c r="E10" s="305" t="s">
        <v>696</v>
      </c>
      <c r="F10" s="1053"/>
      <c r="G10" s="1291"/>
      <c r="H10" s="1006" t="s">
        <v>402</v>
      </c>
      <c r="I10" s="1273" t="s">
        <v>695</v>
      </c>
      <c r="J10" s="293">
        <f ca="1">ROUND(IF(M10="押一",J6/12*M11,IF(M10="押二",J6/12*2*M11,IF(M10="押三",J6/12*3*M11,J11*M11))),0)</f>
        <v>0</v>
      </c>
      <c r="K10" s="1284" t="s">
        <v>2112</v>
      </c>
      <c r="L10" s="305" t="s">
        <v>696</v>
      </c>
      <c r="M10" s="1053"/>
    </row>
    <row r="11" spans="1:37" ht="18" customHeight="1">
      <c r="A11" s="300"/>
      <c r="B11" s="1274" t="s">
        <v>885</v>
      </c>
      <c r="C11" s="905"/>
      <c r="D11" s="299"/>
      <c r="E11" s="305" t="s">
        <v>697</v>
      </c>
      <c r="F11" s="306">
        <f ca="1">'数据-取费表'!B39</f>
        <v>1.4999999999999999E-2</v>
      </c>
      <c r="G11" s="1291"/>
      <c r="H11" s="1014"/>
      <c r="I11" s="1274" t="s">
        <v>886</v>
      </c>
      <c r="J11" s="905"/>
      <c r="K11" s="646"/>
      <c r="L11" s="305" t="s">
        <v>697</v>
      </c>
      <c r="M11" s="809">
        <f ca="1">'数据-取费表'!B39</f>
        <v>1.4999999999999999E-2</v>
      </c>
    </row>
    <row r="12" spans="1:37" ht="18" customHeight="1" thickBot="1">
      <c r="A12" s="1020" t="s">
        <v>437</v>
      </c>
      <c r="B12" s="1276" t="s">
        <v>698</v>
      </c>
      <c r="C12" s="1021"/>
      <c r="D12" s="1022"/>
      <c r="E12" s="1027"/>
      <c r="F12" s="1023"/>
      <c r="G12" s="1291"/>
      <c r="H12" s="1020" t="s">
        <v>437</v>
      </c>
      <c r="I12" s="1276" t="s">
        <v>698</v>
      </c>
      <c r="J12" s="1021"/>
      <c r="K12" s="1035"/>
      <c r="L12" s="1027"/>
      <c r="M12" s="1036"/>
    </row>
    <row r="13" spans="1:37" ht="18" customHeight="1" thickTop="1">
      <c r="A13" s="1016">
        <v>2</v>
      </c>
      <c r="B13" s="1017" t="s">
        <v>699</v>
      </c>
      <c r="C13" s="302">
        <f ca="1">ROUND(C29*F13,0)</f>
        <v>0</v>
      </c>
      <c r="D13" s="1018" t="s">
        <v>700</v>
      </c>
      <c r="E13" s="1018" t="s">
        <v>701</v>
      </c>
      <c r="F13" s="1019">
        <f ca="1">INDIRECT("'数据-取费表'!y"&amp;$G$1)</f>
        <v>0</v>
      </c>
      <c r="G13" s="1291"/>
      <c r="H13" s="1016">
        <v>2</v>
      </c>
      <c r="I13" s="1017" t="s">
        <v>699</v>
      </c>
      <c r="J13" s="1005">
        <f ca="1">ROUND(J14*J15,0)</f>
        <v>0</v>
      </c>
      <c r="K13" s="1024" t="s">
        <v>700</v>
      </c>
      <c r="L13" s="1298"/>
      <c r="M13" s="1299"/>
    </row>
    <row r="14" spans="1:37" ht="18" customHeight="1">
      <c r="A14" s="928" t="s">
        <v>397</v>
      </c>
      <c r="B14" s="294" t="s">
        <v>702</v>
      </c>
      <c r="C14" s="310">
        <f ca="1">ROUND(INDIRECT("'数据-取费表'!l"&amp;$G$1)*F43+'数据-取费表'!L14*INDIRECT("'数据-取费表'!S"&amp;$G$1),0)</f>
        <v>0</v>
      </c>
      <c r="D14" s="1256" t="s">
        <v>703</v>
      </c>
      <c r="E14" s="1254"/>
      <c r="F14" s="311"/>
      <c r="G14" s="1291"/>
      <c r="H14" s="928" t="s">
        <v>398</v>
      </c>
      <c r="I14" s="294" t="s">
        <v>704</v>
      </c>
      <c r="J14" s="21">
        <f ca="1">C29</f>
        <v>0</v>
      </c>
      <c r="K14" s="12"/>
      <c r="L14" s="759"/>
      <c r="M14" s="760"/>
    </row>
    <row r="15" spans="1:37" s="1303" customFormat="1" ht="18" customHeight="1" thickBot="1">
      <c r="A15" s="928" t="s">
        <v>399</v>
      </c>
      <c r="B15" s="294" t="s">
        <v>705</v>
      </c>
      <c r="C15" s="21">
        <f ca="1">ROUND(C14*F15,0)</f>
        <v>0</v>
      </c>
      <c r="D15" s="312" t="s">
        <v>706</v>
      </c>
      <c r="E15" s="312" t="s">
        <v>707</v>
      </c>
      <c r="F15" s="313">
        <f>'数据-取费表'!B33</f>
        <v>0.05</v>
      </c>
      <c r="G15" s="1302"/>
      <c r="H15" s="1026" t="s">
        <v>402</v>
      </c>
      <c r="I15" s="1027" t="s">
        <v>701</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675</v>
      </c>
      <c r="B16" s="294" t="s">
        <v>708</v>
      </c>
      <c r="C16" s="21">
        <f ca="1">ROUND(INDIRECT("'数据-取费表'!l"&amp;$G$1)*F43*F16,0)</f>
        <v>0</v>
      </c>
      <c r="D16" s="294" t="s">
        <v>706</v>
      </c>
      <c r="E16" s="294" t="s">
        <v>707</v>
      </c>
      <c r="F16" s="314">
        <f ca="1">IF(INDIRECT("'数据-取费表'!c"&amp;$G$1)="住宅",'数据-取费表'!B34,0)</f>
        <v>0</v>
      </c>
      <c r="G16" s="1291"/>
      <c r="H16" s="1016" t="s">
        <v>393</v>
      </c>
      <c r="I16" s="1017" t="s">
        <v>709</v>
      </c>
      <c r="J16" s="302">
        <f ca="1">ROUND(J17+J22+J23+J24,0)</f>
        <v>0</v>
      </c>
      <c r="K16" s="1024" t="s">
        <v>710</v>
      </c>
      <c r="L16" s="1025"/>
      <c r="M16" s="1009"/>
    </row>
    <row r="17" spans="1:37" s="1303" customFormat="1" ht="18" customHeight="1">
      <c r="A17" s="928" t="s">
        <v>676</v>
      </c>
      <c r="B17" s="294" t="s">
        <v>711</v>
      </c>
      <c r="C17" s="21">
        <f ca="1">ROUND(F17*(F43+INDIRECT("'数据-取费表'!S"&amp;$G$1)),0)</f>
        <v>0</v>
      </c>
      <c r="D17" s="294" t="s">
        <v>712</v>
      </c>
      <c r="E17" s="294" t="s">
        <v>713</v>
      </c>
      <c r="F17" s="23">
        <f>'数据-取费表'!B35</f>
        <v>200</v>
      </c>
      <c r="G17" s="1302"/>
      <c r="H17" s="928" t="s">
        <v>398</v>
      </c>
      <c r="I17" s="294" t="s">
        <v>714</v>
      </c>
      <c r="J17" s="2137">
        <f ca="1">ROUND(IF(AND(项目基本情况!B11="自然人",项目基本情况!B10="北京市"),J6*M17/(1+'数据-取费表'!C42),J18+J19+J20),0)</f>
        <v>0</v>
      </c>
      <c r="K17" s="1256" t="s">
        <v>715</v>
      </c>
      <c r="L17" s="1255" t="s">
        <v>716</v>
      </c>
      <c r="M17" s="2136"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677</v>
      </c>
      <c r="B18" s="294" t="s">
        <v>717</v>
      </c>
      <c r="C18" s="21">
        <f ca="1">ROUND(C14*F18,0)</f>
        <v>0</v>
      </c>
      <c r="D18" s="294" t="s">
        <v>706</v>
      </c>
      <c r="E18" s="294" t="s">
        <v>707</v>
      </c>
      <c r="F18" s="314">
        <f>'数据-取费表'!B36</f>
        <v>1.4999999999999999E-2</v>
      </c>
      <c r="G18" s="1302"/>
      <c r="H18" s="928" t="s">
        <v>397</v>
      </c>
      <c r="I18" s="294" t="s">
        <v>718</v>
      </c>
      <c r="J18" s="21">
        <f ca="1">ROUND(J6*M18/(1+'数据-取费表'!C42),0)</f>
        <v>0</v>
      </c>
      <c r="K18" s="1255" t="s">
        <v>719</v>
      </c>
      <c r="L18" s="294" t="s">
        <v>707</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720</v>
      </c>
      <c r="C19" s="21">
        <f ca="1">SUM(C14:C18)</f>
        <v>0</v>
      </c>
      <c r="D19" s="123" t="s">
        <v>721</v>
      </c>
      <c r="E19" s="1268"/>
      <c r="F19" s="23"/>
      <c r="G19" s="1291"/>
      <c r="H19" s="928" t="s">
        <v>399</v>
      </c>
      <c r="I19" s="294" t="s">
        <v>722</v>
      </c>
      <c r="J19" s="21">
        <f ca="1">IF(K19="按租金收入计税",ROUND(J6*M19/(1+'数据-取费表'!C42),0),ROUND(C29*M19*0.7,0))</f>
        <v>0</v>
      </c>
      <c r="K19" s="1277" t="s">
        <v>3322</v>
      </c>
      <c r="L19" s="294" t="s">
        <v>707</v>
      </c>
      <c r="M19" s="314">
        <f>IF(K19="按租金收入计税",'数据-取费表'!B51,'数据-取费表'!B50)</f>
        <v>0.12</v>
      </c>
    </row>
    <row r="20" spans="1:37" s="1303" customFormat="1" ht="18" customHeight="1">
      <c r="A20" s="928" t="s">
        <v>402</v>
      </c>
      <c r="B20" s="294" t="s">
        <v>723</v>
      </c>
      <c r="C20" s="21">
        <f ca="1">ROUND(C19*F20,0)</f>
        <v>0</v>
      </c>
      <c r="D20" s="315" t="s">
        <v>724</v>
      </c>
      <c r="E20" s="294" t="s">
        <v>707</v>
      </c>
      <c r="F20" s="314">
        <f>'数据-取费表'!B37</f>
        <v>0.03</v>
      </c>
      <c r="G20" s="1302"/>
      <c r="H20" s="928" t="s">
        <v>675</v>
      </c>
      <c r="I20" s="147" t="s">
        <v>725</v>
      </c>
      <c r="J20" s="22">
        <f ca="1">ROUND(M20*M21,0)</f>
        <v>0</v>
      </c>
      <c r="K20" s="316" t="s">
        <v>726</v>
      </c>
      <c r="L20" s="294" t="s">
        <v>727</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728</v>
      </c>
      <c r="C21" s="21" t="s">
        <v>0</v>
      </c>
      <c r="D21" s="315" t="s">
        <v>729</v>
      </c>
      <c r="E21" s="294" t="s">
        <v>730</v>
      </c>
      <c r="F21" s="314">
        <f>'数据-取费表'!B38</f>
        <v>0.03</v>
      </c>
      <c r="G21" s="1302"/>
      <c r="H21" s="318"/>
      <c r="I21" s="303"/>
      <c r="J21" s="26"/>
      <c r="K21" s="319"/>
      <c r="L21" s="294" t="s">
        <v>731</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678</v>
      </c>
      <c r="B22" s="294" t="s">
        <v>732</v>
      </c>
      <c r="C22" s="21"/>
      <c r="D22" s="123" t="str">
        <f>IF(F23&lt;=1,"单利计息。","复利计息。")&amp;"建造成本、管理费用、销售费用产生的利息。"</f>
        <v>复利计息。建造成本、管理费用、销售费用产生的利息。</v>
      </c>
      <c r="E22" s="1268"/>
      <c r="F22" s="23"/>
      <c r="G22" s="1291"/>
      <c r="H22" s="928" t="s">
        <v>402</v>
      </c>
      <c r="I22" s="294" t="s">
        <v>733</v>
      </c>
      <c r="J22" s="21">
        <f ca="1">ROUND(J14*M22,0)</f>
        <v>0</v>
      </c>
      <c r="K22" s="1255" t="s">
        <v>734</v>
      </c>
      <c r="L22" s="294" t="s">
        <v>707</v>
      </c>
      <c r="M22" s="320">
        <f ca="1">INDIRECT("'数据-取费表'!Ak"&amp;$G$1)</f>
        <v>0</v>
      </c>
    </row>
    <row r="23" spans="1:37" s="1303" customFormat="1" ht="18" customHeight="1">
      <c r="A23" s="928" t="s">
        <v>397</v>
      </c>
      <c r="B23" s="294" t="s">
        <v>735</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736</v>
      </c>
      <c r="F23" s="317">
        <f>'数据-取费表'!B20</f>
        <v>3</v>
      </c>
      <c r="G23" s="1302"/>
      <c r="H23" s="928" t="s">
        <v>437</v>
      </c>
      <c r="I23" s="294" t="s">
        <v>737</v>
      </c>
      <c r="J23" s="21">
        <f ca="1">ROUND(J13*M23,0)</f>
        <v>0</v>
      </c>
      <c r="K23" s="1255" t="s">
        <v>738</v>
      </c>
      <c r="L23" s="294" t="s">
        <v>739</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740</v>
      </c>
      <c r="B24" s="294" t="s">
        <v>741</v>
      </c>
      <c r="C24" s="21">
        <f ca="1">ROUND(IF('数据-取费表'!B22&lt;=1,F21*F24*F23/2,F21*(POWER((1+F24),F23/2)-1)),4)</f>
        <v>1.6000000000000001E-3</v>
      </c>
      <c r="D24" s="138" t="str">
        <f>IF(F23&lt;=1,"销售费用×利率×(建设周期÷2)","销售费用×((1+利率)^(建设周期÷2)-1)")</f>
        <v>销售费用×((1+利率)^(建设周期÷2)-1)</v>
      </c>
      <c r="E24" s="294" t="s">
        <v>742</v>
      </c>
      <c r="F24" s="322">
        <f ca="1">'数据-取费表'!B40</f>
        <v>3.4500000000000003E-2</v>
      </c>
      <c r="G24" s="1302"/>
      <c r="H24" s="1026" t="s">
        <v>679</v>
      </c>
      <c r="I24" s="1027" t="s">
        <v>723</v>
      </c>
      <c r="J24" s="1028">
        <f ca="1">ROUND(J5*M24,0)</f>
        <v>0</v>
      </c>
      <c r="K24" s="1029" t="s">
        <v>743</v>
      </c>
      <c r="L24" s="1027" t="s">
        <v>739</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744</v>
      </c>
      <c r="B25" s="294" t="s">
        <v>745</v>
      </c>
      <c r="C25" s="21"/>
      <c r="D25" s="123" t="s">
        <v>746</v>
      </c>
      <c r="E25" s="1268"/>
      <c r="F25" s="23"/>
      <c r="G25" s="1291"/>
      <c r="H25" s="1016" t="s">
        <v>394</v>
      </c>
      <c r="I25" s="1031" t="s">
        <v>747</v>
      </c>
      <c r="J25" s="302">
        <f ca="1">J5-J16</f>
        <v>0</v>
      </c>
      <c r="K25" s="1032" t="s">
        <v>748</v>
      </c>
      <c r="L25" s="1033"/>
      <c r="M25" s="1034"/>
    </row>
    <row r="26" spans="1:37" ht="18" customHeight="1">
      <c r="A26" s="928" t="s">
        <v>397</v>
      </c>
      <c r="B26" s="294" t="s">
        <v>749</v>
      </c>
      <c r="C26" s="21">
        <f ca="1">ROUND((C19+C20)*F26,0)</f>
        <v>0</v>
      </c>
      <c r="D26" s="315" t="s">
        <v>750</v>
      </c>
      <c r="E26" s="305" t="s">
        <v>751</v>
      </c>
      <c r="F26" s="304">
        <f ca="1">INDIRECT("'数据-取费表'!q"&amp;$G$1)</f>
        <v>0</v>
      </c>
      <c r="G26" s="1291"/>
      <c r="H26" s="291" t="s">
        <v>395</v>
      </c>
      <c r="I26" s="292" t="s">
        <v>752</v>
      </c>
      <c r="J26" s="293">
        <f ca="1">IF(J5&lt;&gt;0,ROUND(J25*(1-((1+M28)/(1+M26))^M27)/(M26-M28),0),0)</f>
        <v>0</v>
      </c>
      <c r="K26" s="316" t="s">
        <v>753</v>
      </c>
      <c r="L26" s="294" t="s">
        <v>754</v>
      </c>
      <c r="M26" s="304">
        <f ca="1">INDIRECT("'数据-取费表'!I"&amp;$G$1)</f>
        <v>0</v>
      </c>
    </row>
    <row r="27" spans="1:37" ht="18" customHeight="1">
      <c r="A27" s="928" t="s">
        <v>399</v>
      </c>
      <c r="B27" s="294" t="s">
        <v>755</v>
      </c>
      <c r="C27" s="21">
        <f ca="1">ROUND(F21*F26,4)</f>
        <v>0</v>
      </c>
      <c r="D27" s="315" t="s">
        <v>756</v>
      </c>
      <c r="E27" s="312"/>
      <c r="F27" s="313"/>
      <c r="G27" s="1291"/>
      <c r="H27" s="296"/>
      <c r="I27" s="297"/>
      <c r="J27" s="298"/>
      <c r="K27" s="323" t="s">
        <v>757</v>
      </c>
      <c r="L27" s="294" t="s">
        <v>758</v>
      </c>
      <c r="M27" s="324">
        <f ca="1">INDIRECT("'数据-取费表'!ag"&amp;$G$1)</f>
        <v>0</v>
      </c>
    </row>
    <row r="28" spans="1:37" s="1303" customFormat="1" ht="18" customHeight="1">
      <c r="A28" s="928" t="s">
        <v>400</v>
      </c>
      <c r="B28" s="294" t="s">
        <v>759</v>
      </c>
      <c r="C28" s="21">
        <f>ROUND(F28/(1+'数据-取费表'!C42),4)</f>
        <v>5.2400000000000002E-2</v>
      </c>
      <c r="D28" s="315" t="s">
        <v>760</v>
      </c>
      <c r="E28" s="294" t="s">
        <v>707</v>
      </c>
      <c r="F28" s="314">
        <f>'数据-取费表'!B41</f>
        <v>5.5000000000000007E-2</v>
      </c>
      <c r="G28" s="1302"/>
      <c r="H28" s="300"/>
      <c r="I28" s="301"/>
      <c r="J28" s="302"/>
      <c r="K28" s="319"/>
      <c r="L28" s="294" t="s">
        <v>761</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762</v>
      </c>
      <c r="C29" s="1028">
        <f ca="1">ROUND((C19+C20+C23+C26)/(1-F21-C24-C27-C28),0)</f>
        <v>0</v>
      </c>
      <c r="D29" s="1029"/>
      <c r="E29" s="1027"/>
      <c r="F29" s="1030"/>
      <c r="G29" s="1302"/>
      <c r="H29" s="325" t="s">
        <v>396</v>
      </c>
      <c r="I29" s="326" t="s">
        <v>763</v>
      </c>
      <c r="J29" s="327">
        <f ca="1">ROUND(J26/(1+F40)^F41,0)</f>
        <v>0</v>
      </c>
      <c r="K29" s="328" t="s">
        <v>764</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709</v>
      </c>
      <c r="C30" s="302">
        <f ca="1">ROUND(C31+C36+C37+C38,0)</f>
        <v>0</v>
      </c>
      <c r="D30" s="1024" t="s">
        <v>710</v>
      </c>
      <c r="E30" s="1025"/>
      <c r="F30" s="1009"/>
      <c r="G30" s="1291"/>
      <c r="H30" s="2467"/>
      <c r="I30" s="1304"/>
      <c r="J30" s="1305"/>
      <c r="K30" s="121"/>
      <c r="L30" s="2468"/>
      <c r="M30" s="2469"/>
    </row>
    <row r="31" spans="1:37" ht="18" customHeight="1">
      <c r="A31" s="928" t="s">
        <v>398</v>
      </c>
      <c r="B31" s="294" t="s">
        <v>714</v>
      </c>
      <c r="C31" s="2137">
        <f ca="1">ROUND(IF(AND(项目基本情况!B11="自然人",项目基本情况!B10="北京市"),C6*F31/(1+'数据-取费表'!C42),C32+C33+C34),0)</f>
        <v>0</v>
      </c>
      <c r="D31" s="1256" t="s">
        <v>715</v>
      </c>
      <c r="E31" s="1255" t="s">
        <v>765</v>
      </c>
      <c r="F31" s="2136" t="str">
        <f>IF(项目基本情况!B11="企业","——",IF(M47="住宅",IF(F6*F7*F8/12/(1+'数据-取费表'!F30)&gt;100000,4%,2.5%),IF(F6*F7*F8/12/(1+'数据-取费表'!F30)&gt;100000,12%,7%)))</f>
        <v>——</v>
      </c>
      <c r="G31" s="1291"/>
      <c r="H31" s="2566" t="s">
        <v>2293</v>
      </c>
      <c r="I31" s="1304"/>
      <c r="J31" s="1305"/>
      <c r="K31" s="121"/>
      <c r="L31" s="2468"/>
      <c r="M31" s="2469"/>
    </row>
    <row r="32" spans="1:37" ht="18" customHeight="1">
      <c r="A32" s="928" t="s">
        <v>397</v>
      </c>
      <c r="B32" s="294" t="s">
        <v>718</v>
      </c>
      <c r="C32" s="21">
        <f ca="1">IF(项目基本情况!B11="自然人","——",ROUND(C6*F32/(1+'数据-取费表'!C42),0))</f>
        <v>0</v>
      </c>
      <c r="D32" s="1255" t="s">
        <v>719</v>
      </c>
      <c r="E32" s="294" t="s">
        <v>707</v>
      </c>
      <c r="F32" s="322">
        <f>'数据-取费表'!B41</f>
        <v>5.5000000000000007E-2</v>
      </c>
      <c r="G32" s="1291"/>
      <c r="H32" s="2467"/>
      <c r="I32" s="1304"/>
      <c r="J32" s="1305"/>
      <c r="K32" s="121"/>
      <c r="L32" s="2468"/>
      <c r="M32" s="2469"/>
    </row>
    <row r="33" spans="1:18" ht="18" customHeight="1">
      <c r="A33" s="928" t="s">
        <v>399</v>
      </c>
      <c r="B33" s="294" t="s">
        <v>722</v>
      </c>
      <c r="C33" s="21">
        <f ca="1">IF(项目基本情况!B11="自然人","——",IF(D33="按租金收入计税",ROUND(C6*F33/(1+'数据-取费表'!C42),0),IF(D33="按房产原值计税",ROUND(C29*F33*0.7,0),INDIRECT("'数据-取费表'!Aj"&amp;$G$1))))</f>
        <v>0</v>
      </c>
      <c r="D33" s="1277" t="s">
        <v>3322</v>
      </c>
      <c r="E33" s="294" t="s">
        <v>707</v>
      </c>
      <c r="F33" s="314">
        <f>IF(D33="按票据","——",IF(D33="按租金收入计税",'数据-取费表'!B51,'数据-取费表'!B50))</f>
        <v>0.12</v>
      </c>
      <c r="G33" s="1291"/>
      <c r="H33" s="2470"/>
      <c r="I33" s="1304"/>
      <c r="J33" s="1305"/>
      <c r="K33" s="2471"/>
      <c r="L33" s="2470"/>
      <c r="M33" s="2470"/>
    </row>
    <row r="34" spans="1:18" ht="18" customHeight="1">
      <c r="A34" s="1006" t="s">
        <v>675</v>
      </c>
      <c r="B34" s="147" t="s">
        <v>725</v>
      </c>
      <c r="C34" s="22">
        <f ca="1">IF(项目基本情况!B11="自然人","——",ROUND(F34*F35,0))</f>
        <v>0</v>
      </c>
      <c r="D34" s="316" t="s">
        <v>726</v>
      </c>
      <c r="E34" s="294" t="s">
        <v>727</v>
      </c>
      <c r="F34" s="317">
        <f>'数据-取费表'!B52</f>
        <v>1.5</v>
      </c>
      <c r="G34" s="1291"/>
      <c r="H34" s="2467"/>
      <c r="I34" s="1304"/>
      <c r="J34" s="1305"/>
      <c r="K34" s="2472"/>
      <c r="L34" s="2473"/>
      <c r="M34" s="2473"/>
    </row>
    <row r="35" spans="1:18" ht="18" customHeight="1">
      <c r="A35" s="1040"/>
      <c r="B35" s="1038"/>
      <c r="C35" s="26"/>
      <c r="D35" s="319"/>
      <c r="E35" s="294" t="s">
        <v>731</v>
      </c>
      <c r="F35" s="295">
        <f ca="1">INDIRECT("'数据-取费表'!r"&amp;$G$1)</f>
        <v>0</v>
      </c>
      <c r="G35" s="1291"/>
      <c r="H35" s="2467"/>
      <c r="I35" s="1304"/>
      <c r="J35" s="1305"/>
      <c r="K35" s="2471"/>
      <c r="L35" s="2470"/>
      <c r="M35" s="2470"/>
    </row>
    <row r="36" spans="1:18" ht="18" customHeight="1">
      <c r="A36" s="1039" t="s">
        <v>402</v>
      </c>
      <c r="B36" s="294" t="s">
        <v>733</v>
      </c>
      <c r="C36" s="21">
        <f ca="1">ROUND(C29*F36,0)</f>
        <v>0</v>
      </c>
      <c r="D36" s="1255" t="s">
        <v>766</v>
      </c>
      <c r="E36" s="294" t="s">
        <v>707</v>
      </c>
      <c r="F36" s="320">
        <f ca="1">INDIRECT("'数据-取费表'!Ak"&amp;$G$1)</f>
        <v>0</v>
      </c>
      <c r="G36" s="1291"/>
      <c r="H36" s="2470"/>
      <c r="I36" s="1304"/>
      <c r="J36" s="1305"/>
      <c r="K36" s="2327"/>
      <c r="L36" s="2470"/>
      <c r="M36" s="2470"/>
    </row>
    <row r="37" spans="1:18" ht="18" customHeight="1">
      <c r="A37" s="928" t="s">
        <v>437</v>
      </c>
      <c r="B37" s="294" t="s">
        <v>737</v>
      </c>
      <c r="C37" s="21">
        <f ca="1">ROUND(C13*F37,0)</f>
        <v>0</v>
      </c>
      <c r="D37" s="1255" t="s">
        <v>738</v>
      </c>
      <c r="E37" s="294" t="s">
        <v>739</v>
      </c>
      <c r="F37" s="321">
        <f ca="1">INDIRECT("'数据-取费表'!Al"&amp;$G$1)</f>
        <v>0</v>
      </c>
      <c r="G37" s="1291"/>
      <c r="H37" s="2470"/>
      <c r="I37" s="1304"/>
      <c r="J37" s="1305"/>
      <c r="K37" s="2327"/>
      <c r="L37" s="2470"/>
      <c r="M37" s="2470"/>
    </row>
    <row r="38" spans="1:18" ht="18" customHeight="1" thickBot="1">
      <c r="A38" s="1026" t="s">
        <v>679</v>
      </c>
      <c r="B38" s="1027" t="s">
        <v>723</v>
      </c>
      <c r="C38" s="1028">
        <f ca="1">ROUND(C5*F38,0)</f>
        <v>0</v>
      </c>
      <c r="D38" s="1029" t="s">
        <v>743</v>
      </c>
      <c r="E38" s="1027" t="s">
        <v>739</v>
      </c>
      <c r="F38" s="1023">
        <f ca="1">INDIRECT("'数据-取费表'!Am"&amp;$G$1)</f>
        <v>0</v>
      </c>
      <c r="G38" s="1291"/>
      <c r="H38" s="2470"/>
      <c r="I38" s="1304"/>
      <c r="J38" s="1305"/>
      <c r="K38" s="2468"/>
      <c r="L38" s="2470"/>
      <c r="M38" s="2470"/>
    </row>
    <row r="39" spans="1:18" ht="24.6" customHeight="1" thickTop="1">
      <c r="A39" s="1016" t="s">
        <v>394</v>
      </c>
      <c r="B39" s="1031" t="s">
        <v>767</v>
      </c>
      <c r="C39" s="302">
        <f ca="1">C5-C30</f>
        <v>0</v>
      </c>
      <c r="D39" s="1032" t="s">
        <v>768</v>
      </c>
      <c r="E39" s="1033"/>
      <c r="F39" s="1034"/>
      <c r="G39" s="1291"/>
      <c r="H39" s="2470"/>
      <c r="I39" s="1304"/>
      <c r="J39" s="1305"/>
      <c r="K39" s="2468"/>
      <c r="L39" s="2470"/>
      <c r="M39" s="2470"/>
    </row>
    <row r="40" spans="1:18" ht="18" customHeight="1">
      <c r="A40" s="291" t="s">
        <v>395</v>
      </c>
      <c r="B40" s="292" t="s">
        <v>769</v>
      </c>
      <c r="C40" s="293" t="e">
        <f ca="1">ROUND(C39*(1-((1+F42)/(1+F40))^F41)/(F40-F42),0)</f>
        <v>#DIV/0!</v>
      </c>
      <c r="D40" s="316" t="s">
        <v>753</v>
      </c>
      <c r="E40" s="294" t="s">
        <v>754</v>
      </c>
      <c r="F40" s="304">
        <f ca="1">INDIRECT("'数据-取费表'!I"&amp;$G$1)</f>
        <v>0</v>
      </c>
      <c r="G40" s="1291"/>
      <c r="H40" s="1365"/>
      <c r="I40" s="1304"/>
      <c r="J40" s="1305"/>
      <c r="K40" s="2468"/>
      <c r="L40" s="1365"/>
      <c r="M40" s="1365"/>
    </row>
    <row r="41" spans="1:18" ht="18" customHeight="1">
      <c r="A41" s="296"/>
      <c r="B41" s="297"/>
      <c r="C41" s="298"/>
      <c r="D41" s="323" t="s">
        <v>770</v>
      </c>
      <c r="E41" s="294" t="s">
        <v>758</v>
      </c>
      <c r="F41" s="324">
        <f ca="1">IF(INDIRECT("'数据-取费表'!af"&amp;$G$1)=0,INDIRECT("'数据-取费表'!ae"&amp;$G$1),INDIRECT("'数据-取费表'!af"&amp;$G$1))</f>
        <v>0</v>
      </c>
      <c r="G41" s="1291"/>
      <c r="H41" s="121"/>
      <c r="I41" s="1304"/>
      <c r="J41" s="1305"/>
      <c r="K41" s="2327"/>
      <c r="L41" s="121"/>
      <c r="M41" s="121"/>
    </row>
    <row r="42" spans="1:18" ht="18" customHeight="1">
      <c r="A42" s="300"/>
      <c r="B42" s="301"/>
      <c r="C42" s="302"/>
      <c r="D42" s="319"/>
      <c r="E42" s="294" t="s">
        <v>761</v>
      </c>
      <c r="F42" s="304">
        <f ca="1">INDIRECT("'数据-取费表'!v"&amp;$G$1)</f>
        <v>0</v>
      </c>
      <c r="G42" s="1291"/>
      <c r="H42" s="121"/>
      <c r="I42" s="1304"/>
      <c r="J42" s="1305"/>
      <c r="K42" s="2327"/>
      <c r="L42" s="121"/>
      <c r="M42" s="121"/>
    </row>
    <row r="43" spans="1:18" ht="18" customHeight="1" thickBot="1">
      <c r="A43" s="325" t="s">
        <v>396</v>
      </c>
      <c r="B43" s="326" t="s">
        <v>771</v>
      </c>
      <c r="C43" s="327" t="e">
        <f ca="1">ROUND(C40/F43,0)</f>
        <v>#DIV/0!</v>
      </c>
      <c r="D43" s="328" t="s">
        <v>772</v>
      </c>
      <c r="E43" s="329" t="s">
        <v>773</v>
      </c>
      <c r="F43" s="330">
        <f ca="1">INDIRECT("'数据-取费表'!k"&amp;$G$1)</f>
        <v>0</v>
      </c>
      <c r="G43" s="1291"/>
      <c r="H43" s="121"/>
      <c r="I43" s="121"/>
      <c r="J43" s="121"/>
      <c r="K43" s="2327"/>
      <c r="L43" s="121"/>
      <c r="M43" s="121"/>
    </row>
    <row r="44" spans="1:18" s="1291" customFormat="1" ht="18" customHeight="1">
      <c r="A44" s="1306"/>
      <c r="B44" s="1306"/>
      <c r="C44" s="1307"/>
      <c r="D44" s="1306"/>
      <c r="E44" s="1306"/>
      <c r="F44" s="1306"/>
      <c r="K44" s="1308"/>
    </row>
    <row r="45" spans="1:18" s="1291" customFormat="1" ht="18" customHeight="1" thickBot="1">
      <c r="A45" s="3126" t="s">
        <v>3338</v>
      </c>
      <c r="B45" s="1306"/>
      <c r="C45" s="1375" t="e">
        <f ca="1">ROUND((C68-C40)/10000,4)</f>
        <v>#DIV/0!</v>
      </c>
      <c r="D45" s="3127" t="s">
        <v>3339</v>
      </c>
      <c r="E45" s="1306"/>
      <c r="F45" s="1306"/>
      <c r="O45" s="1309" t="s">
        <v>803</v>
      </c>
      <c r="P45" s="1365"/>
      <c r="Q45" s="1365"/>
      <c r="R45" s="1365"/>
    </row>
    <row r="46" spans="1:18" s="1291" customFormat="1" ht="13.5" thickBot="1">
      <c r="A46" s="1310" t="s">
        <v>804</v>
      </c>
      <c r="C46" s="1311" t="e">
        <f ca="1">ROUND(C45,0)</f>
        <v>#DIV/0!</v>
      </c>
      <c r="D46" s="1312" t="str">
        <f>C2</f>
        <v>万元</v>
      </c>
      <c r="I46" s="1313" t="s">
        <v>805</v>
      </c>
      <c r="J46" s="1314"/>
      <c r="K46" s="1315"/>
      <c r="L46" s="1316" t="e">
        <f ca="1">IF(M47="住宅",0,IF(L48&gt;J51,L60,J60))</f>
        <v>#DIV/0!</v>
      </c>
      <c r="O46" s="1317" t="s">
        <v>806</v>
      </c>
      <c r="P46" s="1318" t="s">
        <v>807</v>
      </c>
      <c r="Q46" s="1319" t="s">
        <v>808</v>
      </c>
      <c r="R46" s="1319" t="s">
        <v>809</v>
      </c>
    </row>
    <row r="47" spans="1:18" s="1291" customFormat="1" ht="13.5" thickBot="1">
      <c r="A47" s="892" t="s">
        <v>682</v>
      </c>
      <c r="B47" s="924" t="s">
        <v>683</v>
      </c>
      <c r="C47" s="924" t="s">
        <v>684</v>
      </c>
      <c r="D47" s="924" t="s">
        <v>685</v>
      </c>
      <c r="E47" s="995" t="s">
        <v>686</v>
      </c>
      <c r="F47" s="996"/>
      <c r="G47" s="681"/>
      <c r="I47" s="1320" t="s">
        <v>810</v>
      </c>
      <c r="J47" s="1321"/>
      <c r="K47" s="1322" t="s">
        <v>811</v>
      </c>
      <c r="L47" s="1323">
        <f ca="1">INDIRECT("'数据-取费表'!d"&amp;$G$1)</f>
        <v>0</v>
      </c>
      <c r="M47" s="1287" t="str">
        <f>IF(ISNUMBER(FIND("住宅",C1)),"住宅","非住宅")</f>
        <v>非住宅</v>
      </c>
      <c r="O47" s="1324" t="s">
        <v>403</v>
      </c>
      <c r="P47" s="1325" t="s">
        <v>812</v>
      </c>
      <c r="Q47" s="1326" t="e">
        <f ca="1">C40+J29</f>
        <v>#DIV/0!</v>
      </c>
      <c r="R47" s="1326" t="s">
        <v>813</v>
      </c>
    </row>
    <row r="48" spans="1:18" s="1291" customFormat="1" ht="28.5" thickBot="1">
      <c r="A48" s="1047" t="s">
        <v>438</v>
      </c>
      <c r="B48" s="292" t="s">
        <v>687</v>
      </c>
      <c r="C48" s="1267">
        <f ca="1">C49+C53+C55</f>
        <v>0</v>
      </c>
      <c r="D48" s="1049"/>
      <c r="E48" s="1050"/>
      <c r="F48" s="908"/>
      <c r="G48" s="681"/>
      <c r="H48" s="682"/>
      <c r="I48" s="1327" t="s">
        <v>814</v>
      </c>
      <c r="J48" s="1328"/>
      <c r="K48" s="1329" t="s">
        <v>815</v>
      </c>
      <c r="L48" s="1330">
        <f ca="1">INDIRECT("'数据-取费表'!f"&amp;$G$1)</f>
        <v>0</v>
      </c>
      <c r="O48" s="1324" t="s">
        <v>404</v>
      </c>
      <c r="P48" s="1325" t="s">
        <v>816</v>
      </c>
      <c r="Q48" s="1326" t="e">
        <f ca="1">J60</f>
        <v>#DIV/0!</v>
      </c>
      <c r="R48" s="1326" t="s">
        <v>817</v>
      </c>
    </row>
    <row r="49" spans="1:18" s="1291" customFormat="1" ht="13.5" thickBot="1">
      <c r="A49" s="921" t="s">
        <v>439</v>
      </c>
      <c r="B49" s="1278" t="s">
        <v>774</v>
      </c>
      <c r="C49" s="1051">
        <f ca="1">ROUND(F49*F51*F50*(1-F52),0)</f>
        <v>0</v>
      </c>
      <c r="D49" s="992" t="s">
        <v>690</v>
      </c>
      <c r="E49" s="1279" t="s">
        <v>775</v>
      </c>
      <c r="F49" s="997"/>
      <c r="H49" s="682"/>
      <c r="I49" s="1327" t="s">
        <v>818</v>
      </c>
      <c r="J49" s="1331"/>
      <c r="K49" s="1329" t="s">
        <v>819</v>
      </c>
      <c r="L49" s="1332"/>
      <c r="O49" s="1333" t="s">
        <v>405</v>
      </c>
      <c r="P49" s="1325" t="s">
        <v>820</v>
      </c>
      <c r="Q49" s="1326">
        <f ca="1">C29</f>
        <v>0</v>
      </c>
      <c r="R49" s="1326" t="s">
        <v>813</v>
      </c>
    </row>
    <row r="50" spans="1:18" s="1291" customFormat="1" ht="13.5" thickBot="1">
      <c r="A50" s="922"/>
      <c r="B50" s="925"/>
      <c r="C50" s="926"/>
      <c r="D50" s="899"/>
      <c r="E50" s="993" t="s">
        <v>692</v>
      </c>
      <c r="F50" s="994">
        <f ca="1">F7</f>
        <v>0</v>
      </c>
      <c r="H50" s="682"/>
      <c r="I50" s="1327" t="s">
        <v>821</v>
      </c>
      <c r="J50" s="1334">
        <f>SUMPRODUCT((I63:I65=J47)*(J62:L62=J48)*(J63:L65))</f>
        <v>0</v>
      </c>
      <c r="K50" s="1329" t="s">
        <v>822</v>
      </c>
      <c r="L50" s="1332"/>
      <c r="M50" s="1335"/>
      <c r="O50" s="1333" t="s">
        <v>406</v>
      </c>
      <c r="P50" s="1325" t="s">
        <v>823</v>
      </c>
      <c r="Q50" s="1336" t="e">
        <f ca="1">J58</f>
        <v>#DIV/0!</v>
      </c>
      <c r="R50" s="1326"/>
    </row>
    <row r="51" spans="1:18" s="1291" customFormat="1" ht="13.5" thickBot="1">
      <c r="A51" s="923"/>
      <c r="B51" s="925"/>
      <c r="C51" s="926"/>
      <c r="D51" s="899"/>
      <c r="E51" s="927" t="s">
        <v>693</v>
      </c>
      <c r="F51" s="295">
        <f ca="1">F8</f>
        <v>0</v>
      </c>
      <c r="I51" s="1337" t="s">
        <v>824</v>
      </c>
      <c r="J51" s="1330">
        <f>IF(J49="",J50,J49+J50-YEAR('数据-取费表'!B2))</f>
        <v>0</v>
      </c>
      <c r="K51" s="1338" t="s">
        <v>825</v>
      </c>
      <c r="L51" s="1339">
        <f ca="1">ROUND(-PV(INDIRECT("'数据-取费表'!h"&amp;$G$1),J51,(C39-C13*C76),0),0)</f>
        <v>0</v>
      </c>
      <c r="M51" s="1340"/>
      <c r="O51" s="1333" t="s">
        <v>407</v>
      </c>
      <c r="P51" s="1325" t="s">
        <v>826</v>
      </c>
      <c r="Q51" s="1336">
        <f>J52</f>
        <v>0</v>
      </c>
      <c r="R51" s="1326"/>
    </row>
    <row r="52" spans="1:18" s="1291" customFormat="1" ht="13.5" thickBot="1">
      <c r="A52" s="923"/>
      <c r="B52" s="925"/>
      <c r="C52" s="926"/>
      <c r="D52" s="899"/>
      <c r="E52" s="927" t="s">
        <v>694</v>
      </c>
      <c r="F52" s="991"/>
      <c r="I52" s="1341" t="s">
        <v>827</v>
      </c>
      <c r="J52" s="1342"/>
      <c r="K52" s="1341" t="s">
        <v>828</v>
      </c>
      <c r="L52" s="1342"/>
      <c r="O52" s="1333" t="s">
        <v>408</v>
      </c>
      <c r="P52" s="1325" t="s">
        <v>829</v>
      </c>
      <c r="Q52" s="1326">
        <f ca="1">J53</f>
        <v>0</v>
      </c>
      <c r="R52" s="1326" t="s">
        <v>830</v>
      </c>
    </row>
    <row r="53" spans="1:18" s="1291" customFormat="1" ht="30.75" customHeight="1" thickBot="1">
      <c r="A53" s="1048" t="s">
        <v>440</v>
      </c>
      <c r="B53" s="315" t="s">
        <v>695</v>
      </c>
      <c r="C53" s="308">
        <f ca="1">ROUND(IF(F53="押一",C49/12*F11,IF(F53="押二",C49/12*2*F11,IF(F53="押三",C49/12*3*F11,C54*F11))),0)</f>
        <v>0</v>
      </c>
      <c r="D53" s="150" t="s">
        <v>2113</v>
      </c>
      <c r="E53" s="305" t="s">
        <v>696</v>
      </c>
      <c r="F53" s="1053"/>
      <c r="I53" s="1343" t="s">
        <v>831</v>
      </c>
      <c r="J53" s="2003">
        <f ca="1">IF(M47="住宅",IF(D1="——",MAX(J51,L48),MAX(J51,L48-'数据-取费表'!B24)),IF(D1="——",MIN(J51,L48),MIN(J51,L48-'数据-取费表'!B24)))</f>
        <v>0</v>
      </c>
      <c r="K53" s="3395" t="s">
        <v>832</v>
      </c>
      <c r="L53" s="3396"/>
      <c r="O53" s="1324" t="s">
        <v>409</v>
      </c>
      <c r="P53" s="1325" t="s">
        <v>833</v>
      </c>
      <c r="Q53" s="1326" t="e">
        <f ca="1">Q47+Q48</f>
        <v>#DIV/0!</v>
      </c>
      <c r="R53" s="1326" t="s">
        <v>410</v>
      </c>
    </row>
    <row r="54" spans="1:18" s="1291" customFormat="1" ht="13.5" thickBot="1">
      <c r="A54" s="921"/>
      <c r="B54" s="1376" t="s">
        <v>886</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834</v>
      </c>
      <c r="P54" s="1288"/>
      <c r="Q54" s="1288"/>
      <c r="R54" s="1288"/>
    </row>
    <row r="55" spans="1:18" s="1291" customFormat="1" ht="13.5" thickBot="1">
      <c r="A55" s="1020" t="s">
        <v>437</v>
      </c>
      <c r="B55" s="1276" t="s">
        <v>698</v>
      </c>
      <c r="C55" s="1021"/>
      <c r="D55" s="150"/>
      <c r="E55" s="1281"/>
      <c r="F55" s="1344"/>
      <c r="I55" s="1347" t="s">
        <v>835</v>
      </c>
      <c r="J55" s="1348" t="e">
        <f ca="1">ROUND(IF(J47="钢混",J57/J50,1-(1-2%)*(J50-J57)/J50),3)</f>
        <v>#DIV/0!</v>
      </c>
      <c r="K55" s="1349" t="s">
        <v>836</v>
      </c>
      <c r="L55" s="1350"/>
      <c r="O55" s="1317" t="s">
        <v>806</v>
      </c>
      <c r="P55" s="1318" t="s">
        <v>807</v>
      </c>
      <c r="Q55" s="1319" t="s">
        <v>808</v>
      </c>
      <c r="R55" s="1319" t="s">
        <v>809</v>
      </c>
    </row>
    <row r="56" spans="1:18" s="1291" customFormat="1" ht="36" customHeight="1" thickTop="1" thickBot="1">
      <c r="A56" s="903">
        <v>2</v>
      </c>
      <c r="B56" s="904" t="s">
        <v>699</v>
      </c>
      <c r="C56" s="224">
        <f ca="1">C13</f>
        <v>0</v>
      </c>
      <c r="D56" s="1351"/>
      <c r="E56" s="1352"/>
      <c r="F56" s="1344"/>
      <c r="I56" s="1353" t="s">
        <v>837</v>
      </c>
      <c r="J56" s="1354"/>
      <c r="K56" s="1327" t="s">
        <v>838</v>
      </c>
      <c r="L56" s="1330">
        <f ca="1">IF(L48&lt;J51,"——",L48-J51)</f>
        <v>0</v>
      </c>
      <c r="O56" s="1324" t="s">
        <v>403</v>
      </c>
      <c r="P56" s="1325" t="s">
        <v>812</v>
      </c>
      <c r="Q56" s="1326" t="e">
        <f ca="1">C40+J29</f>
        <v>#DIV/0!</v>
      </c>
      <c r="R56" s="1326" t="s">
        <v>813</v>
      </c>
    </row>
    <row r="57" spans="1:18" s="1291" customFormat="1" ht="24.75" thickBot="1">
      <c r="A57" s="1355"/>
      <c r="B57" s="896" t="s">
        <v>762</v>
      </c>
      <c r="C57" s="230">
        <f ca="1">C29</f>
        <v>0</v>
      </c>
      <c r="D57" s="1356"/>
      <c r="E57" s="1357"/>
      <c r="F57" s="1358"/>
      <c r="I57" s="1359" t="s">
        <v>839</v>
      </c>
      <c r="J57" s="1360">
        <f ca="1">IF(OR(M47="住宅",J51&lt;L48,J56="是"),"——",J51-L48)</f>
        <v>0</v>
      </c>
      <c r="K57" s="1327" t="s">
        <v>887</v>
      </c>
      <c r="L57" s="1330">
        <f ca="1">IF(L48&lt;J51,"——",IF(L55="比较法",L49,IF(L55="基准地价",L50,L51)))</f>
        <v>0</v>
      </c>
      <c r="O57" s="1324" t="s">
        <v>404</v>
      </c>
      <c r="P57" s="1325" t="s">
        <v>888</v>
      </c>
      <c r="Q57" s="1326" t="e">
        <f ca="1">L60</f>
        <v>#DIV/0!</v>
      </c>
      <c r="R57" s="1326" t="s">
        <v>889</v>
      </c>
    </row>
    <row r="58" spans="1:18" s="1291" customFormat="1" ht="24.75" thickBot="1">
      <c r="A58" s="307" t="s">
        <v>393</v>
      </c>
      <c r="B58" s="904" t="s">
        <v>709</v>
      </c>
      <c r="C58" s="308">
        <f ca="1">ROUND(C59+C64+C65+C66,0)</f>
        <v>0</v>
      </c>
      <c r="D58" s="906" t="s">
        <v>710</v>
      </c>
      <c r="E58" s="907"/>
      <c r="F58" s="908"/>
      <c r="I58" s="1359" t="s">
        <v>843</v>
      </c>
      <c r="J58" s="1361" t="e">
        <f ca="1">IF(J55&lt;0.4,0.4,J55)</f>
        <v>#DIV/0!</v>
      </c>
      <c r="K58" s="1338" t="s">
        <v>890</v>
      </c>
      <c r="L58" s="1330" t="e">
        <f ca="1">ROUND(POWER(1+L52,L47-L48)*(POWER(1+L52,L48)-1)/(POWER(1+L52,L47)-1),4)</f>
        <v>#DIV/0!</v>
      </c>
      <c r="O58" s="1333" t="s">
        <v>405</v>
      </c>
      <c r="P58" s="1325" t="s">
        <v>845</v>
      </c>
      <c r="Q58" s="1326">
        <f>IF(L55="比较法",L49,IF(L55="基准地价",L50,0))</f>
        <v>0</v>
      </c>
      <c r="R58" s="1326" t="s">
        <v>813</v>
      </c>
    </row>
    <row r="59" spans="1:18" s="1291" customFormat="1" ht="24.75" thickBot="1">
      <c r="A59" s="928" t="s">
        <v>398</v>
      </c>
      <c r="B59" s="896" t="s">
        <v>714</v>
      </c>
      <c r="C59" s="2137">
        <f ca="1">ROUND(IF(AND(项目基本情况!B11="自然人",项目基本情况!B10="北京市"),C49*F59/(1+'数据-取费表'!C42),C60+C61+C62),0)</f>
        <v>0</v>
      </c>
      <c r="D59" s="909" t="s">
        <v>715</v>
      </c>
      <c r="E59" s="910" t="s">
        <v>716</v>
      </c>
      <c r="F59" s="2136" t="str">
        <f>IF(项目基本情况!B11="企业","——",IF('数据-取费表'!B10="住宅",IF(F49*F50*F51/12/(1+'数据-取费表'!F30)&gt;100000,4%,2.5%),IF(F49*F50*F51/12/(1+'数据-取费表'!F30)&gt;100000,12%,7%)))</f>
        <v>——</v>
      </c>
      <c r="I59" s="1359" t="s">
        <v>846</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847</v>
      </c>
      <c r="Q59" s="1336">
        <f>L52</f>
        <v>0</v>
      </c>
      <c r="R59" s="1326"/>
    </row>
    <row r="60" spans="1:18" s="1291" customFormat="1" ht="16.5" thickBot="1">
      <c r="A60" s="928" t="s">
        <v>397</v>
      </c>
      <c r="B60" s="896" t="s">
        <v>718</v>
      </c>
      <c r="C60" s="21">
        <f ca="1">IF(项目基本情况!B11="自然人","——",ROUND(C48*F60/(1+'数据-取费表'!C42),0))</f>
        <v>0</v>
      </c>
      <c r="D60" s="910" t="s">
        <v>719</v>
      </c>
      <c r="E60" s="896" t="s">
        <v>707</v>
      </c>
      <c r="F60" s="322">
        <f t="shared" ref="F60:F66" si="0">F32</f>
        <v>5.5000000000000007E-2</v>
      </c>
      <c r="I60" s="1362" t="s">
        <v>848</v>
      </c>
      <c r="J60" s="1363" t="e">
        <f ca="1">IF(OR(M47="住宅",J51&lt;L48,J56="是"),"0",ROUND(J59/(1+J52)^J53,0))</f>
        <v>#DIV/0!</v>
      </c>
      <c r="K60" s="1364" t="s">
        <v>849</v>
      </c>
      <c r="L60" s="1363" t="e">
        <f ca="1">IF(OR(M47="住宅",L48&lt;J51),0,ROUND(L57*(L58/L59-1),0))</f>
        <v>#DIV/0!</v>
      </c>
      <c r="O60" s="1333" t="s">
        <v>407</v>
      </c>
      <c r="P60" s="1325" t="s">
        <v>850</v>
      </c>
      <c r="Q60" s="1326" t="e">
        <f ca="1">L58</f>
        <v>#DIV/0!</v>
      </c>
      <c r="R60" s="1326" t="s">
        <v>851</v>
      </c>
    </row>
    <row r="61" spans="1:18" s="1291" customFormat="1" ht="13.5" thickBot="1">
      <c r="A61" s="928" t="s">
        <v>776</v>
      </c>
      <c r="B61" s="896" t="s">
        <v>777</v>
      </c>
      <c r="C61" s="21">
        <f ca="1">IF(项目基本情况!B11="自然人","——",IF(D61="按租金收入计税",ROUND(C49*F61/(1+'数据-取费表'!C42),0),IF(D61="按房产原值计税",ROUND(C57*F61*0.7,0),INDIRECT("'数据-取费表'!Aj"&amp;$G$1))))</f>
        <v>0</v>
      </c>
      <c r="D61" s="1277" t="s">
        <v>3322</v>
      </c>
      <c r="E61" s="896" t="s">
        <v>778</v>
      </c>
      <c r="F61" s="314">
        <f t="shared" si="0"/>
        <v>0.12</v>
      </c>
      <c r="I61" s="1365"/>
      <c r="J61" s="1365"/>
      <c r="K61" s="1365"/>
      <c r="L61" s="1365"/>
      <c r="O61" s="1333" t="s">
        <v>408</v>
      </c>
      <c r="P61" s="1325" t="str">
        <f>K59</f>
        <v>建筑物剩余耐用年限下的土地年期修正系数Kn</v>
      </c>
      <c r="Q61" s="1326" t="e">
        <f ca="1">L59</f>
        <v>#DIV/0!</v>
      </c>
      <c r="R61" s="1326" t="s">
        <v>852</v>
      </c>
    </row>
    <row r="62" spans="1:18" s="1291" customFormat="1" ht="13.5" thickBot="1">
      <c r="A62" s="928" t="s">
        <v>779</v>
      </c>
      <c r="B62" s="895" t="s">
        <v>780</v>
      </c>
      <c r="C62" s="22">
        <f ca="1">IF(项目基本情况!B11="自然人","——",ROUND(F62*F63,0))</f>
        <v>0</v>
      </c>
      <c r="D62" s="911" t="s">
        <v>781</v>
      </c>
      <c r="E62" s="896" t="s">
        <v>782</v>
      </c>
      <c r="F62" s="317">
        <f t="shared" si="0"/>
        <v>1.5</v>
      </c>
      <c r="I62" s="1366" t="s">
        <v>853</v>
      </c>
      <c r="J62" s="610" t="s">
        <v>854</v>
      </c>
      <c r="K62" s="610" t="s">
        <v>855</v>
      </c>
      <c r="L62" s="610" t="s">
        <v>856</v>
      </c>
      <c r="M62" s="1367" t="s">
        <v>857</v>
      </c>
      <c r="O62" s="1324" t="s">
        <v>409</v>
      </c>
      <c r="P62" s="1325" t="s">
        <v>858</v>
      </c>
      <c r="Q62" s="1326" t="e">
        <f ca="1">Q56+Q57</f>
        <v>#DIV/0!</v>
      </c>
      <c r="R62" s="1326" t="s">
        <v>410</v>
      </c>
    </row>
    <row r="63" spans="1:18" s="1291" customFormat="1" ht="13.5" thickBot="1">
      <c r="A63" s="318"/>
      <c r="B63" s="902"/>
      <c r="C63" s="26"/>
      <c r="D63" s="912"/>
      <c r="E63" s="896" t="s">
        <v>783</v>
      </c>
      <c r="F63" s="295">
        <f t="shared" ca="1" si="0"/>
        <v>0</v>
      </c>
      <c r="I63" s="1366" t="s">
        <v>859</v>
      </c>
      <c r="J63" s="610">
        <v>70</v>
      </c>
      <c r="K63" s="610">
        <v>50</v>
      </c>
      <c r="L63" s="610">
        <v>80</v>
      </c>
      <c r="M63" s="1368">
        <v>0.02</v>
      </c>
      <c r="O63" s="1309" t="s">
        <v>860</v>
      </c>
      <c r="P63" s="1288"/>
      <c r="Q63" s="1288"/>
      <c r="R63" s="1288"/>
    </row>
    <row r="64" spans="1:18" s="1291" customFormat="1" ht="13.5" thickBot="1">
      <c r="A64" s="928" t="s">
        <v>784</v>
      </c>
      <c r="B64" s="896" t="s">
        <v>785</v>
      </c>
      <c r="C64" s="21">
        <f ca="1">ROUND(C57*F64,0)</f>
        <v>0</v>
      </c>
      <c r="D64" s="910" t="s">
        <v>786</v>
      </c>
      <c r="E64" s="896" t="s">
        <v>778</v>
      </c>
      <c r="F64" s="320">
        <f t="shared" ca="1" si="0"/>
        <v>0</v>
      </c>
      <c r="I64" s="1366" t="s">
        <v>861</v>
      </c>
      <c r="J64" s="610">
        <v>50</v>
      </c>
      <c r="K64" s="610">
        <v>35</v>
      </c>
      <c r="L64" s="610">
        <v>60</v>
      </c>
      <c r="M64" s="1367">
        <v>0</v>
      </c>
      <c r="O64" s="1317" t="s">
        <v>806</v>
      </c>
      <c r="P64" s="1318" t="s">
        <v>807</v>
      </c>
      <c r="Q64" s="1319" t="s">
        <v>808</v>
      </c>
      <c r="R64" s="1319" t="s">
        <v>809</v>
      </c>
    </row>
    <row r="65" spans="1:18" s="1291" customFormat="1" ht="13.5" thickBot="1">
      <c r="A65" s="928" t="s">
        <v>787</v>
      </c>
      <c r="B65" s="896" t="s">
        <v>737</v>
      </c>
      <c r="C65" s="21">
        <f ca="1">ROUND(C56*F65,0)</f>
        <v>0</v>
      </c>
      <c r="D65" s="910" t="s">
        <v>738</v>
      </c>
      <c r="E65" s="896" t="s">
        <v>739</v>
      </c>
      <c r="F65" s="321">
        <f t="shared" ca="1" si="0"/>
        <v>0</v>
      </c>
      <c r="I65" s="1366" t="s">
        <v>862</v>
      </c>
      <c r="J65" s="610">
        <v>40</v>
      </c>
      <c r="K65" s="610">
        <v>30</v>
      </c>
      <c r="L65" s="610">
        <v>50</v>
      </c>
      <c r="M65" s="1368">
        <v>0.02</v>
      </c>
      <c r="O65" s="1324" t="s">
        <v>403</v>
      </c>
      <c r="P65" s="1325" t="s">
        <v>863</v>
      </c>
      <c r="Q65" s="1326" t="e">
        <f ca="1">C40+J29</f>
        <v>#DIV/0!</v>
      </c>
      <c r="R65" s="1326" t="s">
        <v>813</v>
      </c>
    </row>
    <row r="66" spans="1:18" s="1291" customFormat="1" ht="16.5" thickBot="1">
      <c r="A66" s="928" t="s">
        <v>788</v>
      </c>
      <c r="B66" s="896" t="s">
        <v>723</v>
      </c>
      <c r="C66" s="21">
        <f ca="1">ROUND(C48*F66,0)</f>
        <v>0</v>
      </c>
      <c r="D66" s="910" t="s">
        <v>789</v>
      </c>
      <c r="E66" s="896" t="s">
        <v>707</v>
      </c>
      <c r="F66" s="304">
        <f t="shared" ca="1" si="0"/>
        <v>0</v>
      </c>
      <c r="O66" s="1324" t="s">
        <v>404</v>
      </c>
      <c r="P66" s="1325" t="s">
        <v>841</v>
      </c>
      <c r="Q66" s="1326" t="e">
        <f ca="1">L60</f>
        <v>#DIV/0!</v>
      </c>
      <c r="R66" s="1326" t="s">
        <v>864</v>
      </c>
    </row>
    <row r="67" spans="1:18" s="1291" customFormat="1" ht="16.5" thickBot="1">
      <c r="A67" s="903" t="s">
        <v>394</v>
      </c>
      <c r="B67" s="913" t="s">
        <v>747</v>
      </c>
      <c r="C67" s="308">
        <f ca="1">C48-C58</f>
        <v>0</v>
      </c>
      <c r="D67" s="909" t="s">
        <v>748</v>
      </c>
      <c r="E67" s="914"/>
      <c r="F67" s="915"/>
      <c r="O67" s="1333" t="s">
        <v>405</v>
      </c>
      <c r="P67" s="1325" t="s">
        <v>845</v>
      </c>
      <c r="Q67" s="1369">
        <f ca="1">L51</f>
        <v>0</v>
      </c>
      <c r="R67" s="1326" t="s">
        <v>865</v>
      </c>
    </row>
    <row r="68" spans="1:18" s="1291" customFormat="1" ht="16.5" thickBot="1">
      <c r="A68" s="893" t="s">
        <v>395</v>
      </c>
      <c r="B68" s="894" t="s">
        <v>769</v>
      </c>
      <c r="C68" s="293" t="e">
        <f ca="1">ROUND(C67*(1-((1+F70)/(1+F68))^F69)/(F68-F70),0)</f>
        <v>#DIV/0!</v>
      </c>
      <c r="D68" s="911" t="s">
        <v>753</v>
      </c>
      <c r="E68" s="896" t="s">
        <v>754</v>
      </c>
      <c r="F68" s="304">
        <f ca="1">F40</f>
        <v>0</v>
      </c>
      <c r="O68" s="1333" t="s">
        <v>406</v>
      </c>
      <c r="P68" s="1370" t="s">
        <v>866</v>
      </c>
      <c r="Q68" s="1326">
        <f ca="1">ROUND(Q69-Q70*Q71,0)</f>
        <v>0</v>
      </c>
      <c r="R68" s="1326" t="s">
        <v>414</v>
      </c>
    </row>
    <row r="69" spans="1:18" s="1291" customFormat="1" ht="13.5" thickBot="1">
      <c r="A69" s="897"/>
      <c r="B69" s="898"/>
      <c r="C69" s="298"/>
      <c r="D69" s="916" t="s">
        <v>757</v>
      </c>
      <c r="E69" s="896" t="s">
        <v>758</v>
      </c>
      <c r="F69" s="324">
        <f ca="1">F41</f>
        <v>0</v>
      </c>
      <c r="O69" s="1333" t="s">
        <v>411</v>
      </c>
      <c r="P69" s="1370" t="s">
        <v>867</v>
      </c>
      <c r="Q69" s="1326">
        <f ca="1">C39</f>
        <v>0</v>
      </c>
      <c r="R69" s="1326" t="s">
        <v>813</v>
      </c>
    </row>
    <row r="70" spans="1:18" s="1291" customFormat="1" ht="13.5" thickBot="1">
      <c r="A70" s="900"/>
      <c r="B70" s="901"/>
      <c r="C70" s="302"/>
      <c r="D70" s="912"/>
      <c r="E70" s="896" t="s">
        <v>761</v>
      </c>
      <c r="F70" s="991"/>
      <c r="O70" s="1333" t="s">
        <v>412</v>
      </c>
      <c r="P70" s="1370" t="s">
        <v>868</v>
      </c>
      <c r="Q70" s="1326">
        <f ca="1">C13</f>
        <v>0</v>
      </c>
      <c r="R70" s="1326" t="s">
        <v>813</v>
      </c>
    </row>
    <row r="71" spans="1:18" s="1291" customFormat="1" ht="13.5" thickBot="1">
      <c r="A71" s="917" t="s">
        <v>396</v>
      </c>
      <c r="B71" s="918" t="s">
        <v>771</v>
      </c>
      <c r="C71" s="327" t="e">
        <f ca="1">ROUND(C68/F71,0)</f>
        <v>#DIV/0!</v>
      </c>
      <c r="D71" s="919" t="s">
        <v>772</v>
      </c>
      <c r="E71" s="920" t="s">
        <v>773</v>
      </c>
      <c r="F71" s="330">
        <f ca="1">F43</f>
        <v>0</v>
      </c>
      <c r="O71" s="1333" t="s">
        <v>413</v>
      </c>
      <c r="P71" s="1370" t="s">
        <v>869</v>
      </c>
      <c r="Q71" s="1336">
        <f ca="1">C76</f>
        <v>0</v>
      </c>
      <c r="R71" s="1326"/>
    </row>
    <row r="72" spans="1:18" s="1291" customFormat="1" ht="13.5" thickBot="1">
      <c r="B72" s="685"/>
      <c r="C72" s="685"/>
      <c r="O72" s="1333" t="s">
        <v>407</v>
      </c>
      <c r="P72" s="1325" t="s">
        <v>847</v>
      </c>
      <c r="Q72" s="1336">
        <f>L52</f>
        <v>0</v>
      </c>
      <c r="R72" s="1326"/>
    </row>
    <row r="73" spans="1:18" ht="16.5" thickBot="1">
      <c r="A73" s="1291"/>
      <c r="B73" s="685"/>
      <c r="C73" s="685"/>
      <c r="D73" s="1291"/>
      <c r="E73" s="1291"/>
      <c r="F73" s="1291"/>
      <c r="O73" s="1333" t="s">
        <v>408</v>
      </c>
      <c r="P73" s="1325" t="s">
        <v>850</v>
      </c>
      <c r="Q73" s="1326" t="e">
        <f ca="1">L58</f>
        <v>#DIV/0!</v>
      </c>
      <c r="R73" s="1326" t="s">
        <v>851</v>
      </c>
    </row>
    <row r="74" spans="1:18" ht="13.5" thickBot="1">
      <c r="A74" s="1291"/>
      <c r="B74" s="265" t="s">
        <v>870</v>
      </c>
      <c r="C74" s="1372"/>
      <c r="D74" s="1291"/>
      <c r="E74" s="1291"/>
      <c r="F74" s="1291"/>
      <c r="O74" s="1333" t="s">
        <v>415</v>
      </c>
      <c r="P74" s="1325" t="str">
        <f>K59</f>
        <v>建筑物剩余耐用年限下的土地年期修正系数Kn</v>
      </c>
      <c r="Q74" s="1326" t="e">
        <f ca="1">L59</f>
        <v>#DIV/0!</v>
      </c>
      <c r="R74" s="1326" t="s">
        <v>852</v>
      </c>
    </row>
    <row r="75" spans="1:18" ht="13.5" thickBot="1">
      <c r="A75" s="1291"/>
      <c r="B75" s="331" t="s">
        <v>790</v>
      </c>
      <c r="C75" s="332">
        <f ca="1">ROUND(C13*C76,0)</f>
        <v>0</v>
      </c>
      <c r="D75" s="1291"/>
      <c r="E75" s="1291"/>
      <c r="F75" s="1291"/>
      <c r="K75" s="1308"/>
      <c r="L75" s="1291"/>
      <c r="O75" s="1324" t="s">
        <v>409</v>
      </c>
      <c r="P75" s="1325" t="s">
        <v>833</v>
      </c>
      <c r="Q75" s="1326" t="e">
        <f ca="1">Q65+Q66</f>
        <v>#DIV/0!</v>
      </c>
      <c r="R75" s="1326" t="s">
        <v>410</v>
      </c>
    </row>
    <row r="76" spans="1:18">
      <c r="B76" s="333" t="s">
        <v>791</v>
      </c>
      <c r="C76" s="334">
        <f ca="1">INDIRECT("'数据-取费表'!j"&amp;$G$1)</f>
        <v>0</v>
      </c>
      <c r="I76" s="1291"/>
      <c r="J76" s="1291"/>
      <c r="K76" s="1308"/>
      <c r="L76" s="1291"/>
    </row>
    <row r="77" spans="1:18">
      <c r="B77" s="335" t="s">
        <v>792</v>
      </c>
      <c r="C77" s="336"/>
      <c r="I77" s="1291"/>
      <c r="J77" s="1291"/>
      <c r="K77" s="1308"/>
      <c r="L77" s="1291"/>
    </row>
    <row r="78" spans="1:18">
      <c r="B78" s="262" t="s">
        <v>793</v>
      </c>
      <c r="C78" s="337"/>
    </row>
    <row r="79" spans="1:18">
      <c r="B79" s="331" t="s">
        <v>794</v>
      </c>
      <c r="C79" s="266" t="e">
        <f ca="1">1-C80</f>
        <v>#DIV/0!</v>
      </c>
    </row>
    <row r="80" spans="1:18">
      <c r="B80" s="331" t="s">
        <v>795</v>
      </c>
      <c r="C80" s="266" t="e">
        <f ca="1">ROUND(C75/C39,3)</f>
        <v>#DIV/0!</v>
      </c>
    </row>
    <row r="81" spans="2:3">
      <c r="B81" s="262" t="s">
        <v>796</v>
      </c>
      <c r="C81" s="230"/>
    </row>
    <row r="82" spans="2:3">
      <c r="B82" s="265" t="s">
        <v>797</v>
      </c>
      <c r="C82" s="267" t="e">
        <f ca="1">1-C83</f>
        <v>#DIV/0!</v>
      </c>
    </row>
    <row r="83" spans="2:3">
      <c r="B83" s="265" t="s">
        <v>798</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2422</v>
      </c>
      <c r="B1" s="2580"/>
      <c r="C1" s="2592"/>
      <c r="D1" s="2592"/>
      <c r="E1" s="2581"/>
      <c r="F1" s="2582"/>
      <c r="G1" s="2583"/>
      <c r="J1" s="2586" t="s">
        <v>2301</v>
      </c>
      <c r="K1" s="2587"/>
      <c r="L1" s="2587"/>
      <c r="M1" s="2587"/>
      <c r="N1" s="2587"/>
      <c r="O1" s="2587"/>
      <c r="P1" s="2587"/>
      <c r="Q1" s="2587"/>
      <c r="R1" s="2588"/>
      <c r="S1" s="2589"/>
      <c r="T1" s="2589"/>
      <c r="U1" s="2589"/>
    </row>
    <row r="2" spans="1:22" s="2601" customFormat="1" ht="13.15" customHeight="1">
      <c r="A2" s="1292" t="s">
        <v>2302</v>
      </c>
      <c r="B2" s="2591" t="e">
        <f>IF(D2="——",C40,C40+E2)</f>
        <v>#DIV/0!</v>
      </c>
      <c r="C2" s="2592" t="s">
        <v>2303</v>
      </c>
      <c r="D2" s="3135" t="s">
        <v>3345</v>
      </c>
      <c r="E2" s="3136"/>
      <c r="F2" s="2594"/>
      <c r="G2" s="2595"/>
      <c r="H2" s="2596"/>
      <c r="I2" s="2597"/>
      <c r="J2" s="3406" t="s">
        <v>2304</v>
      </c>
      <c r="K2" s="3407"/>
      <c r="L2" s="2598" t="s">
        <v>2305</v>
      </c>
      <c r="M2" s="2598" t="s">
        <v>2306</v>
      </c>
      <c r="N2" s="2598" t="s">
        <v>2307</v>
      </c>
      <c r="O2" s="2598" t="s">
        <v>2308</v>
      </c>
      <c r="P2" s="2598" t="s">
        <v>2309</v>
      </c>
      <c r="Q2" s="2599" t="s">
        <v>2310</v>
      </c>
      <c r="R2" s="2600" t="s">
        <v>2311</v>
      </c>
      <c r="S2" s="2589"/>
      <c r="T2" s="2589"/>
      <c r="U2" s="2589"/>
      <c r="V2" s="2597"/>
    </row>
    <row r="3" spans="1:22" s="2601" customFormat="1" ht="13.15" customHeight="1">
      <c r="A3" s="2602" t="s">
        <v>2312</v>
      </c>
      <c r="B3" s="2603" t="e">
        <f>ROUND(B2*10000/B4,0)</f>
        <v>#DIV/0!</v>
      </c>
      <c r="C3" s="2592" t="s">
        <v>2313</v>
      </c>
      <c r="D3" s="2592"/>
      <c r="E3" s="2593"/>
      <c r="F3" s="2594"/>
      <c r="G3" s="2595"/>
      <c r="H3" s="2596"/>
      <c r="I3" s="2597"/>
      <c r="J3" s="3408" t="s">
        <v>2314</v>
      </c>
      <c r="K3" s="3409"/>
      <c r="L3" s="2604"/>
      <c r="M3" s="2604"/>
      <c r="N3" s="2604"/>
      <c r="O3" s="2604"/>
      <c r="P3" s="2604"/>
      <c r="Q3" s="2605"/>
      <c r="R3" s="2606">
        <f>SUM(L3:Q3)</f>
        <v>0</v>
      </c>
      <c r="S3" s="2589"/>
      <c r="T3" s="2589"/>
      <c r="U3" s="2589"/>
      <c r="V3" s="2597"/>
    </row>
    <row r="4" spans="1:22" s="2601" customFormat="1" ht="13.15" customHeight="1">
      <c r="A4" s="2607" t="s">
        <v>2315</v>
      </c>
      <c r="B4" s="2608"/>
      <c r="C4" s="2592"/>
      <c r="D4" s="2592"/>
      <c r="E4" s="2593"/>
      <c r="F4" s="2594"/>
      <c r="G4" s="2595"/>
      <c r="H4" s="2596"/>
      <c r="I4" s="2597"/>
      <c r="J4" s="3408" t="s">
        <v>2316</v>
      </c>
      <c r="K4" s="3409"/>
      <c r="L4" s="2609"/>
      <c r="M4" s="2609"/>
      <c r="N4" s="2609"/>
      <c r="O4" s="2609"/>
      <c r="P4" s="2609"/>
      <c r="Q4" s="2610"/>
      <c r="R4" s="2611">
        <f>SUM(L4:Q4)</f>
        <v>0</v>
      </c>
      <c r="S4" s="2589"/>
      <c r="T4" s="2589"/>
      <c r="U4" s="2589"/>
      <c r="V4" s="2597"/>
    </row>
    <row r="5" spans="1:22" s="2601" customFormat="1" ht="13.15" customHeight="1" thickBot="1">
      <c r="A5" s="2612" t="s">
        <v>2317</v>
      </c>
      <c r="B5" s="2613"/>
      <c r="C5" s="2592"/>
      <c r="D5" s="2614"/>
      <c r="E5" s="2594"/>
      <c r="F5" s="2594"/>
      <c r="G5" s="2595"/>
      <c r="H5" s="2596"/>
      <c r="I5" s="2597"/>
      <c r="J5" s="2615" t="s">
        <v>2318</v>
      </c>
      <c r="K5" s="2616"/>
      <c r="L5" s="2616"/>
      <c r="M5" s="2617"/>
      <c r="N5" s="2617"/>
      <c r="O5" s="2617"/>
      <c r="P5" s="2617"/>
      <c r="Q5" s="2617"/>
      <c r="R5" s="2600">
        <f>SUM(R14,R19,R24,R25,R27,R28)</f>
        <v>0</v>
      </c>
      <c r="S5" s="2589"/>
      <c r="T5" s="2589" t="s">
        <v>2319</v>
      </c>
      <c r="U5" s="2589" t="e">
        <f>ROUND(R5*10000/365/R3,1)</f>
        <v>#DIV/0!</v>
      </c>
      <c r="V5" s="2597"/>
    </row>
    <row r="6" spans="1:22" s="2601" customFormat="1" ht="13.15" customHeight="1" thickBot="1">
      <c r="A6" s="3414" t="s">
        <v>2320</v>
      </c>
      <c r="B6" s="3415"/>
      <c r="C6" s="3416"/>
      <c r="D6" s="2618"/>
      <c r="E6" s="2619"/>
      <c r="F6" s="2620"/>
      <c r="G6" s="2621"/>
      <c r="H6" s="2596"/>
      <c r="I6" s="2597"/>
      <c r="J6" s="3400">
        <v>1</v>
      </c>
      <c r="K6" s="3401" t="s">
        <v>2321</v>
      </c>
      <c r="L6" s="2622" t="s">
        <v>2322</v>
      </c>
      <c r="M6" s="2623" t="s">
        <v>2323</v>
      </c>
      <c r="N6" s="2623" t="s">
        <v>2324</v>
      </c>
      <c r="O6" s="2623" t="s">
        <v>2325</v>
      </c>
      <c r="P6" s="2623" t="s">
        <v>2326</v>
      </c>
      <c r="Q6" s="2623" t="s">
        <v>2327</v>
      </c>
      <c r="R6" s="2606" t="s">
        <v>2328</v>
      </c>
      <c r="S6" s="2589"/>
      <c r="T6" s="2589" t="s">
        <v>2329</v>
      </c>
      <c r="U6" s="2589"/>
      <c r="V6" s="2597"/>
    </row>
    <row r="7" spans="1:22" s="2601" customFormat="1" ht="13.15" customHeight="1">
      <c r="A7" s="2624" t="s">
        <v>2330</v>
      </c>
      <c r="B7" s="2625"/>
      <c r="C7" s="2626"/>
      <c r="D7" s="2627">
        <f>SUM(D9,D10,D11,D17,0)</f>
        <v>0</v>
      </c>
      <c r="E7" s="2628" t="e">
        <f>E9+E10+E11+E17</f>
        <v>#DIV/0!</v>
      </c>
      <c r="F7" s="2629"/>
      <c r="G7" s="2630"/>
      <c r="H7" s="2596"/>
      <c r="I7" s="2597"/>
      <c r="J7" s="3400"/>
      <c r="K7" s="3402"/>
      <c r="L7" s="2631" t="s">
        <v>2331</v>
      </c>
      <c r="M7" s="2632"/>
      <c r="N7" s="2608"/>
      <c r="O7" s="2633"/>
      <c r="P7" s="2633"/>
      <c r="Q7" s="2634">
        <v>365</v>
      </c>
      <c r="R7" s="2635">
        <f>ROUND(M7*N7*O7*P7*Q7/10000,0)</f>
        <v>0</v>
      </c>
      <c r="S7" s="2589"/>
      <c r="T7" s="2589" t="s">
        <v>2332</v>
      </c>
      <c r="U7" s="2589"/>
      <c r="V7" s="2597"/>
    </row>
    <row r="8" spans="1:22" s="2601" customFormat="1" ht="13.15" customHeight="1">
      <c r="A8" s="2636" t="s">
        <v>2333</v>
      </c>
      <c r="B8" s="3417" t="s">
        <v>2334</v>
      </c>
      <c r="C8" s="3418"/>
      <c r="D8" s="2637" t="s">
        <v>2335</v>
      </c>
      <c r="E8" s="2638" t="s">
        <v>2336</v>
      </c>
      <c r="F8" s="2639" t="s">
        <v>2337</v>
      </c>
      <c r="G8" s="2640"/>
      <c r="H8" s="2596"/>
      <c r="I8" s="2597"/>
      <c r="J8" s="3400"/>
      <c r="K8" s="3402"/>
      <c r="L8" s="2631" t="s">
        <v>2338</v>
      </c>
      <c r="M8" s="2632"/>
      <c r="N8" s="2608"/>
      <c r="O8" s="2633"/>
      <c r="P8" s="2633"/>
      <c r="Q8" s="2634">
        <v>365</v>
      </c>
      <c r="R8" s="2635">
        <f t="shared" ref="R8:R13" si="0">ROUND(M8*N8*O8*P8*Q8/10000,0)</f>
        <v>0</v>
      </c>
      <c r="S8" s="2589"/>
      <c r="T8" s="2589" t="s">
        <v>2339</v>
      </c>
      <c r="U8" s="2589"/>
      <c r="V8" s="2597"/>
    </row>
    <row r="9" spans="1:22" s="2601" customFormat="1" ht="13.15" customHeight="1">
      <c r="A9" s="2636">
        <v>1</v>
      </c>
      <c r="B9" s="3417" t="s">
        <v>2340</v>
      </c>
      <c r="C9" s="3418"/>
      <c r="D9" s="2637">
        <f>ROUND(D6*E9,0)</f>
        <v>0</v>
      </c>
      <c r="E9" s="2641"/>
      <c r="F9" s="2642" t="s">
        <v>2341</v>
      </c>
      <c r="G9" s="2621"/>
      <c r="H9" s="2596"/>
      <c r="I9" s="2597"/>
      <c r="J9" s="3400"/>
      <c r="K9" s="3402"/>
      <c r="L9" s="2631" t="s">
        <v>2342</v>
      </c>
      <c r="M9" s="2632"/>
      <c r="N9" s="2608"/>
      <c r="O9" s="2633"/>
      <c r="P9" s="2633"/>
      <c r="Q9" s="2634">
        <v>365</v>
      </c>
      <c r="R9" s="2635">
        <f t="shared" si="0"/>
        <v>0</v>
      </c>
      <c r="S9" s="2589"/>
      <c r="T9" s="2589"/>
      <c r="U9" s="2589"/>
      <c r="V9" s="2597"/>
    </row>
    <row r="10" spans="1:22" s="2601" customFormat="1" ht="13.15" customHeight="1">
      <c r="A10" s="2636">
        <v>2</v>
      </c>
      <c r="B10" s="3417" t="s">
        <v>2343</v>
      </c>
      <c r="C10" s="3418"/>
      <c r="D10" s="2637">
        <f>ROUND(D6*E10,0)</f>
        <v>0</v>
      </c>
      <c r="E10" s="2641"/>
      <c r="F10" s="2642" t="s">
        <v>2344</v>
      </c>
      <c r="G10" s="2621"/>
      <c r="H10" s="2596"/>
      <c r="I10" s="2597"/>
      <c r="J10" s="3400"/>
      <c r="K10" s="3402"/>
      <c r="L10" s="2631" t="s">
        <v>2345</v>
      </c>
      <c r="M10" s="2632"/>
      <c r="N10" s="2608"/>
      <c r="O10" s="2633"/>
      <c r="P10" s="2633"/>
      <c r="Q10" s="2634">
        <v>365</v>
      </c>
      <c r="R10" s="2635">
        <f t="shared" si="0"/>
        <v>0</v>
      </c>
      <c r="S10" s="2589"/>
      <c r="T10" s="2589"/>
      <c r="U10" s="2589"/>
      <c r="V10" s="2597"/>
    </row>
    <row r="11" spans="1:22" s="2601" customFormat="1" ht="13.15" customHeight="1">
      <c r="A11" s="2636">
        <v>3</v>
      </c>
      <c r="B11" s="3417" t="s">
        <v>2346</v>
      </c>
      <c r="C11" s="3418"/>
      <c r="D11" s="2637">
        <f>D12+D14+D15+D16</f>
        <v>0</v>
      </c>
      <c r="E11" s="2643" t="e">
        <f>D11/D6</f>
        <v>#DIV/0!</v>
      </c>
      <c r="F11" s="2639"/>
      <c r="G11" s="2640"/>
      <c r="H11" s="2596"/>
      <c r="I11" s="2597"/>
      <c r="J11" s="3400"/>
      <c r="K11" s="3402"/>
      <c r="L11" s="2631" t="s">
        <v>2347</v>
      </c>
      <c r="M11" s="2632"/>
      <c r="N11" s="2608"/>
      <c r="O11" s="2633"/>
      <c r="P11" s="2633"/>
      <c r="Q11" s="2634">
        <v>365</v>
      </c>
      <c r="R11" s="2635">
        <f t="shared" si="0"/>
        <v>0</v>
      </c>
      <c r="S11" s="2589"/>
      <c r="T11" s="2589"/>
      <c r="U11" s="2589"/>
      <c r="V11" s="2597"/>
    </row>
    <row r="12" spans="1:22" s="2601" customFormat="1" ht="13.15" customHeight="1">
      <c r="A12" s="2644" t="s">
        <v>2348</v>
      </c>
      <c r="B12" s="3410" t="s">
        <v>2349</v>
      </c>
      <c r="C12" s="3411"/>
      <c r="D12" s="2645">
        <f>ROUND(D13*1.2%*(1-30%),0)</f>
        <v>0</v>
      </c>
      <c r="E12" s="2646">
        <v>1.2E-2</v>
      </c>
      <c r="F12" s="2639" t="s">
        <v>2350</v>
      </c>
      <c r="G12" s="2640"/>
      <c r="H12" s="2596"/>
      <c r="I12" s="2597"/>
      <c r="J12" s="3400"/>
      <c r="K12" s="3402"/>
      <c r="L12" s="2631" t="s">
        <v>2351</v>
      </c>
      <c r="M12" s="2632"/>
      <c r="N12" s="2608"/>
      <c r="O12" s="2633"/>
      <c r="P12" s="2633"/>
      <c r="Q12" s="2634">
        <v>365</v>
      </c>
      <c r="R12" s="2635">
        <f t="shared" si="0"/>
        <v>0</v>
      </c>
      <c r="S12" s="2589"/>
      <c r="T12" s="2589"/>
      <c r="U12" s="2589"/>
      <c r="V12" s="2597"/>
    </row>
    <row r="13" spans="1:22" s="2601" customFormat="1" ht="13.15" customHeight="1">
      <c r="A13" s="2644"/>
      <c r="B13" s="2647"/>
      <c r="C13" s="2648" t="s">
        <v>2352</v>
      </c>
      <c r="D13" s="2649"/>
      <c r="E13" s="2650"/>
      <c r="F13" s="2639"/>
      <c r="G13" s="2640"/>
      <c r="H13" s="2596"/>
      <c r="I13" s="2597"/>
      <c r="J13" s="3400"/>
      <c r="K13" s="3402"/>
      <c r="L13" s="2631" t="s">
        <v>2353</v>
      </c>
      <c r="M13" s="2632"/>
      <c r="N13" s="2608"/>
      <c r="O13" s="2633"/>
      <c r="P13" s="2633"/>
      <c r="Q13" s="2634">
        <v>365</v>
      </c>
      <c r="R13" s="2635">
        <f t="shared" si="0"/>
        <v>0</v>
      </c>
      <c r="S13" s="2589"/>
      <c r="T13" s="2589"/>
      <c r="U13" s="2589"/>
      <c r="V13" s="2597"/>
    </row>
    <row r="14" spans="1:22" s="2601" customFormat="1" ht="13.15" customHeight="1">
      <c r="A14" s="2644" t="s">
        <v>2354</v>
      </c>
      <c r="B14" s="3410" t="s">
        <v>2355</v>
      </c>
      <c r="C14" s="3411"/>
      <c r="D14" s="2645">
        <f>ROUND(E14*B5/10000,0)</f>
        <v>0</v>
      </c>
      <c r="E14" s="2634"/>
      <c r="F14" s="2639" t="s">
        <v>2356</v>
      </c>
      <c r="G14" s="2640"/>
      <c r="H14" s="2596"/>
      <c r="I14" s="2597"/>
      <c r="J14" s="3400"/>
      <c r="K14" s="3403"/>
      <c r="L14" s="2651" t="s">
        <v>2357</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2358</v>
      </c>
      <c r="B15" s="3410" t="s">
        <v>2359</v>
      </c>
      <c r="C15" s="3411"/>
      <c r="D15" s="2645">
        <f>ROUND(D6*E15,0)</f>
        <v>0</v>
      </c>
      <c r="E15" s="2646">
        <v>5.5E-2</v>
      </c>
      <c r="F15" s="2639" t="s">
        <v>2360</v>
      </c>
      <c r="G15" s="2621"/>
      <c r="H15" s="2596"/>
      <c r="I15" s="2597"/>
      <c r="J15" s="3400">
        <v>2</v>
      </c>
      <c r="K15" s="3401" t="s">
        <v>2361</v>
      </c>
      <c r="L15" s="2631" t="s">
        <v>2362</v>
      </c>
      <c r="M15" s="2632" t="s">
        <v>2363</v>
      </c>
      <c r="N15" s="2632" t="s">
        <v>2364</v>
      </c>
      <c r="O15" s="2633" t="s">
        <v>2365</v>
      </c>
      <c r="P15" s="2633" t="s">
        <v>2327</v>
      </c>
      <c r="Q15" s="2608" t="s">
        <v>2366</v>
      </c>
      <c r="R15" s="2655" t="s">
        <v>2328</v>
      </c>
      <c r="S15" s="2589"/>
      <c r="T15" s="2589"/>
      <c r="U15" s="2589"/>
      <c r="V15" s="2597"/>
    </row>
    <row r="16" spans="1:22" s="2601" customFormat="1" ht="13.15" customHeight="1">
      <c r="A16" s="2644" t="s">
        <v>2367</v>
      </c>
      <c r="B16" s="3410" t="s">
        <v>2368</v>
      </c>
      <c r="C16" s="3411"/>
      <c r="D16" s="2656">
        <f>D6*E16</f>
        <v>0</v>
      </c>
      <c r="E16" s="2657"/>
      <c r="F16" s="2642" t="s">
        <v>2369</v>
      </c>
      <c r="G16" s="2621"/>
      <c r="H16" s="2596"/>
      <c r="I16" s="2597"/>
      <c r="J16" s="3400"/>
      <c r="K16" s="3402"/>
      <c r="L16" s="2631" t="s">
        <v>2370</v>
      </c>
      <c r="M16" s="2632"/>
      <c r="N16" s="2632"/>
      <c r="O16" s="2633"/>
      <c r="P16" s="2634">
        <v>365</v>
      </c>
      <c r="Q16" s="2608"/>
      <c r="R16" s="2655">
        <f>ROUND(M16*N16*O16*P16/10000,0)</f>
        <v>0</v>
      </c>
      <c r="S16" s="2589"/>
      <c r="T16" s="2589"/>
      <c r="U16" s="2589"/>
      <c r="V16" s="2597"/>
    </row>
    <row r="17" spans="1:22" s="2601" customFormat="1" ht="13.15" customHeight="1" thickBot="1">
      <c r="A17" s="2658">
        <v>4</v>
      </c>
      <c r="B17" s="3412" t="s">
        <v>2371</v>
      </c>
      <c r="C17" s="3413"/>
      <c r="D17" s="2659">
        <f>ROUND(D6*E17,0)</f>
        <v>0</v>
      </c>
      <c r="E17" s="2660"/>
      <c r="F17" s="2661" t="s">
        <v>2372</v>
      </c>
      <c r="G17" s="2621"/>
      <c r="H17" s="2596"/>
      <c r="I17" s="2597"/>
      <c r="J17" s="3400"/>
      <c r="K17" s="3402"/>
      <c r="L17" s="2631" t="s">
        <v>2373</v>
      </c>
      <c r="M17" s="2632"/>
      <c r="N17" s="2632"/>
      <c r="O17" s="2633"/>
      <c r="P17" s="2634">
        <v>365</v>
      </c>
      <c r="Q17" s="2608"/>
      <c r="R17" s="2655">
        <f>ROUND(M17*N17*O17*P17/10000,0)</f>
        <v>0</v>
      </c>
      <c r="S17" s="2589"/>
      <c r="T17" s="2589"/>
      <c r="U17" s="2589"/>
      <c r="V17" s="2597"/>
    </row>
    <row r="18" spans="1:22" s="2601" customFormat="1" ht="13.15" customHeight="1" thickBot="1">
      <c r="A18" s="2624" t="s">
        <v>2374</v>
      </c>
      <c r="B18" s="2625"/>
      <c r="C18" s="2625"/>
      <c r="D18" s="2662">
        <f>ROUND(D6*E18,0)</f>
        <v>0</v>
      </c>
      <c r="E18" s="2663"/>
      <c r="F18" s="2664" t="s">
        <v>2375</v>
      </c>
      <c r="G18" s="2621"/>
      <c r="H18" s="2596"/>
      <c r="I18" s="2597"/>
      <c r="J18" s="3400"/>
      <c r="K18" s="3402"/>
      <c r="L18" s="2631" t="s">
        <v>2376</v>
      </c>
      <c r="M18" s="2632"/>
      <c r="N18" s="2632"/>
      <c r="O18" s="2633"/>
      <c r="P18" s="2634">
        <v>365</v>
      </c>
      <c r="Q18" s="2608"/>
      <c r="R18" s="2655">
        <f>ROUND(M18*N18*O18*P18/10000,0)</f>
        <v>0</v>
      </c>
      <c r="S18" s="2589"/>
      <c r="T18" s="2589"/>
      <c r="U18" s="2589"/>
      <c r="V18" s="2597"/>
    </row>
    <row r="19" spans="1:22" s="2601" customFormat="1" ht="13.15" customHeight="1" thickBot="1">
      <c r="A19" s="2665" t="s">
        <v>2377</v>
      </c>
      <c r="B19" s="2619"/>
      <c r="C19" s="2619"/>
      <c r="D19" s="2619"/>
      <c r="E19" s="2619"/>
      <c r="F19" s="2620"/>
      <c r="G19" s="2640"/>
      <c r="H19" s="2596"/>
      <c r="I19" s="2597"/>
      <c r="J19" s="3400"/>
      <c r="K19" s="3403"/>
      <c r="L19" s="2651" t="s">
        <v>2357</v>
      </c>
      <c r="M19" s="2652"/>
      <c r="N19" s="2652">
        <f>SUM(N16:N18)</f>
        <v>0</v>
      </c>
      <c r="O19" s="2653"/>
      <c r="P19" s="2666" t="s">
        <v>2421</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00">
        <v>3</v>
      </c>
      <c r="K20" s="3401" t="s">
        <v>2378</v>
      </c>
      <c r="L20" s="2631" t="s">
        <v>2379</v>
      </c>
      <c r="M20" s="2632" t="s">
        <v>2380</v>
      </c>
      <c r="N20" s="2669" t="s">
        <v>2381</v>
      </c>
      <c r="O20" s="2633" t="s">
        <v>2382</v>
      </c>
      <c r="P20" s="2634" t="s">
        <v>2383</v>
      </c>
      <c r="Q20" s="2608" t="s">
        <v>2384</v>
      </c>
      <c r="R20" s="2655" t="s">
        <v>2385</v>
      </c>
      <c r="S20" s="2589"/>
      <c r="T20" s="2589"/>
      <c r="U20" s="2589"/>
      <c r="V20" s="2597"/>
    </row>
    <row r="21" spans="1:22" s="2601" customFormat="1" ht="13.15" customHeight="1">
      <c r="A21" s="2624"/>
      <c r="B21" s="2625"/>
      <c r="C21" s="2670" t="s">
        <v>2386</v>
      </c>
      <c r="D21" s="2671" t="s">
        <v>2387</v>
      </c>
      <c r="E21" s="2672" t="s">
        <v>2388</v>
      </c>
      <c r="F21" s="2668"/>
      <c r="G21" s="2640"/>
      <c r="H21" s="2596"/>
      <c r="I21" s="2597"/>
      <c r="J21" s="3400"/>
      <c r="K21" s="3402"/>
      <c r="L21" s="2631" t="s">
        <v>2389</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2390</v>
      </c>
      <c r="D22" s="2675" t="s">
        <v>2391</v>
      </c>
      <c r="E22" s="2676" t="s">
        <v>2392</v>
      </c>
      <c r="F22" s="2668"/>
      <c r="G22" s="2589"/>
      <c r="H22" s="2596"/>
      <c r="I22" s="2597"/>
      <c r="J22" s="3400"/>
      <c r="K22" s="3402"/>
      <c r="L22" s="2631" t="s">
        <v>2393</v>
      </c>
      <c r="M22" s="2632"/>
      <c r="N22" s="2632"/>
      <c r="O22" s="2633"/>
      <c r="P22" s="2634">
        <v>365</v>
      </c>
      <c r="Q22" s="2608"/>
      <c r="R22" s="2673">
        <f>ROUND(M22*N22*O22*P22/10000,0)</f>
        <v>0</v>
      </c>
      <c r="S22" s="2589"/>
      <c r="T22" s="2589"/>
      <c r="U22" s="2589"/>
      <c r="V22" s="2597"/>
    </row>
    <row r="23" spans="1:22" s="2601" customFormat="1" ht="13.15" customHeight="1">
      <c r="A23" s="2677">
        <v>1</v>
      </c>
      <c r="B23" s="2678" t="s">
        <v>2394</v>
      </c>
      <c r="C23" s="2679">
        <f>D6</f>
        <v>0</v>
      </c>
      <c r="D23" s="2680">
        <f>C23*(1+D24)</f>
        <v>0</v>
      </c>
      <c r="E23" s="2681">
        <f>D23*(1+E24)</f>
        <v>0</v>
      </c>
      <c r="F23" s="2682"/>
      <c r="G23" s="2683"/>
      <c r="H23" s="2596"/>
      <c r="I23" s="2597"/>
      <c r="J23" s="3400"/>
      <c r="K23" s="3402"/>
      <c r="L23" s="2631" t="s">
        <v>2395</v>
      </c>
      <c r="M23" s="2632"/>
      <c r="N23" s="2632"/>
      <c r="O23" s="2633"/>
      <c r="P23" s="2634">
        <v>365</v>
      </c>
      <c r="Q23" s="2608"/>
      <c r="R23" s="2673">
        <f>ROUND(M23*N23*O23*P23/10000,0)</f>
        <v>0</v>
      </c>
      <c r="S23" s="2589"/>
      <c r="T23" s="2589"/>
      <c r="U23" s="2589"/>
      <c r="V23" s="2597"/>
    </row>
    <row r="24" spans="1:22" s="2601" customFormat="1" ht="13.15" customHeight="1">
      <c r="A24" s="2684"/>
      <c r="B24" s="2685" t="s">
        <v>2396</v>
      </c>
      <c r="C24" s="2686"/>
      <c r="D24" s="2687"/>
      <c r="E24" s="2688"/>
      <c r="F24" s="2689"/>
      <c r="G24" s="2683"/>
      <c r="H24" s="2596"/>
      <c r="I24" s="2597"/>
      <c r="J24" s="3400"/>
      <c r="K24" s="3403"/>
      <c r="L24" s="2651" t="s">
        <v>2357</v>
      </c>
      <c r="M24" s="2652">
        <f>SUM(M21:M23)</f>
        <v>0</v>
      </c>
      <c r="N24" s="2652"/>
      <c r="O24" s="2653"/>
      <c r="P24" s="2666" t="s">
        <v>2421</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2397</v>
      </c>
      <c r="L25" s="2692"/>
      <c r="M25" s="2692"/>
      <c r="N25" s="2692"/>
      <c r="O25" s="2692"/>
      <c r="P25" s="2693"/>
      <c r="Q25" s="2694">
        <v>0</v>
      </c>
      <c r="R25" s="2667">
        <f>ROUND(R14*Q25,0)</f>
        <v>0</v>
      </c>
      <c r="S25" s="2589"/>
      <c r="T25" s="2589"/>
      <c r="U25" s="2589"/>
      <c r="V25" s="2695"/>
    </row>
    <row r="26" spans="1:22" s="2696" customFormat="1" ht="13.15" customHeight="1">
      <c r="A26" s="2677">
        <v>2</v>
      </c>
      <c r="B26" s="2678" t="s">
        <v>2398</v>
      </c>
      <c r="C26" s="2679">
        <f>D7</f>
        <v>0</v>
      </c>
      <c r="D26" s="2680">
        <f>D23*D27</f>
        <v>0</v>
      </c>
      <c r="E26" s="2681">
        <f>E23*E27</f>
        <v>0</v>
      </c>
      <c r="F26" s="2682"/>
      <c r="G26" s="2683"/>
      <c r="H26" s="2596"/>
      <c r="I26" s="2597"/>
      <c r="J26" s="3404">
        <v>5</v>
      </c>
      <c r="K26" s="2697" t="s">
        <v>2399</v>
      </c>
      <c r="L26" s="2698"/>
      <c r="M26" s="2699"/>
      <c r="N26" s="2700" t="s">
        <v>2400</v>
      </c>
      <c r="O26" s="2700" t="s">
        <v>2401</v>
      </c>
      <c r="P26" s="2701" t="s">
        <v>2402</v>
      </c>
      <c r="Q26" s="2701" t="s">
        <v>2403</v>
      </c>
      <c r="R26" s="2606" t="s">
        <v>2328</v>
      </c>
      <c r="S26" s="2640"/>
      <c r="T26" s="2640"/>
      <c r="U26" s="2640"/>
      <c r="V26" s="2695"/>
    </row>
    <row r="27" spans="1:22" s="2601" customFormat="1" ht="13.15" customHeight="1">
      <c r="A27" s="2684"/>
      <c r="B27" s="2685" t="s">
        <v>2404</v>
      </c>
      <c r="C27" s="2702" t="e">
        <f>E7</f>
        <v>#DIV/0!</v>
      </c>
      <c r="D27" s="2687"/>
      <c r="E27" s="2688"/>
      <c r="F27" s="2689"/>
      <c r="G27" s="2683"/>
      <c r="H27" s="2703"/>
      <c r="I27" s="2695"/>
      <c r="J27" s="3405"/>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2405</v>
      </c>
      <c r="F28" s="2689"/>
      <c r="G28" s="2589"/>
      <c r="H28" s="2703"/>
      <c r="I28" s="2695"/>
      <c r="J28" s="2709">
        <v>6</v>
      </c>
      <c r="K28" s="2710" t="s">
        <v>2406</v>
      </c>
      <c r="L28" s="2711" t="s">
        <v>2407</v>
      </c>
      <c r="M28" s="2712"/>
      <c r="N28" s="2711" t="s">
        <v>2408</v>
      </c>
      <c r="O28" s="2713"/>
      <c r="P28" s="2711" t="s">
        <v>2409</v>
      </c>
      <c r="Q28" s="2714">
        <v>1.4999999999999999E-2</v>
      </c>
      <c r="R28" s="2715"/>
      <c r="S28" s="2589"/>
      <c r="T28" s="2589"/>
      <c r="U28" s="2589"/>
      <c r="V28" s="2695"/>
    </row>
    <row r="29" spans="1:22" s="2696" customFormat="1" ht="13.15" customHeight="1">
      <c r="A29" s="2677">
        <v>3</v>
      </c>
      <c r="B29" s="2678" t="s">
        <v>2410</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2404</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2411</v>
      </c>
      <c r="K31" s="2587"/>
      <c r="L31" s="2587"/>
      <c r="M31" s="2587"/>
      <c r="N31" s="2587"/>
      <c r="O31" s="2587"/>
      <c r="P31" s="2587"/>
      <c r="Q31" s="2587"/>
      <c r="R31" s="2588"/>
      <c r="S31" s="2589"/>
      <c r="T31" s="2589"/>
      <c r="U31" s="2589"/>
      <c r="V31" s="2695"/>
    </row>
    <row r="32" spans="1:22" s="2696" customFormat="1" ht="13.15" customHeight="1">
      <c r="A32" s="2677">
        <v>4</v>
      </c>
      <c r="B32" s="2678" t="s">
        <v>2412</v>
      </c>
      <c r="C32" s="2679">
        <f>C23-C26-C29</f>
        <v>0</v>
      </c>
      <c r="D32" s="2680">
        <f>D23-D26-D29</f>
        <v>0</v>
      </c>
      <c r="E32" s="2681">
        <f>E23-E26-E29</f>
        <v>0</v>
      </c>
      <c r="F32" s="2682"/>
      <c r="G32" s="2589"/>
      <c r="H32" s="2596"/>
      <c r="I32" s="2597"/>
      <c r="J32" s="3406" t="s">
        <v>2304</v>
      </c>
      <c r="K32" s="3407"/>
      <c r="L32" s="2598" t="s">
        <v>2305</v>
      </c>
      <c r="M32" s="2598" t="s">
        <v>2306</v>
      </c>
      <c r="N32" s="2598" t="s">
        <v>2307</v>
      </c>
      <c r="O32" s="2598" t="s">
        <v>2308</v>
      </c>
      <c r="P32" s="2598" t="s">
        <v>2309</v>
      </c>
      <c r="Q32" s="2599" t="s">
        <v>2310</v>
      </c>
      <c r="R32" s="2718" t="s">
        <v>2311</v>
      </c>
      <c r="S32" s="2589"/>
      <c r="T32" s="2589"/>
      <c r="U32" s="2589"/>
      <c r="V32" s="2695"/>
    </row>
    <row r="33" spans="1:23" s="2601" customFormat="1" ht="13.15" customHeight="1">
      <c r="A33" s="2677"/>
      <c r="B33" s="2678"/>
      <c r="C33" s="2679"/>
      <c r="D33" s="2719"/>
      <c r="E33" s="2720"/>
      <c r="F33" s="2682"/>
      <c r="G33" s="2589"/>
      <c r="H33" s="2703"/>
      <c r="I33" s="2695"/>
      <c r="J33" s="3408" t="s">
        <v>2314</v>
      </c>
      <c r="K33" s="3409"/>
      <c r="L33" s="2604"/>
      <c r="M33" s="2604"/>
      <c r="N33" s="2604"/>
      <c r="O33" s="2604"/>
      <c r="P33" s="2604"/>
      <c r="Q33" s="2605"/>
      <c r="R33" s="2721">
        <f>SUM(L33:Q33)</f>
        <v>0</v>
      </c>
      <c r="S33" s="2589"/>
      <c r="T33" s="2589"/>
      <c r="U33" s="2589"/>
      <c r="V33" s="2597"/>
    </row>
    <row r="34" spans="1:23" s="2601" customFormat="1" ht="13.15" customHeight="1">
      <c r="A34" s="2677">
        <v>5</v>
      </c>
      <c r="B34" s="2678" t="s">
        <v>2413</v>
      </c>
      <c r="C34" s="2722"/>
      <c r="D34" s="2723"/>
      <c r="E34" s="2724"/>
      <c r="F34" s="2682"/>
      <c r="G34" s="2589"/>
      <c r="H34" s="2703"/>
      <c r="I34" s="2695"/>
      <c r="J34" s="3408" t="s">
        <v>2316</v>
      </c>
      <c r="K34" s="3409"/>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2414</v>
      </c>
      <c r="C35" s="2726"/>
      <c r="D35" s="2727"/>
      <c r="E35" s="2728"/>
      <c r="F35" s="2682"/>
      <c r="G35" s="2729"/>
      <c r="H35" s="2596"/>
      <c r="I35" s="2695"/>
      <c r="J35" s="2615" t="s">
        <v>2318</v>
      </c>
      <c r="K35" s="2616"/>
      <c r="L35" s="2616"/>
      <c r="M35" s="2617"/>
      <c r="N35" s="2617"/>
      <c r="O35" s="2617"/>
      <c r="P35" s="2617"/>
      <c r="Q35" s="2617"/>
      <c r="R35" s="2730">
        <f>R40+R41+R43</f>
        <v>0</v>
      </c>
      <c r="S35" s="2589"/>
      <c r="T35" s="2589" t="s">
        <v>2319</v>
      </c>
      <c r="U35" s="2589"/>
      <c r="V35" s="2597"/>
    </row>
    <row r="36" spans="1:23" s="2601" customFormat="1" ht="13.15" customHeight="1" thickBot="1">
      <c r="A36" s="2677">
        <v>7</v>
      </c>
      <c r="B36" s="2731" t="s">
        <v>2415</v>
      </c>
      <c r="C36" s="2732"/>
      <c r="D36" s="2733"/>
      <c r="E36" s="2734"/>
      <c r="F36" s="2735">
        <f>C36+D36+E36</f>
        <v>0</v>
      </c>
      <c r="G36" s="2589"/>
      <c r="H36" s="2596"/>
      <c r="I36" s="2597"/>
      <c r="J36" s="3400">
        <v>1</v>
      </c>
      <c r="K36" s="3401" t="s">
        <v>2416</v>
      </c>
      <c r="L36" s="2622"/>
      <c r="M36" s="2623"/>
      <c r="N36" s="2623"/>
      <c r="O36" s="2623"/>
      <c r="P36" s="2623"/>
      <c r="Q36" s="2623"/>
      <c r="R36" s="2606" t="s">
        <v>2328</v>
      </c>
      <c r="S36" s="2589"/>
      <c r="T36" s="2589" t="s">
        <v>2329</v>
      </c>
      <c r="U36" s="2589"/>
      <c r="V36" s="2597"/>
    </row>
    <row r="37" spans="1:23" s="2601" customFormat="1" ht="13.15" customHeight="1">
      <c r="A37" s="2677"/>
      <c r="B37" s="2678"/>
      <c r="C37" s="2678"/>
      <c r="D37" s="2678"/>
      <c r="E37" s="2678"/>
      <c r="F37" s="2682"/>
      <c r="G37" s="2589"/>
      <c r="H37" s="2596"/>
      <c r="I37" s="2597"/>
      <c r="J37" s="3400"/>
      <c r="K37" s="3402"/>
      <c r="L37" s="2631"/>
      <c r="M37" s="2632"/>
      <c r="N37" s="2608"/>
      <c r="O37" s="2633"/>
      <c r="P37" s="2633"/>
      <c r="Q37" s="2634"/>
      <c r="R37" s="2635"/>
      <c r="S37" s="2589"/>
      <c r="T37" s="2589" t="s">
        <v>2332</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400"/>
      <c r="K38" s="3402"/>
      <c r="L38" s="2631"/>
      <c r="M38" s="2632"/>
      <c r="N38" s="2608"/>
      <c r="O38" s="2633"/>
      <c r="P38" s="2633"/>
      <c r="Q38" s="2634"/>
      <c r="R38" s="2635"/>
      <c r="S38" s="2589"/>
      <c r="T38" s="2589" t="s">
        <v>2339</v>
      </c>
      <c r="U38" s="2589"/>
      <c r="V38" s="2597"/>
    </row>
    <row r="39" spans="1:23" s="2601" customFormat="1" ht="13.15" customHeight="1">
      <c r="A39" s="2677">
        <v>9</v>
      </c>
      <c r="B39" s="2678" t="s">
        <v>2417</v>
      </c>
      <c r="C39" s="2645" t="e">
        <f>C38</f>
        <v>#DIV/0!</v>
      </c>
      <c r="D39" s="2678">
        <f>D38/(1+D34)^C36</f>
        <v>0</v>
      </c>
      <c r="E39" s="2678">
        <f>E38/(1+E34)^(C36+D36)</f>
        <v>0</v>
      </c>
      <c r="F39" s="2682"/>
      <c r="G39" s="2597"/>
      <c r="H39" s="2596"/>
      <c r="I39" s="2597"/>
      <c r="J39" s="3400"/>
      <c r="K39" s="3402"/>
      <c r="L39" s="2631"/>
      <c r="M39" s="2632"/>
      <c r="N39" s="2608"/>
      <c r="O39" s="2633"/>
      <c r="P39" s="2633"/>
      <c r="Q39" s="2634"/>
      <c r="R39" s="2635"/>
      <c r="S39" s="2589"/>
      <c r="T39" s="2589"/>
      <c r="U39" s="2589"/>
      <c r="V39" s="2597"/>
    </row>
    <row r="40" spans="1:23" s="2601" customFormat="1" ht="13.15" customHeight="1">
      <c r="A40" s="2736">
        <v>10</v>
      </c>
      <c r="B40" s="2678" t="s">
        <v>2418</v>
      </c>
      <c r="C40" s="2737" t="e">
        <f>C39+D39+E39</f>
        <v>#DIV/0!</v>
      </c>
      <c r="D40" s="2738"/>
      <c r="E40" s="2738"/>
      <c r="F40" s="2739"/>
      <c r="G40" s="2589"/>
      <c r="H40" s="2596"/>
      <c r="I40" s="2597"/>
      <c r="J40" s="3400"/>
      <c r="K40" s="3403"/>
      <c r="L40" s="2651" t="s">
        <v>2357</v>
      </c>
      <c r="M40" s="2652"/>
      <c r="N40" s="2652"/>
      <c r="O40" s="2653"/>
      <c r="P40" s="2653"/>
      <c r="Q40" s="2654"/>
      <c r="R40" s="2600">
        <f>SUM(R37:R39)</f>
        <v>0</v>
      </c>
      <c r="S40" s="2589"/>
      <c r="T40" s="2589"/>
      <c r="U40" s="2589"/>
      <c r="V40" s="2597"/>
    </row>
    <row r="41" spans="1:23" s="2601" customFormat="1" ht="13.15" customHeight="1" thickBot="1">
      <c r="A41" s="2740">
        <v>11</v>
      </c>
      <c r="B41" s="2741" t="s">
        <v>2419</v>
      </c>
      <c r="C41" s="2741" t="e">
        <f>ROUND(C40*10000/B4,0)</f>
        <v>#DIV/0!</v>
      </c>
      <c r="D41" s="2742"/>
      <c r="E41" s="2742"/>
      <c r="F41" s="2743"/>
      <c r="G41" s="2596"/>
      <c r="H41" s="2596"/>
      <c r="I41" s="2597"/>
      <c r="J41" s="2690">
        <v>2</v>
      </c>
      <c r="K41" s="2691" t="s">
        <v>2397</v>
      </c>
      <c r="L41" s="2692"/>
      <c r="M41" s="2692"/>
      <c r="N41" s="2692"/>
      <c r="O41" s="2692"/>
      <c r="P41" s="2693"/>
      <c r="Q41" s="2694"/>
      <c r="R41" s="2667">
        <f>ROUND(R40*Q41,0)</f>
        <v>0</v>
      </c>
      <c r="S41" s="2589"/>
      <c r="T41" s="2589"/>
      <c r="U41" s="2640"/>
      <c r="V41" s="2597"/>
    </row>
    <row r="42" spans="1:23" s="2601" customFormat="1" ht="13.15" customHeight="1">
      <c r="G42" s="2596"/>
      <c r="H42" s="2596"/>
      <c r="I42" s="2597"/>
      <c r="J42" s="3404">
        <v>3</v>
      </c>
      <c r="K42" s="2697" t="s">
        <v>2399</v>
      </c>
      <c r="L42" s="2698"/>
      <c r="M42" s="2699"/>
      <c r="N42" s="2700" t="s">
        <v>2400</v>
      </c>
      <c r="O42" s="2700" t="s">
        <v>2401</v>
      </c>
      <c r="P42" s="2701" t="s">
        <v>2402</v>
      </c>
      <c r="Q42" s="2701" t="s">
        <v>2403</v>
      </c>
      <c r="R42" s="2606" t="s">
        <v>2328</v>
      </c>
      <c r="S42" s="2640"/>
      <c r="T42" s="2640"/>
      <c r="U42" s="2589"/>
      <c r="V42" s="2597"/>
    </row>
    <row r="43" spans="1:23" ht="13.15" customHeight="1">
      <c r="A43" s="2601"/>
      <c r="B43" s="2601"/>
      <c r="C43" s="2601"/>
      <c r="D43" s="2601"/>
      <c r="E43" s="2601"/>
      <c r="F43" s="2601"/>
      <c r="I43" s="2584"/>
      <c r="J43" s="3405"/>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2406</v>
      </c>
      <c r="L44" s="2746" t="s">
        <v>2407</v>
      </c>
      <c r="M44" s="2712"/>
      <c r="N44" s="2746" t="s">
        <v>2408</v>
      </c>
      <c r="O44" s="2712"/>
      <c r="P44" s="2746" t="s">
        <v>2409</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1653</v>
      </c>
      <c r="B1" s="1725"/>
      <c r="C1" s="1725"/>
      <c r="D1" s="1725"/>
      <c r="E1" s="1726"/>
      <c r="F1" s="2476"/>
      <c r="G1" s="459"/>
      <c r="H1" s="459"/>
      <c r="I1" s="459"/>
      <c r="J1" s="459"/>
      <c r="K1" s="459"/>
      <c r="L1" s="459"/>
      <c r="M1" s="459"/>
      <c r="N1" s="459"/>
      <c r="O1" s="459"/>
      <c r="P1" s="459"/>
      <c r="Q1" s="459"/>
      <c r="R1" s="459"/>
      <c r="S1" s="459"/>
    </row>
    <row r="2" spans="1:22" ht="15.75">
      <c r="A2" s="1727" t="s">
        <v>1457</v>
      </c>
      <c r="B2" s="811">
        <f ca="1">SUMIF(B6:B13,"&lt;&gt;#ref!",B6:B13)</f>
        <v>1100</v>
      </c>
      <c r="C2" s="1728" t="s">
        <v>1646</v>
      </c>
      <c r="D2" s="1729" t="s">
        <v>1647</v>
      </c>
      <c r="E2" s="2389">
        <f>SUM(E6:E13)</f>
        <v>1232.79</v>
      </c>
      <c r="F2" s="2476"/>
      <c r="G2" s="459"/>
      <c r="H2" s="459"/>
      <c r="I2" s="459"/>
      <c r="J2" s="459"/>
      <c r="K2" s="459"/>
      <c r="L2" s="459"/>
      <c r="M2" s="459"/>
      <c r="N2" s="459"/>
      <c r="O2" s="459"/>
      <c r="P2" s="459"/>
      <c r="Q2" s="459"/>
      <c r="R2" s="459"/>
      <c r="S2" s="459"/>
    </row>
    <row r="3" spans="1:22" ht="15.75">
      <c r="A3" s="1727" t="s">
        <v>681</v>
      </c>
      <c r="B3" s="2383">
        <f ca="1">ROUND(B2*10000/E2,0)</f>
        <v>8923</v>
      </c>
      <c r="C3" s="1728" t="s">
        <v>1654</v>
      </c>
      <c r="D3" s="2476"/>
      <c r="E3" s="2479"/>
      <c r="F3" s="2476"/>
      <c r="G3" s="459"/>
      <c r="H3" s="459"/>
      <c r="I3" s="459"/>
      <c r="J3" s="459"/>
      <c r="K3" s="459"/>
      <c r="L3" s="459"/>
      <c r="M3" s="459"/>
      <c r="N3" s="459"/>
      <c r="O3" s="459"/>
      <c r="P3" s="459"/>
      <c r="Q3" s="459"/>
      <c r="R3" s="459"/>
      <c r="S3" s="459"/>
    </row>
    <row r="4" spans="1:22" ht="15.75">
      <c r="A4" s="2480"/>
      <c r="B4" s="2476"/>
      <c r="C4" s="2476"/>
      <c r="D4" s="2476"/>
      <c r="E4" s="2479"/>
      <c r="F4" s="2476"/>
      <c r="G4" s="459"/>
      <c r="H4" s="459"/>
      <c r="I4" s="459"/>
      <c r="J4" s="459"/>
      <c r="K4" s="459"/>
      <c r="L4" s="459"/>
      <c r="M4" s="459"/>
      <c r="N4" s="459"/>
      <c r="O4" s="459"/>
      <c r="P4" s="459"/>
      <c r="Q4" s="459"/>
      <c r="R4" s="459"/>
      <c r="S4" s="459"/>
    </row>
    <row r="5" spans="1:22" ht="15">
      <c r="A5" s="2385" t="s">
        <v>1648</v>
      </c>
      <c r="B5" s="3419" t="s">
        <v>1649</v>
      </c>
      <c r="C5" s="3420"/>
      <c r="D5" s="2477"/>
      <c r="E5" s="1730" t="s">
        <v>1650</v>
      </c>
      <c r="F5" s="129" t="s">
        <v>1651</v>
      </c>
      <c r="G5" s="459"/>
      <c r="H5" s="459"/>
      <c r="I5" s="459"/>
      <c r="J5" s="459"/>
      <c r="K5" s="459"/>
      <c r="L5" s="459"/>
      <c r="M5" s="459"/>
      <c r="N5" s="459"/>
      <c r="O5" s="459"/>
      <c r="P5" s="459"/>
      <c r="Q5" s="459"/>
      <c r="R5" s="459"/>
      <c r="S5" s="459"/>
    </row>
    <row r="6" spans="1:22">
      <c r="A6" s="2386" t="str">
        <f>'数据-取费表'!AN6</f>
        <v>收益法</v>
      </c>
      <c r="B6" s="2384">
        <f ca="1">IF(F6="是",'数据-取费表'!AO6,0)</f>
        <v>1100</v>
      </c>
      <c r="C6" s="1728" t="s">
        <v>1646</v>
      </c>
      <c r="D6" s="2476"/>
      <c r="E6" s="2388">
        <f>IF(OR(A6=0,F6="否"),0,'数据-取费表'!K6+'数据-取费表'!S6)</f>
        <v>1232.79</v>
      </c>
      <c r="F6" s="1731" t="s">
        <v>1652</v>
      </c>
      <c r="G6" s="459"/>
      <c r="H6" s="459"/>
      <c r="I6" s="459"/>
      <c r="J6" s="459"/>
      <c r="K6" s="459"/>
      <c r="L6" s="459"/>
      <c r="M6" s="459"/>
      <c r="N6" s="459"/>
      <c r="O6" s="459"/>
      <c r="P6" s="459"/>
      <c r="Q6" s="459"/>
      <c r="R6" s="459"/>
      <c r="S6" s="459"/>
    </row>
    <row r="7" spans="1:22">
      <c r="A7" s="2386">
        <f>'数据-取费表'!AN7</f>
        <v>0</v>
      </c>
      <c r="B7" s="2384" t="e">
        <f ca="1">IF(F7="是",'数据-取费表'!AO7,0)</f>
        <v>#REF!</v>
      </c>
      <c r="C7" s="1728" t="s">
        <v>1646</v>
      </c>
      <c r="D7" s="2476"/>
      <c r="E7" s="2388">
        <f>IF(OR(A7=0,F7="否"),0,'数据-取费表'!K7+'数据-取费表'!S7)</f>
        <v>0</v>
      </c>
      <c r="F7" s="1731" t="s">
        <v>1652</v>
      </c>
      <c r="G7" s="459"/>
      <c r="H7" s="459"/>
      <c r="I7" s="459"/>
      <c r="J7" s="459"/>
      <c r="K7" s="459"/>
      <c r="L7" s="459"/>
      <c r="M7" s="459"/>
      <c r="N7" s="459"/>
      <c r="O7" s="459"/>
      <c r="P7" s="459"/>
      <c r="Q7" s="459"/>
      <c r="R7" s="459"/>
      <c r="S7" s="459"/>
    </row>
    <row r="8" spans="1:22">
      <c r="A8" s="2386">
        <f>'数据-取费表'!AN8</f>
        <v>0</v>
      </c>
      <c r="B8" s="2384" t="e">
        <f ca="1">IF(F8="是",'数据-取费表'!AO8,0)</f>
        <v>#REF!</v>
      </c>
      <c r="C8" s="1728" t="s">
        <v>1646</v>
      </c>
      <c r="D8" s="2476"/>
      <c r="E8" s="2388">
        <f>IF(OR(A8=0,F8="否"),0,'数据-取费表'!K8+'数据-取费表'!S8)</f>
        <v>0</v>
      </c>
      <c r="F8" s="1731" t="s">
        <v>1652</v>
      </c>
      <c r="G8" s="459"/>
      <c r="H8" s="459"/>
      <c r="I8" s="459"/>
      <c r="J8" s="459"/>
      <c r="K8" s="459"/>
      <c r="L8" s="459"/>
      <c r="M8" s="459"/>
      <c r="N8" s="459"/>
      <c r="O8" s="459"/>
      <c r="P8" s="459"/>
      <c r="Q8" s="459"/>
      <c r="R8" s="459"/>
      <c r="S8" s="459"/>
    </row>
    <row r="9" spans="1:22">
      <c r="A9" s="2386">
        <f>'数据-取费表'!AN9</f>
        <v>0</v>
      </c>
      <c r="B9" s="2384" t="e">
        <f ca="1">IF(F9="是",'数据-取费表'!AO9,0)</f>
        <v>#REF!</v>
      </c>
      <c r="C9" s="1728" t="s">
        <v>1646</v>
      </c>
      <c r="D9" s="2476"/>
      <c r="E9" s="2388">
        <f>IF(OR(A9=0,F9="否"),0,'数据-取费表'!K9+'数据-取费表'!S9)</f>
        <v>0</v>
      </c>
      <c r="F9" s="1731" t="s">
        <v>1652</v>
      </c>
      <c r="G9" s="459"/>
      <c r="H9" s="459"/>
      <c r="I9" s="459"/>
      <c r="J9" s="459"/>
      <c r="K9" s="459"/>
      <c r="L9" s="459"/>
      <c r="M9" s="459"/>
      <c r="N9" s="459"/>
      <c r="O9" s="459"/>
      <c r="P9" s="459"/>
      <c r="Q9" s="459"/>
      <c r="R9" s="459"/>
      <c r="S9" s="459"/>
    </row>
    <row r="10" spans="1:22">
      <c r="A10" s="2386">
        <f>'数据-取费表'!AN10</f>
        <v>0</v>
      </c>
      <c r="B10" s="2384" t="e">
        <f ca="1">IF(F10="是",'数据-取费表'!AO10,0)</f>
        <v>#REF!</v>
      </c>
      <c r="C10" s="1728" t="s">
        <v>1646</v>
      </c>
      <c r="D10" s="2476"/>
      <c r="E10" s="2388">
        <f>IF(OR(A10=0,F10="否"),0,'数据-取费表'!K10+'数据-取费表'!S10)</f>
        <v>0</v>
      </c>
      <c r="F10" s="1731" t="s">
        <v>1652</v>
      </c>
      <c r="G10" s="459"/>
      <c r="H10" s="459"/>
      <c r="I10" s="459"/>
      <c r="J10" s="459"/>
      <c r="K10" s="459"/>
      <c r="L10" s="459"/>
      <c r="M10" s="459"/>
      <c r="N10" s="459"/>
      <c r="O10" s="459"/>
      <c r="P10" s="459"/>
      <c r="Q10" s="459"/>
      <c r="R10" s="459"/>
      <c r="S10" s="459"/>
    </row>
    <row r="11" spans="1:22">
      <c r="A11" s="2386">
        <f>'数据-取费表'!AN11</f>
        <v>0</v>
      </c>
      <c r="B11" s="2384" t="e">
        <f ca="1">IF(F11="是",'数据-取费表'!AO11,0)</f>
        <v>#REF!</v>
      </c>
      <c r="C11" s="1728" t="s">
        <v>1646</v>
      </c>
      <c r="D11" s="2476"/>
      <c r="E11" s="2388">
        <f>IF(OR(A11=0,F11="否"),0,'数据-取费表'!K11+'数据-取费表'!S11)</f>
        <v>0</v>
      </c>
      <c r="F11" s="1731" t="s">
        <v>1652</v>
      </c>
      <c r="G11" s="459"/>
      <c r="H11" s="459"/>
      <c r="I11" s="459"/>
      <c r="J11" s="459"/>
      <c r="K11" s="459"/>
      <c r="L11" s="459"/>
      <c r="M11" s="459"/>
      <c r="N11" s="459"/>
      <c r="O11" s="459"/>
      <c r="P11" s="459"/>
      <c r="Q11" s="459"/>
      <c r="R11" s="459"/>
      <c r="S11" s="459"/>
    </row>
    <row r="12" spans="1:22">
      <c r="A12" s="2386">
        <f>'数据-取费表'!AN12</f>
        <v>0</v>
      </c>
      <c r="B12" s="2384" t="e">
        <f ca="1">IF(F12="是",'数据-取费表'!AO12,0)</f>
        <v>#REF!</v>
      </c>
      <c r="C12" s="1728" t="s">
        <v>1646</v>
      </c>
      <c r="D12" s="2476"/>
      <c r="E12" s="2388">
        <f>IF(OR(A12=0,F12="否"),0,'数据-取费表'!K12+'数据-取费表'!S12)</f>
        <v>0</v>
      </c>
      <c r="F12" s="1731" t="s">
        <v>1652</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2" t="s">
        <v>1646</v>
      </c>
      <c r="D13" s="2478"/>
      <c r="E13" s="2388">
        <f>IF(OR(A13=0,F13="否"),0,'数据-取费表'!K13+'数据-取费表'!S13)</f>
        <v>0</v>
      </c>
      <c r="F13" s="1731" t="s">
        <v>1652</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1655</v>
      </c>
      <c r="B1" s="1733" t="s">
        <v>1761</v>
      </c>
      <c r="C1" s="1154" t="s">
        <v>1657</v>
      </c>
      <c r="D1" s="1141"/>
      <c r="E1" s="3121"/>
      <c r="F1" s="1734"/>
      <c r="G1" s="1151" t="s">
        <v>1762</v>
      </c>
      <c r="H1" s="1150"/>
      <c r="I1" s="1150"/>
      <c r="J1" s="1150"/>
      <c r="K1" s="1152"/>
      <c r="L1" s="1153"/>
      <c r="M1" s="1154"/>
      <c r="N1" s="1154"/>
      <c r="O1" s="1154"/>
      <c r="P1" s="1798"/>
      <c r="Q1" s="1799"/>
      <c r="R1" s="1799"/>
      <c r="S1" s="1799"/>
      <c r="T1" s="1799"/>
      <c r="U1" s="1799"/>
      <c r="V1" s="1799"/>
      <c r="W1" s="1799"/>
      <c r="X1" s="1799"/>
      <c r="Y1" s="1799"/>
      <c r="Z1" s="1799"/>
      <c r="AA1" s="1799"/>
      <c r="AB1" s="1799"/>
      <c r="AC1" s="1800"/>
    </row>
    <row r="2" spans="1:29" s="342" customFormat="1" ht="28.5" customHeight="1" thickTop="1">
      <c r="A2" s="1137" t="s">
        <v>1457</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1458</v>
      </c>
      <c r="F2" s="1738"/>
      <c r="G2" s="855"/>
      <c r="H2" s="855"/>
      <c r="I2" s="855"/>
      <c r="J2" s="855"/>
      <c r="K2" s="855"/>
      <c r="L2" s="2500"/>
      <c r="M2" s="2501"/>
      <c r="N2" s="2501"/>
      <c r="O2" s="2501"/>
      <c r="P2" s="1801"/>
      <c r="Q2" s="859"/>
      <c r="R2" s="859"/>
      <c r="S2" s="859"/>
      <c r="T2" s="859"/>
      <c r="U2" s="859"/>
      <c r="V2" s="859"/>
      <c r="W2" s="859"/>
      <c r="X2" s="859"/>
      <c r="Y2" s="859"/>
      <c r="Z2" s="859"/>
      <c r="AA2" s="859"/>
      <c r="AB2" s="859"/>
      <c r="AC2" s="1802"/>
    </row>
    <row r="3" spans="1:29" s="342" customFormat="1" ht="28.5" customHeight="1" thickBot="1">
      <c r="A3" s="195" t="s">
        <v>1459</v>
      </c>
      <c r="B3" s="536">
        <f>IF(C2="——",C49,ROUND(B2*10000/D3,0))</f>
        <v>0</v>
      </c>
      <c r="C3" s="344" t="s">
        <v>1763</v>
      </c>
      <c r="D3" s="343">
        <f>IF(D1="",'数据-汇总表'!E3,SUMIF('数据-汇总表'!$C19:$C33,D1,'数据-汇总表'!$E19:$E33))</f>
        <v>1232.79</v>
      </c>
      <c r="E3" s="1802"/>
      <c r="F3" s="856"/>
      <c r="G3" s="855"/>
      <c r="H3" s="855"/>
      <c r="I3" s="855"/>
      <c r="J3" s="855"/>
      <c r="K3" s="857"/>
      <c r="L3" s="2500"/>
      <c r="M3" s="2501"/>
      <c r="N3" s="2501"/>
      <c r="O3" s="2501"/>
      <c r="P3" s="1801"/>
      <c r="Q3" s="859"/>
      <c r="R3" s="859"/>
      <c r="S3" s="859"/>
      <c r="T3" s="859"/>
      <c r="U3" s="859"/>
      <c r="V3" s="859"/>
      <c r="W3" s="859"/>
      <c r="X3" s="859"/>
      <c r="Y3" s="859"/>
      <c r="Z3" s="859"/>
      <c r="AA3" s="859"/>
      <c r="AB3" s="859"/>
      <c r="AC3" s="1802"/>
    </row>
    <row r="4" spans="1:29" ht="15">
      <c r="A4" s="345" t="s">
        <v>1764</v>
      </c>
      <c r="B4" s="346"/>
      <c r="C4" s="3439" t="s">
        <v>1765</v>
      </c>
      <c r="D4" s="3440"/>
      <c r="E4" s="3441" t="s">
        <v>1766</v>
      </c>
      <c r="F4" s="3442"/>
      <c r="G4" s="3439" t="s">
        <v>1767</v>
      </c>
      <c r="H4" s="3440"/>
      <c r="I4" s="3439" t="s">
        <v>1768</v>
      </c>
      <c r="J4" s="3440"/>
      <c r="K4" s="537" t="s">
        <v>1769</v>
      </c>
      <c r="L4" s="2483"/>
      <c r="M4" s="2484"/>
      <c r="N4" s="2484"/>
      <c r="O4" s="2484"/>
      <c r="P4" s="3443" t="s">
        <v>1770</v>
      </c>
      <c r="Q4" s="3444"/>
      <c r="R4" s="3449" t="s">
        <v>1766</v>
      </c>
      <c r="S4" s="3450"/>
      <c r="T4" s="3449" t="s">
        <v>1767</v>
      </c>
      <c r="U4" s="3450"/>
      <c r="V4" s="3422" t="s">
        <v>1768</v>
      </c>
      <c r="W4" s="3422"/>
      <c r="X4" s="1264"/>
      <c r="Y4" s="3449" t="s">
        <v>1770</v>
      </c>
      <c r="Z4" s="3450"/>
      <c r="AA4" s="3436" t="s">
        <v>1766</v>
      </c>
      <c r="AB4" s="3422" t="s">
        <v>1767</v>
      </c>
      <c r="AC4" s="3436" t="s">
        <v>1768</v>
      </c>
    </row>
    <row r="5" spans="1:29" ht="15">
      <c r="A5" s="348"/>
      <c r="B5" s="349"/>
      <c r="C5" s="3457" t="s">
        <v>1668</v>
      </c>
      <c r="D5" s="3458"/>
      <c r="E5" s="3464" t="s">
        <v>1669</v>
      </c>
      <c r="F5" s="3465"/>
      <c r="G5" s="3457" t="s">
        <v>1670</v>
      </c>
      <c r="H5" s="3458"/>
      <c r="I5" s="3457" t="s">
        <v>1671</v>
      </c>
      <c r="J5" s="3458"/>
      <c r="K5" s="537"/>
      <c r="L5" s="2483"/>
      <c r="M5" s="2484"/>
      <c r="N5" s="2484"/>
      <c r="O5" s="2484"/>
      <c r="P5" s="3445"/>
      <c r="Q5" s="3446"/>
      <c r="R5" s="3451"/>
      <c r="S5" s="3452"/>
      <c r="T5" s="3451"/>
      <c r="U5" s="3452"/>
      <c r="V5" s="3422"/>
      <c r="W5" s="3422"/>
      <c r="X5" s="1264"/>
      <c r="Y5" s="3451"/>
      <c r="Z5" s="3452"/>
      <c r="AA5" s="3437"/>
      <c r="AB5" s="3422"/>
      <c r="AC5" s="3437"/>
    </row>
    <row r="6" spans="1:29" ht="15.75" thickBot="1">
      <c r="A6" s="350"/>
      <c r="B6" s="351"/>
      <c r="C6" s="3455" t="s">
        <v>1672</v>
      </c>
      <c r="D6" s="3456"/>
      <c r="E6" s="3462" t="s">
        <v>1672</v>
      </c>
      <c r="F6" s="3463"/>
      <c r="G6" s="3455" t="s">
        <v>1672</v>
      </c>
      <c r="H6" s="3456"/>
      <c r="I6" s="3455" t="s">
        <v>1672</v>
      </c>
      <c r="J6" s="3456"/>
      <c r="K6" s="537" t="s">
        <v>1673</v>
      </c>
      <c r="L6" s="2483"/>
      <c r="M6" s="2484"/>
      <c r="N6" s="2484"/>
      <c r="O6" s="2484"/>
      <c r="P6" s="3447"/>
      <c r="Q6" s="3448"/>
      <c r="R6" s="3451"/>
      <c r="S6" s="3452"/>
      <c r="T6" s="3453"/>
      <c r="U6" s="3454"/>
      <c r="V6" s="3422"/>
      <c r="W6" s="3422"/>
      <c r="X6" s="1264"/>
      <c r="Y6" s="3453"/>
      <c r="Z6" s="3454"/>
      <c r="AA6" s="3438"/>
      <c r="AB6" s="3422"/>
      <c r="AC6" s="3438"/>
    </row>
    <row r="7" spans="1:29" s="102" customFormat="1" ht="15.75" thickBot="1">
      <c r="A7" s="352" t="s">
        <v>1674</v>
      </c>
      <c r="B7" s="353"/>
      <c r="C7" s="354">
        <f>'数据-取费表'!B2</f>
        <v>45383</v>
      </c>
      <c r="D7" s="355">
        <v>100</v>
      </c>
      <c r="E7" s="356"/>
      <c r="F7" s="357">
        <f>SUMIF(58:58,YEAR(E7)&amp;"-"&amp;MONTH(E7),59:59)</f>
        <v>0</v>
      </c>
      <c r="G7" s="356"/>
      <c r="H7" s="355">
        <f>SUMIF(58:58,YEAR(G7)&amp;"-"&amp;MONTH(G7),59:59)</f>
        <v>0</v>
      </c>
      <c r="I7" s="356"/>
      <c r="J7" s="355">
        <f>SUMIF(58:58,YEAR(I7)&amp;"-"&amp;MONTH(I7),59:59)</f>
        <v>0</v>
      </c>
      <c r="K7" s="38"/>
      <c r="L7" s="2485"/>
      <c r="M7" s="2436"/>
      <c r="N7" s="2436"/>
      <c r="O7" s="2436"/>
      <c r="P7" s="3459" t="s">
        <v>1675</v>
      </c>
      <c r="Q7" s="3461"/>
      <c r="R7" s="664" t="s">
        <v>14</v>
      </c>
      <c r="S7" s="665">
        <f t="shared" ref="S7:S15" si="0">F7</f>
        <v>0</v>
      </c>
      <c r="T7" s="664" t="s">
        <v>14</v>
      </c>
      <c r="U7" s="665">
        <f t="shared" ref="U7:U15" si="1">H7</f>
        <v>0</v>
      </c>
      <c r="V7" s="664" t="s">
        <v>14</v>
      </c>
      <c r="W7" s="665">
        <f t="shared" ref="W7:W15" si="2">J7</f>
        <v>0</v>
      </c>
      <c r="X7" s="666"/>
      <c r="Y7" s="3459" t="s">
        <v>1675</v>
      </c>
      <c r="Z7" s="3460"/>
      <c r="AA7" s="50" t="e">
        <f>D7/F7</f>
        <v>#DIV/0!</v>
      </c>
      <c r="AB7" s="50" t="e">
        <f>D7/H7</f>
        <v>#DIV/0!</v>
      </c>
      <c r="AC7" s="50" t="e">
        <f>D7/J7</f>
        <v>#DIV/0!</v>
      </c>
    </row>
    <row r="8" spans="1:29" s="102" customFormat="1" ht="15.75" thickBot="1">
      <c r="A8" s="352" t="s">
        <v>1676</v>
      </c>
      <c r="B8" s="353"/>
      <c r="C8" s="358"/>
      <c r="D8" s="355">
        <v>100</v>
      </c>
      <c r="E8" s="358"/>
      <c r="F8" s="357">
        <f>SUMIF(61:61,E8,62:62)-SUMIF(61:61,C8,62:62)+100</f>
        <v>100</v>
      </c>
      <c r="G8" s="358"/>
      <c r="H8" s="355">
        <f>SUMIF(61:61,G8,62:62)-SUMIF(61:61,C8,62:62)+100</f>
        <v>100</v>
      </c>
      <c r="I8" s="358"/>
      <c r="J8" s="355">
        <f>SUMIF(61:61,I8,62:62)-SUMIF(61:61,C8,62:62)+100</f>
        <v>100</v>
      </c>
      <c r="K8" s="38"/>
      <c r="L8" s="2485"/>
      <c r="M8" s="2436"/>
      <c r="N8" s="2436"/>
      <c r="O8" s="2436"/>
      <c r="P8" s="3459" t="s">
        <v>1678</v>
      </c>
      <c r="Q8" s="3460"/>
      <c r="R8" s="664" t="s">
        <v>14</v>
      </c>
      <c r="S8" s="665">
        <f t="shared" si="0"/>
        <v>100</v>
      </c>
      <c r="T8" s="664" t="s">
        <v>14</v>
      </c>
      <c r="U8" s="665">
        <f t="shared" si="1"/>
        <v>100</v>
      </c>
      <c r="V8" s="664" t="s">
        <v>14</v>
      </c>
      <c r="W8" s="665">
        <f t="shared" si="2"/>
        <v>100</v>
      </c>
      <c r="X8" s="666"/>
      <c r="Y8" s="3459" t="s">
        <v>1678</v>
      </c>
      <c r="Z8" s="3460"/>
      <c r="AA8" s="50">
        <f t="shared" ref="AA8:AA46" si="3">D8/F8</f>
        <v>1</v>
      </c>
      <c r="AB8" s="50">
        <f t="shared" ref="AB8:AB46" si="4">D8/H8</f>
        <v>1</v>
      </c>
      <c r="AC8" s="50">
        <f t="shared" ref="AC8:AC46" si="5">D8/J8</f>
        <v>1</v>
      </c>
    </row>
    <row r="9" spans="1:29" s="102" customFormat="1">
      <c r="A9" s="359" t="s">
        <v>1679</v>
      </c>
      <c r="B9" s="60" t="s">
        <v>1680</v>
      </c>
      <c r="C9" s="360"/>
      <c r="D9" s="59">
        <v>100</v>
      </c>
      <c r="E9" s="361"/>
      <c r="F9" s="60">
        <f>SUMIF(63:63,E9,64:64)-SUMIF(63:63,C9,64:64)+100</f>
        <v>100</v>
      </c>
      <c r="G9" s="361"/>
      <c r="H9" s="59">
        <f>SUMIF(63:63,G9,64:64)-SUMIF(63:63,C9,64:64)+100</f>
        <v>100</v>
      </c>
      <c r="I9" s="361"/>
      <c r="J9" s="59">
        <f>SUMIF(63:63,I9,64:64)-SUMIF(63:63,C9,64:64)+100</f>
        <v>100</v>
      </c>
      <c r="K9" s="38"/>
      <c r="L9" s="2485"/>
      <c r="M9" s="2436"/>
      <c r="N9" s="2436"/>
      <c r="O9" s="2436"/>
      <c r="P9" s="3435" t="s">
        <v>1681</v>
      </c>
      <c r="Q9" s="530" t="str">
        <f t="shared" ref="Q9:Q15" si="6">B9</f>
        <v>用途</v>
      </c>
      <c r="R9" s="664" t="s">
        <v>14</v>
      </c>
      <c r="S9" s="665">
        <f t="shared" si="0"/>
        <v>100</v>
      </c>
      <c r="T9" s="664" t="s">
        <v>14</v>
      </c>
      <c r="U9" s="665">
        <f t="shared" si="1"/>
        <v>100</v>
      </c>
      <c r="V9" s="664" t="s">
        <v>14</v>
      </c>
      <c r="W9" s="665">
        <f t="shared" si="2"/>
        <v>100</v>
      </c>
      <c r="X9" s="666"/>
      <c r="Y9" s="3299" t="s">
        <v>1682</v>
      </c>
      <c r="Z9" s="50" t="str">
        <f t="shared" ref="Z9:Z15" si="7">Q9</f>
        <v>用途</v>
      </c>
      <c r="AA9" s="50">
        <f t="shared" si="3"/>
        <v>1</v>
      </c>
      <c r="AB9" s="50">
        <f t="shared" si="4"/>
        <v>1</v>
      </c>
      <c r="AC9" s="50">
        <f t="shared" si="5"/>
        <v>1</v>
      </c>
    </row>
    <row r="10" spans="1:29" s="366" customFormat="1" ht="27">
      <c r="A10" s="363"/>
      <c r="B10" s="364" t="s">
        <v>1683</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435"/>
      <c r="Q10" s="530" t="str">
        <f t="shared" si="6"/>
        <v>土地使用年限（年）</v>
      </c>
      <c r="R10" s="664" t="s">
        <v>14</v>
      </c>
      <c r="S10" s="665">
        <f t="shared" si="0"/>
        <v>100</v>
      </c>
      <c r="T10" s="664" t="s">
        <v>14</v>
      </c>
      <c r="U10" s="665">
        <f t="shared" si="1"/>
        <v>100</v>
      </c>
      <c r="V10" s="664" t="s">
        <v>14</v>
      </c>
      <c r="W10" s="665">
        <f t="shared" si="2"/>
        <v>100</v>
      </c>
      <c r="X10" s="666"/>
      <c r="Y10" s="3299"/>
      <c r="Z10" s="50" t="str">
        <f t="shared" si="7"/>
        <v>土地使用年限（年）</v>
      </c>
      <c r="AA10" s="50">
        <f t="shared" si="3"/>
        <v>1</v>
      </c>
      <c r="AB10" s="50">
        <f t="shared" si="4"/>
        <v>1</v>
      </c>
      <c r="AC10" s="50">
        <f t="shared" si="5"/>
        <v>1</v>
      </c>
    </row>
    <row r="11" spans="1:29" ht="15">
      <c r="A11" s="367"/>
      <c r="B11" s="364" t="s">
        <v>1684</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435"/>
      <c r="Q11" s="530" t="str">
        <f t="shared" si="6"/>
        <v>容积率</v>
      </c>
      <c r="R11" s="664" t="s">
        <v>14</v>
      </c>
      <c r="S11" s="665" t="e">
        <f t="shared" si="0"/>
        <v>#N/A</v>
      </c>
      <c r="T11" s="664" t="s">
        <v>14</v>
      </c>
      <c r="U11" s="665" t="e">
        <f t="shared" si="1"/>
        <v>#N/A</v>
      </c>
      <c r="V11" s="664" t="s">
        <v>14</v>
      </c>
      <c r="W11" s="665" t="e">
        <f t="shared" si="2"/>
        <v>#N/A</v>
      </c>
      <c r="X11" s="666"/>
      <c r="Y11" s="329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6"/>
      <c r="N12" s="2436"/>
      <c r="O12" s="2436"/>
      <c r="P12" s="3435"/>
      <c r="Q12" s="530">
        <f t="shared" si="6"/>
        <v>111</v>
      </c>
      <c r="R12" s="664" t="s">
        <v>14</v>
      </c>
      <c r="S12" s="665">
        <f t="shared" si="0"/>
        <v>100</v>
      </c>
      <c r="T12" s="664" t="s">
        <v>14</v>
      </c>
      <c r="U12" s="665">
        <f t="shared" si="1"/>
        <v>100</v>
      </c>
      <c r="V12" s="664" t="s">
        <v>14</v>
      </c>
      <c r="W12" s="665">
        <f t="shared" si="2"/>
        <v>100</v>
      </c>
      <c r="X12" s="666"/>
      <c r="Y12" s="329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435"/>
      <c r="Q13" s="530">
        <f t="shared" si="6"/>
        <v>111</v>
      </c>
      <c r="R13" s="664" t="s">
        <v>14</v>
      </c>
      <c r="S13" s="665">
        <f t="shared" si="0"/>
        <v>100</v>
      </c>
      <c r="T13" s="664" t="s">
        <v>14</v>
      </c>
      <c r="U13" s="665">
        <f t="shared" si="1"/>
        <v>100</v>
      </c>
      <c r="V13" s="664" t="s">
        <v>14</v>
      </c>
      <c r="W13" s="665">
        <f t="shared" si="2"/>
        <v>100</v>
      </c>
      <c r="X13" s="666"/>
      <c r="Y13" s="3299"/>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435"/>
      <c r="Q14" s="530">
        <f t="shared" si="6"/>
        <v>111</v>
      </c>
      <c r="R14" s="664" t="s">
        <v>14</v>
      </c>
      <c r="S14" s="665">
        <f t="shared" si="0"/>
        <v>100</v>
      </c>
      <c r="T14" s="664" t="s">
        <v>14</v>
      </c>
      <c r="U14" s="665">
        <f t="shared" si="1"/>
        <v>100</v>
      </c>
      <c r="V14" s="664" t="s">
        <v>14</v>
      </c>
      <c r="W14" s="665">
        <f t="shared" si="2"/>
        <v>100</v>
      </c>
      <c r="X14" s="666"/>
      <c r="Y14" s="3299"/>
      <c r="Z14" s="50">
        <f t="shared" si="7"/>
        <v>111</v>
      </c>
      <c r="AA14" s="50">
        <f t="shared" si="3"/>
        <v>1</v>
      </c>
      <c r="AB14" s="50">
        <f t="shared" si="4"/>
        <v>1</v>
      </c>
      <c r="AC14" s="50">
        <f t="shared" si="5"/>
        <v>1</v>
      </c>
    </row>
    <row r="15" spans="1:29" ht="15">
      <c r="A15" s="379" t="s">
        <v>1685</v>
      </c>
      <c r="B15" s="58" t="s">
        <v>1772</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426" t="s">
        <v>1686</v>
      </c>
      <c r="Q15" s="1262" t="str">
        <f t="shared" si="6"/>
        <v>商业繁华度</v>
      </c>
      <c r="R15" s="667" t="s">
        <v>14</v>
      </c>
      <c r="S15" s="668">
        <f t="shared" si="0"/>
        <v>100</v>
      </c>
      <c r="T15" s="667" t="s">
        <v>14</v>
      </c>
      <c r="U15" s="668">
        <f t="shared" si="1"/>
        <v>100</v>
      </c>
      <c r="V15" s="667" t="s">
        <v>14</v>
      </c>
      <c r="W15" s="668">
        <f t="shared" si="2"/>
        <v>100</v>
      </c>
      <c r="X15" s="1264"/>
      <c r="Y15" s="3428" t="s">
        <v>1686</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9"/>
      <c r="M16" s="2484"/>
      <c r="N16" s="2484"/>
      <c r="O16" s="2484"/>
      <c r="P16" s="3427"/>
      <c r="Q16" s="1262"/>
      <c r="R16" s="667"/>
      <c r="S16" s="668"/>
      <c r="T16" s="667"/>
      <c r="U16" s="668"/>
      <c r="V16" s="667"/>
      <c r="W16" s="668"/>
      <c r="X16" s="1264"/>
      <c r="Y16" s="3429"/>
      <c r="Z16" s="1263"/>
      <c r="AA16" s="1263">
        <v>1</v>
      </c>
      <c r="AB16" s="1263">
        <v>1</v>
      </c>
      <c r="AC16" s="1263">
        <v>1</v>
      </c>
    </row>
    <row r="17" spans="1:29" ht="15">
      <c r="A17" s="367"/>
      <c r="B17" s="390" t="s">
        <v>1254</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427"/>
      <c r="Q17" s="1262" t="str">
        <f>B17</f>
        <v>交通便捷度</v>
      </c>
      <c r="R17" s="667" t="s">
        <v>14</v>
      </c>
      <c r="S17" s="668">
        <f>F17</f>
        <v>100</v>
      </c>
      <c r="T17" s="667" t="s">
        <v>14</v>
      </c>
      <c r="U17" s="668">
        <f>H17</f>
        <v>100</v>
      </c>
      <c r="V17" s="667" t="s">
        <v>14</v>
      </c>
      <c r="W17" s="668">
        <f>J17</f>
        <v>100</v>
      </c>
      <c r="X17" s="1264"/>
      <c r="Y17" s="3429"/>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9"/>
      <c r="M18" s="2484"/>
      <c r="N18" s="2484"/>
      <c r="O18" s="2484"/>
      <c r="P18" s="3427"/>
      <c r="Q18" s="1262"/>
      <c r="R18" s="667"/>
      <c r="S18" s="668"/>
      <c r="T18" s="667"/>
      <c r="U18" s="668"/>
      <c r="V18" s="667"/>
      <c r="W18" s="668"/>
      <c r="X18" s="1264"/>
      <c r="Y18" s="3429"/>
      <c r="Z18" s="1263"/>
      <c r="AA18" s="1263">
        <v>1</v>
      </c>
      <c r="AB18" s="1263">
        <v>1</v>
      </c>
      <c r="AC18" s="1263">
        <v>1</v>
      </c>
    </row>
    <row r="19" spans="1:29" ht="15">
      <c r="A19" s="367"/>
      <c r="B19" s="390" t="s">
        <v>1773</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427"/>
      <c r="Q19" s="1262" t="str">
        <f>B19</f>
        <v>公共配套设施</v>
      </c>
      <c r="R19" s="667" t="s">
        <v>14</v>
      </c>
      <c r="S19" s="668">
        <f>F19</f>
        <v>100</v>
      </c>
      <c r="T19" s="667" t="s">
        <v>14</v>
      </c>
      <c r="U19" s="668">
        <f>H19</f>
        <v>100</v>
      </c>
      <c r="V19" s="667" t="s">
        <v>14</v>
      </c>
      <c r="W19" s="668">
        <f>J19</f>
        <v>100</v>
      </c>
      <c r="X19" s="1264"/>
      <c r="Y19" s="3429"/>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9"/>
      <c r="M20" s="2484"/>
      <c r="N20" s="2484"/>
      <c r="O20" s="2484"/>
      <c r="P20" s="3427"/>
      <c r="Q20" s="1262"/>
      <c r="R20" s="667"/>
      <c r="S20" s="668"/>
      <c r="T20" s="667"/>
      <c r="U20" s="668"/>
      <c r="V20" s="667"/>
      <c r="W20" s="668"/>
      <c r="X20" s="1264"/>
      <c r="Y20" s="3429"/>
      <c r="Z20" s="1263"/>
      <c r="AA20" s="1263">
        <v>1</v>
      </c>
      <c r="AB20" s="1263">
        <v>1</v>
      </c>
      <c r="AC20" s="1263">
        <v>1</v>
      </c>
    </row>
    <row r="21" spans="1:29" ht="15">
      <c r="A21" s="367"/>
      <c r="B21" s="586" t="s">
        <v>1774</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427"/>
      <c r="Q21" s="1262" t="str">
        <f>B21</f>
        <v>基础设施水平</v>
      </c>
      <c r="R21" s="667" t="s">
        <v>14</v>
      </c>
      <c r="S21" s="668">
        <f>F21</f>
        <v>100</v>
      </c>
      <c r="T21" s="667" t="s">
        <v>14</v>
      </c>
      <c r="U21" s="668">
        <f>H21</f>
        <v>100</v>
      </c>
      <c r="V21" s="667" t="s">
        <v>14</v>
      </c>
      <c r="W21" s="668">
        <f>J21</f>
        <v>100</v>
      </c>
      <c r="X21" s="1264"/>
      <c r="Y21" s="342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89"/>
      <c r="M22" s="2484"/>
      <c r="N22" s="2484"/>
      <c r="O22" s="2484"/>
      <c r="P22" s="3427"/>
      <c r="Q22" s="1262"/>
      <c r="R22" s="667"/>
      <c r="S22" s="668"/>
      <c r="T22" s="667"/>
      <c r="U22" s="668"/>
      <c r="V22" s="667"/>
      <c r="W22" s="668"/>
      <c r="X22" s="1264"/>
      <c r="Y22" s="3429"/>
      <c r="Z22" s="1263"/>
      <c r="AA22" s="1263">
        <v>1</v>
      </c>
      <c r="AB22" s="1263">
        <v>1</v>
      </c>
      <c r="AC22" s="1263">
        <v>1</v>
      </c>
    </row>
    <row r="23" spans="1:29" ht="15">
      <c r="A23" s="367"/>
      <c r="B23" s="390" t="s">
        <v>1256</v>
      </c>
      <c r="C23" s="1803">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427"/>
      <c r="Q23" s="1262" t="str">
        <f>B23</f>
        <v>自然及人文环境</v>
      </c>
      <c r="R23" s="667" t="s">
        <v>14</v>
      </c>
      <c r="S23" s="668">
        <f>F23</f>
        <v>100</v>
      </c>
      <c r="T23" s="667" t="s">
        <v>14</v>
      </c>
      <c r="U23" s="668">
        <f>H23</f>
        <v>100</v>
      </c>
      <c r="V23" s="667" t="s">
        <v>14</v>
      </c>
      <c r="W23" s="668">
        <f>J23</f>
        <v>100</v>
      </c>
      <c r="X23" s="1264"/>
      <c r="Y23" s="3429"/>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9"/>
      <c r="M24" s="2484"/>
      <c r="N24" s="2484"/>
      <c r="O24" s="2484"/>
      <c r="P24" s="3427"/>
      <c r="Q24" s="1262"/>
      <c r="R24" s="667"/>
      <c r="S24" s="668"/>
      <c r="T24" s="667"/>
      <c r="U24" s="668"/>
      <c r="V24" s="667"/>
      <c r="W24" s="668"/>
      <c r="X24" s="1264"/>
      <c r="Y24" s="3429"/>
      <c r="Z24" s="1263"/>
      <c r="AA24" s="1263">
        <v>1</v>
      </c>
      <c r="AB24" s="1263">
        <v>1</v>
      </c>
      <c r="AC24" s="1263">
        <v>1</v>
      </c>
    </row>
    <row r="25" spans="1:29" ht="15">
      <c r="A25" s="367"/>
      <c r="B25" s="364" t="s">
        <v>1775</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427"/>
      <c r="Q25" s="1262" t="str">
        <f t="shared" ref="Q25:Q46" si="11">B25</f>
        <v>临街状况</v>
      </c>
      <c r="R25" s="667" t="s">
        <v>14</v>
      </c>
      <c r="S25" s="668">
        <f>F25</f>
        <v>100</v>
      </c>
      <c r="T25" s="667" t="s">
        <v>14</v>
      </c>
      <c r="U25" s="668">
        <f>H25</f>
        <v>100</v>
      </c>
      <c r="V25" s="667" t="s">
        <v>14</v>
      </c>
      <c r="W25" s="668">
        <f>J25</f>
        <v>100</v>
      </c>
      <c r="X25" s="1264"/>
      <c r="Y25" s="3429"/>
      <c r="Z25" s="1263" t="str">
        <f>Q25</f>
        <v>临街状况</v>
      </c>
      <c r="AA25" s="1263">
        <f t="shared" si="3"/>
        <v>1</v>
      </c>
      <c r="AB25" s="1263">
        <f t="shared" si="4"/>
        <v>1</v>
      </c>
      <c r="AC25" s="1263">
        <f t="shared" si="5"/>
        <v>1</v>
      </c>
    </row>
    <row r="26" spans="1:29" ht="15">
      <c r="A26" s="367"/>
      <c r="B26" s="1066" t="s">
        <v>1776</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427"/>
      <c r="Q26" s="1262" t="str">
        <f t="shared" si="11"/>
        <v>平面位置/可视性</v>
      </c>
      <c r="R26" s="667" t="s">
        <v>14</v>
      </c>
      <c r="S26" s="668">
        <f>F26</f>
        <v>100</v>
      </c>
      <c r="T26" s="667" t="s">
        <v>14</v>
      </c>
      <c r="U26" s="668">
        <f>H26</f>
        <v>100</v>
      </c>
      <c r="V26" s="667" t="s">
        <v>14</v>
      </c>
      <c r="W26" s="668">
        <f>J26</f>
        <v>100</v>
      </c>
      <c r="X26" s="1264"/>
      <c r="Y26" s="3429"/>
      <c r="Z26" s="1263" t="str">
        <f>Q26</f>
        <v>平面位置/可视性</v>
      </c>
      <c r="AA26" s="1263">
        <f t="shared" si="3"/>
        <v>1</v>
      </c>
      <c r="AB26" s="1263">
        <f t="shared" si="4"/>
        <v>1</v>
      </c>
      <c r="AC26" s="1263">
        <f t="shared" si="5"/>
        <v>1</v>
      </c>
    </row>
    <row r="27" spans="1:29" s="102" customFormat="1" ht="15">
      <c r="A27" s="370"/>
      <c r="B27" s="390" t="s">
        <v>1777</v>
      </c>
      <c r="C27" s="1804"/>
      <c r="D27" s="401">
        <v>100</v>
      </c>
      <c r="E27" s="1804"/>
      <c r="F27" s="395">
        <f>SUMIF(90:90,E27,91:91)-SUMIF(90:90,C27,91:91)+100</f>
        <v>100</v>
      </c>
      <c r="G27" s="1804"/>
      <c r="H27" s="401">
        <f>SUMIF(90:90,G27,91:91)-SUMIF(90:90,C27,91:91)+100</f>
        <v>100</v>
      </c>
      <c r="I27" s="1804"/>
      <c r="J27" s="401">
        <f>SUMIF(90:90,I27,91:91)-SUMIF(90:90,C27,91:91)+100</f>
        <v>100</v>
      </c>
      <c r="K27" s="538"/>
      <c r="L27" s="2485"/>
      <c r="M27" s="2436"/>
      <c r="N27" s="2436"/>
      <c r="O27" s="2436"/>
      <c r="P27" s="3427"/>
      <c r="Q27" s="530" t="str">
        <f t="shared" si="11"/>
        <v>人流量</v>
      </c>
      <c r="R27" s="664" t="s">
        <v>14</v>
      </c>
      <c r="S27" s="665">
        <f>F27</f>
        <v>100</v>
      </c>
      <c r="T27" s="664" t="s">
        <v>14</v>
      </c>
      <c r="U27" s="665">
        <f>H27</f>
        <v>100</v>
      </c>
      <c r="V27" s="664" t="s">
        <v>14</v>
      </c>
      <c r="W27" s="665">
        <f>J27</f>
        <v>100</v>
      </c>
      <c r="X27" s="666"/>
      <c r="Y27" s="3429"/>
      <c r="Z27" s="50" t="str">
        <f>Q27</f>
        <v>人流量</v>
      </c>
      <c r="AA27" s="1263">
        <f>D27/F27</f>
        <v>1</v>
      </c>
      <c r="AB27" s="1263">
        <f>D27/H27</f>
        <v>1</v>
      </c>
      <c r="AC27" s="1263">
        <f>D27/J27</f>
        <v>1</v>
      </c>
    </row>
    <row r="28" spans="1:29" ht="15">
      <c r="A28" s="367"/>
      <c r="B28" s="364" t="s">
        <v>1778</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427"/>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29"/>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27"/>
      <c r="Q29" s="1262">
        <f t="shared" si="11"/>
        <v>111</v>
      </c>
      <c r="R29" s="667" t="s">
        <v>14</v>
      </c>
      <c r="S29" s="668">
        <f t="shared" si="12"/>
        <v>100</v>
      </c>
      <c r="T29" s="667" t="s">
        <v>14</v>
      </c>
      <c r="U29" s="668">
        <f t="shared" si="13"/>
        <v>100</v>
      </c>
      <c r="V29" s="667" t="s">
        <v>14</v>
      </c>
      <c r="W29" s="668">
        <f t="shared" si="14"/>
        <v>100</v>
      </c>
      <c r="X29" s="1264"/>
      <c r="Y29" s="3429"/>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27"/>
      <c r="Q30" s="1262">
        <f t="shared" si="11"/>
        <v>111</v>
      </c>
      <c r="R30" s="667" t="s">
        <v>14</v>
      </c>
      <c r="S30" s="668">
        <f t="shared" si="12"/>
        <v>100</v>
      </c>
      <c r="T30" s="667" t="s">
        <v>14</v>
      </c>
      <c r="U30" s="668">
        <f t="shared" si="13"/>
        <v>100</v>
      </c>
      <c r="V30" s="667" t="s">
        <v>14</v>
      </c>
      <c r="W30" s="668">
        <f t="shared" si="14"/>
        <v>100</v>
      </c>
      <c r="X30" s="1264"/>
      <c r="Y30" s="3429"/>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27"/>
      <c r="Q31" s="1262">
        <f t="shared" si="11"/>
        <v>111</v>
      </c>
      <c r="R31" s="667" t="s">
        <v>14</v>
      </c>
      <c r="S31" s="668">
        <f t="shared" si="12"/>
        <v>100</v>
      </c>
      <c r="T31" s="667" t="s">
        <v>14</v>
      </c>
      <c r="U31" s="668">
        <f t="shared" si="13"/>
        <v>100</v>
      </c>
      <c r="V31" s="667" t="s">
        <v>14</v>
      </c>
      <c r="W31" s="668">
        <f t="shared" si="14"/>
        <v>100</v>
      </c>
      <c r="X31" s="1264"/>
      <c r="Y31" s="3429"/>
      <c r="Z31" s="1263">
        <f t="shared" si="15"/>
        <v>111</v>
      </c>
      <c r="AA31" s="1263">
        <f t="shared" si="3"/>
        <v>1</v>
      </c>
      <c r="AB31" s="1263">
        <f t="shared" si="4"/>
        <v>1</v>
      </c>
      <c r="AC31" s="1263">
        <f t="shared" si="5"/>
        <v>1</v>
      </c>
    </row>
    <row r="32" spans="1:29" ht="15">
      <c r="A32" s="379" t="s">
        <v>1689</v>
      </c>
      <c r="B32" s="60" t="s">
        <v>1779</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9"/>
      <c r="M32" s="2484"/>
      <c r="N32" s="2484"/>
      <c r="O32" s="2484"/>
      <c r="P32" s="3430" t="s">
        <v>1691</v>
      </c>
      <c r="Q32" s="1262" t="str">
        <f t="shared" si="11"/>
        <v>商业类型</v>
      </c>
      <c r="R32" s="667" t="s">
        <v>14</v>
      </c>
      <c r="S32" s="668">
        <f t="shared" si="12"/>
        <v>100</v>
      </c>
      <c r="T32" s="667" t="s">
        <v>14</v>
      </c>
      <c r="U32" s="668">
        <f t="shared" si="13"/>
        <v>100</v>
      </c>
      <c r="V32" s="667" t="s">
        <v>14</v>
      </c>
      <c r="W32" s="668">
        <f t="shared" si="14"/>
        <v>100</v>
      </c>
      <c r="X32" s="1264"/>
      <c r="Y32" s="3433" t="s">
        <v>1691</v>
      </c>
      <c r="Z32" s="1263" t="str">
        <f t="shared" si="15"/>
        <v>商业类型</v>
      </c>
      <c r="AA32" s="1263">
        <f t="shared" si="3"/>
        <v>1</v>
      </c>
      <c r="AB32" s="1263">
        <f t="shared" si="4"/>
        <v>1</v>
      </c>
      <c r="AC32" s="1263">
        <f t="shared" si="5"/>
        <v>1</v>
      </c>
    </row>
    <row r="33" spans="1:29" s="408" customFormat="1" ht="15">
      <c r="A33" s="406"/>
      <c r="B33" s="364" t="s">
        <v>1692</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431"/>
      <c r="Q33" s="531" t="str">
        <f t="shared" si="11"/>
        <v>项目建筑规模</v>
      </c>
      <c r="R33" s="669" t="s">
        <v>14</v>
      </c>
      <c r="S33" s="670" t="e">
        <f t="shared" si="12"/>
        <v>#N/A</v>
      </c>
      <c r="T33" s="669" t="s">
        <v>14</v>
      </c>
      <c r="U33" s="670" t="e">
        <f t="shared" si="13"/>
        <v>#N/A</v>
      </c>
      <c r="V33" s="669" t="s">
        <v>14</v>
      </c>
      <c r="W33" s="670" t="e">
        <f t="shared" si="14"/>
        <v>#N/A</v>
      </c>
      <c r="X33" s="671"/>
      <c r="Y33" s="3433"/>
      <c r="Z33" s="672" t="str">
        <f t="shared" si="15"/>
        <v>项目建筑规模</v>
      </c>
      <c r="AA33" s="1263" t="e">
        <f t="shared" si="3"/>
        <v>#N/A</v>
      </c>
      <c r="AB33" s="1263" t="e">
        <f t="shared" si="4"/>
        <v>#N/A</v>
      </c>
      <c r="AC33" s="1263" t="e">
        <f t="shared" si="5"/>
        <v>#N/A</v>
      </c>
    </row>
    <row r="34" spans="1:29" ht="15">
      <c r="A34" s="409"/>
      <c r="B34" s="364" t="s">
        <v>1693</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431"/>
      <c r="Q34" s="1262" t="str">
        <f t="shared" si="11"/>
        <v>建筑结构</v>
      </c>
      <c r="R34" s="667" t="s">
        <v>14</v>
      </c>
      <c r="S34" s="668">
        <f t="shared" si="12"/>
        <v>100</v>
      </c>
      <c r="T34" s="667" t="s">
        <v>14</v>
      </c>
      <c r="U34" s="668">
        <f t="shared" si="13"/>
        <v>100</v>
      </c>
      <c r="V34" s="667" t="s">
        <v>14</v>
      </c>
      <c r="W34" s="668">
        <f t="shared" si="14"/>
        <v>100</v>
      </c>
      <c r="X34" s="1264"/>
      <c r="Y34" s="3433"/>
      <c r="Z34" s="1263" t="str">
        <f t="shared" si="15"/>
        <v>建筑结构</v>
      </c>
      <c r="AA34" s="1263">
        <f t="shared" si="3"/>
        <v>1</v>
      </c>
      <c r="AB34" s="1263">
        <f t="shared" si="4"/>
        <v>1</v>
      </c>
      <c r="AC34" s="1263">
        <f t="shared" si="5"/>
        <v>1</v>
      </c>
    </row>
    <row r="35" spans="1:29" ht="15">
      <c r="A35" s="409"/>
      <c r="B35" s="364" t="s">
        <v>1780</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9"/>
      <c r="M35" s="2484"/>
      <c r="N35" s="2484"/>
      <c r="O35" s="2484"/>
      <c r="P35" s="3431"/>
      <c r="Q35" s="1262" t="str">
        <f t="shared" si="11"/>
        <v>公共部分装修</v>
      </c>
      <c r="R35" s="667" t="s">
        <v>14</v>
      </c>
      <c r="S35" s="668">
        <f t="shared" si="12"/>
        <v>100</v>
      </c>
      <c r="T35" s="667" t="s">
        <v>14</v>
      </c>
      <c r="U35" s="668">
        <f t="shared" si="13"/>
        <v>100</v>
      </c>
      <c r="V35" s="667" t="s">
        <v>14</v>
      </c>
      <c r="W35" s="668">
        <f t="shared" si="14"/>
        <v>100</v>
      </c>
      <c r="X35" s="1264"/>
      <c r="Y35" s="3433"/>
      <c r="Z35" s="1263" t="str">
        <f t="shared" si="15"/>
        <v>公共部分装修</v>
      </c>
      <c r="AA35" s="1263">
        <f t="shared" si="3"/>
        <v>1</v>
      </c>
      <c r="AB35" s="1263">
        <f t="shared" si="4"/>
        <v>1</v>
      </c>
      <c r="AC35" s="1263">
        <f t="shared" si="5"/>
        <v>1</v>
      </c>
    </row>
    <row r="36" spans="1:29" ht="15">
      <c r="A36" s="409"/>
      <c r="B36" s="364" t="s">
        <v>1781</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431"/>
      <c r="Q36" s="1262" t="str">
        <f t="shared" si="11"/>
        <v>成新度</v>
      </c>
      <c r="R36" s="667" t="s">
        <v>14</v>
      </c>
      <c r="S36" s="668" t="e">
        <f t="shared" si="12"/>
        <v>#N/A</v>
      </c>
      <c r="T36" s="667" t="s">
        <v>14</v>
      </c>
      <c r="U36" s="668" t="e">
        <f t="shared" si="13"/>
        <v>#N/A</v>
      </c>
      <c r="V36" s="667" t="s">
        <v>14</v>
      </c>
      <c r="W36" s="668" t="e">
        <f t="shared" si="14"/>
        <v>#N/A</v>
      </c>
      <c r="X36" s="1264"/>
      <c r="Y36" s="3433"/>
      <c r="Z36" s="1263" t="str">
        <f t="shared" si="15"/>
        <v>成新度</v>
      </c>
      <c r="AA36" s="1263" t="e">
        <f t="shared" si="3"/>
        <v>#N/A</v>
      </c>
      <c r="AB36" s="1263" t="e">
        <f t="shared" si="4"/>
        <v>#N/A</v>
      </c>
      <c r="AC36" s="1263" t="e">
        <f t="shared" si="5"/>
        <v>#N/A</v>
      </c>
    </row>
    <row r="37" spans="1:29" s="102" customFormat="1" ht="15">
      <c r="A37" s="410"/>
      <c r="B37" s="364" t="s">
        <v>1782</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5"/>
      <c r="M37" s="2436"/>
      <c r="N37" s="2436"/>
      <c r="O37" s="2436"/>
      <c r="P37" s="3431"/>
      <c r="Q37" s="530" t="str">
        <f t="shared" si="11"/>
        <v>市政基础设施</v>
      </c>
      <c r="R37" s="664" t="s">
        <v>14</v>
      </c>
      <c r="S37" s="665">
        <f t="shared" si="12"/>
        <v>100</v>
      </c>
      <c r="T37" s="664" t="s">
        <v>14</v>
      </c>
      <c r="U37" s="665">
        <f t="shared" si="13"/>
        <v>100</v>
      </c>
      <c r="V37" s="664" t="s">
        <v>14</v>
      </c>
      <c r="W37" s="665">
        <f t="shared" si="14"/>
        <v>100</v>
      </c>
      <c r="X37" s="666"/>
      <c r="Y37" s="3433"/>
      <c r="Z37" s="50" t="str">
        <f t="shared" si="15"/>
        <v>市政基础设施</v>
      </c>
      <c r="AA37" s="50">
        <f t="shared" si="3"/>
        <v>1</v>
      </c>
      <c r="AB37" s="50">
        <f t="shared" si="4"/>
        <v>1</v>
      </c>
      <c r="AC37" s="50">
        <f t="shared" si="5"/>
        <v>1</v>
      </c>
    </row>
    <row r="38" spans="1:29" ht="15">
      <c r="A38" s="409"/>
      <c r="B38" s="364" t="s">
        <v>1783</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9"/>
      <c r="M38" s="2484"/>
      <c r="N38" s="2484"/>
      <c r="O38" s="2484"/>
      <c r="P38" s="3431" t="s">
        <v>1691</v>
      </c>
      <c r="Q38" s="1262" t="str">
        <f t="shared" si="11"/>
        <v>业态</v>
      </c>
      <c r="R38" s="667" t="s">
        <v>14</v>
      </c>
      <c r="S38" s="668">
        <f t="shared" si="12"/>
        <v>100</v>
      </c>
      <c r="T38" s="667" t="s">
        <v>14</v>
      </c>
      <c r="U38" s="668">
        <f t="shared" si="13"/>
        <v>100</v>
      </c>
      <c r="V38" s="667" t="s">
        <v>14</v>
      </c>
      <c r="W38" s="668">
        <f t="shared" si="14"/>
        <v>100</v>
      </c>
      <c r="X38" s="1264"/>
      <c r="Y38" s="3433" t="s">
        <v>1691</v>
      </c>
      <c r="Z38" s="1263" t="str">
        <f t="shared" si="15"/>
        <v>业态</v>
      </c>
      <c r="AA38" s="1263">
        <f t="shared" si="3"/>
        <v>1</v>
      </c>
      <c r="AB38" s="1263">
        <f t="shared" si="4"/>
        <v>1</v>
      </c>
      <c r="AC38" s="1263">
        <f t="shared" si="5"/>
        <v>1</v>
      </c>
    </row>
    <row r="39" spans="1:29" ht="15">
      <c r="A39" s="409"/>
      <c r="B39" s="364" t="s">
        <v>1784</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9"/>
      <c r="M39" s="2484"/>
      <c r="N39" s="2484"/>
      <c r="O39" s="2484"/>
      <c r="P39" s="3431"/>
      <c r="Q39" s="1262" t="str">
        <f t="shared" si="11"/>
        <v>层高</v>
      </c>
      <c r="R39" s="667" t="s">
        <v>14</v>
      </c>
      <c r="S39" s="668">
        <f t="shared" si="12"/>
        <v>100</v>
      </c>
      <c r="T39" s="667" t="s">
        <v>14</v>
      </c>
      <c r="U39" s="668">
        <f t="shared" si="13"/>
        <v>100</v>
      </c>
      <c r="V39" s="667" t="s">
        <v>14</v>
      </c>
      <c r="W39" s="668">
        <f t="shared" si="14"/>
        <v>100</v>
      </c>
      <c r="X39" s="1264"/>
      <c r="Y39" s="3433"/>
      <c r="Z39" s="1263" t="str">
        <f t="shared" si="15"/>
        <v>层高</v>
      </c>
      <c r="AA39" s="1263">
        <f t="shared" si="3"/>
        <v>1</v>
      </c>
      <c r="AB39" s="1263">
        <f t="shared" si="4"/>
        <v>1</v>
      </c>
      <c r="AC39" s="1263">
        <f t="shared" si="5"/>
        <v>1</v>
      </c>
    </row>
    <row r="40" spans="1:29" ht="15">
      <c r="A40" s="409"/>
      <c r="B40" s="364" t="s">
        <v>1785</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431"/>
      <c r="Q40" s="1262" t="str">
        <f t="shared" si="11"/>
        <v>单套建筑面积</v>
      </c>
      <c r="R40" s="667" t="s">
        <v>14</v>
      </c>
      <c r="S40" s="668">
        <f t="shared" si="12"/>
        <v>100</v>
      </c>
      <c r="T40" s="667" t="s">
        <v>14</v>
      </c>
      <c r="U40" s="668">
        <f t="shared" si="13"/>
        <v>100</v>
      </c>
      <c r="V40" s="667" t="s">
        <v>14</v>
      </c>
      <c r="W40" s="668">
        <f t="shared" si="14"/>
        <v>100</v>
      </c>
      <c r="X40" s="1264"/>
      <c r="Y40" s="3433"/>
      <c r="Z40" s="1263" t="str">
        <f t="shared" si="15"/>
        <v>单套建筑面积</v>
      </c>
      <c r="AA40" s="1263">
        <f t="shared" si="3"/>
        <v>1</v>
      </c>
      <c r="AB40" s="1263">
        <f t="shared" si="4"/>
        <v>1</v>
      </c>
      <c r="AC40" s="1263">
        <f t="shared" si="5"/>
        <v>1</v>
      </c>
    </row>
    <row r="41" spans="1:29" s="408" customFormat="1" ht="15">
      <c r="A41" s="406"/>
      <c r="B41" s="400" t="s">
        <v>1786</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431"/>
      <c r="Q41" s="531" t="str">
        <f t="shared" si="11"/>
        <v>进深比</v>
      </c>
      <c r="R41" s="669" t="s">
        <v>14</v>
      </c>
      <c r="S41" s="670">
        <f t="shared" si="12"/>
        <v>100</v>
      </c>
      <c r="T41" s="669" t="s">
        <v>14</v>
      </c>
      <c r="U41" s="670">
        <f t="shared" si="13"/>
        <v>100</v>
      </c>
      <c r="V41" s="669" t="s">
        <v>14</v>
      </c>
      <c r="W41" s="670">
        <f t="shared" si="14"/>
        <v>100</v>
      </c>
      <c r="X41" s="671"/>
      <c r="Y41" s="3433"/>
      <c r="Z41" s="672" t="str">
        <f t="shared" si="15"/>
        <v>进深比</v>
      </c>
      <c r="AA41" s="1263">
        <f t="shared" si="3"/>
        <v>1</v>
      </c>
      <c r="AB41" s="1263">
        <f t="shared" si="4"/>
        <v>1</v>
      </c>
      <c r="AC41" s="1263">
        <f t="shared" si="5"/>
        <v>1</v>
      </c>
    </row>
    <row r="42" spans="1:29" ht="15">
      <c r="A42" s="409"/>
      <c r="B42" s="364" t="s">
        <v>1787</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9"/>
      <c r="M42" s="2484"/>
      <c r="N42" s="2484"/>
      <c r="O42" s="2484"/>
      <c r="P42" s="3431"/>
      <c r="Q42" s="1262" t="str">
        <f t="shared" si="11"/>
        <v>内部装修</v>
      </c>
      <c r="R42" s="667" t="s">
        <v>14</v>
      </c>
      <c r="S42" s="668">
        <f t="shared" si="12"/>
        <v>100</v>
      </c>
      <c r="T42" s="667" t="s">
        <v>14</v>
      </c>
      <c r="U42" s="668">
        <f t="shared" si="13"/>
        <v>100</v>
      </c>
      <c r="V42" s="667" t="s">
        <v>14</v>
      </c>
      <c r="W42" s="668">
        <f t="shared" si="14"/>
        <v>100</v>
      </c>
      <c r="X42" s="1264"/>
      <c r="Y42" s="3433"/>
      <c r="Z42" s="1263" t="str">
        <f t="shared" si="15"/>
        <v>内部装修</v>
      </c>
      <c r="AA42" s="1263">
        <f t="shared" si="3"/>
        <v>1</v>
      </c>
      <c r="AB42" s="1263">
        <f t="shared" si="4"/>
        <v>1</v>
      </c>
      <c r="AC42" s="1263">
        <f t="shared" si="5"/>
        <v>1</v>
      </c>
    </row>
    <row r="43" spans="1:29" ht="15">
      <c r="A43" s="409"/>
      <c r="B43" s="364" t="s">
        <v>1702</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9"/>
      <c r="M43" s="2484"/>
      <c r="N43" s="2484"/>
      <c r="O43" s="2484"/>
      <c r="P43" s="3431"/>
      <c r="Q43" s="1262" t="str">
        <f t="shared" si="11"/>
        <v>内部装修维护情况</v>
      </c>
      <c r="R43" s="667" t="s">
        <v>14</v>
      </c>
      <c r="S43" s="668">
        <f t="shared" si="12"/>
        <v>100</v>
      </c>
      <c r="T43" s="667" t="s">
        <v>14</v>
      </c>
      <c r="U43" s="668">
        <f t="shared" si="13"/>
        <v>100</v>
      </c>
      <c r="V43" s="667" t="s">
        <v>14</v>
      </c>
      <c r="W43" s="668">
        <f t="shared" si="14"/>
        <v>100</v>
      </c>
      <c r="X43" s="1264"/>
      <c r="Y43" s="3433"/>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6"/>
      <c r="N44" s="2436"/>
      <c r="O44" s="2436"/>
      <c r="P44" s="3431"/>
      <c r="Q44" s="530">
        <f t="shared" si="11"/>
        <v>111</v>
      </c>
      <c r="R44" s="664" t="s">
        <v>14</v>
      </c>
      <c r="S44" s="665">
        <f t="shared" si="12"/>
        <v>100</v>
      </c>
      <c r="T44" s="664" t="s">
        <v>14</v>
      </c>
      <c r="U44" s="665">
        <f t="shared" si="13"/>
        <v>100</v>
      </c>
      <c r="V44" s="664" t="s">
        <v>14</v>
      </c>
      <c r="W44" s="665">
        <f t="shared" si="14"/>
        <v>100</v>
      </c>
      <c r="X44" s="666"/>
      <c r="Y44" s="343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431"/>
      <c r="Q45" s="1262">
        <f t="shared" si="11"/>
        <v>111</v>
      </c>
      <c r="R45" s="667" t="s">
        <v>14</v>
      </c>
      <c r="S45" s="668">
        <f t="shared" si="12"/>
        <v>100</v>
      </c>
      <c r="T45" s="667" t="s">
        <v>14</v>
      </c>
      <c r="U45" s="668">
        <f t="shared" si="13"/>
        <v>100</v>
      </c>
      <c r="V45" s="667" t="s">
        <v>14</v>
      </c>
      <c r="W45" s="668">
        <f t="shared" si="14"/>
        <v>100</v>
      </c>
      <c r="X45" s="1264"/>
      <c r="Y45" s="3433"/>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32"/>
      <c r="Q46" s="1262">
        <f t="shared" si="11"/>
        <v>111</v>
      </c>
      <c r="R46" s="667" t="s">
        <v>14</v>
      </c>
      <c r="S46" s="668">
        <f t="shared" si="12"/>
        <v>100</v>
      </c>
      <c r="T46" s="667" t="s">
        <v>14</v>
      </c>
      <c r="U46" s="668">
        <f t="shared" si="13"/>
        <v>100</v>
      </c>
      <c r="V46" s="667" t="s">
        <v>14</v>
      </c>
      <c r="W46" s="668">
        <f t="shared" si="14"/>
        <v>100</v>
      </c>
      <c r="X46" s="1264"/>
      <c r="Y46" s="3434"/>
      <c r="Z46" s="1263">
        <f t="shared" si="15"/>
        <v>111</v>
      </c>
      <c r="AA46" s="1263">
        <f t="shared" si="3"/>
        <v>1</v>
      </c>
      <c r="AB46" s="1263">
        <f t="shared" si="4"/>
        <v>1</v>
      </c>
      <c r="AC46" s="1263">
        <f t="shared" si="5"/>
        <v>1</v>
      </c>
    </row>
    <row r="47" spans="1:29" ht="15">
      <c r="A47" s="416" t="s">
        <v>1703</v>
      </c>
      <c r="B47" s="417"/>
      <c r="C47" s="1081" t="s">
        <v>0</v>
      </c>
      <c r="D47" s="418"/>
      <c r="E47" s="419"/>
      <c r="F47" s="420"/>
      <c r="G47" s="421"/>
      <c r="H47" s="422"/>
      <c r="I47" s="419"/>
      <c r="J47" s="422"/>
      <c r="K47" s="674"/>
      <c r="L47" s="2491"/>
      <c r="M47" s="2484"/>
      <c r="N47" s="2484"/>
      <c r="O47" s="2484"/>
      <c r="P47" s="3421" t="str">
        <f>A47</f>
        <v>成交单价（元/平方米）</v>
      </c>
      <c r="Q47" s="3421"/>
      <c r="R47" s="3422">
        <f>E47</f>
        <v>0</v>
      </c>
      <c r="S47" s="3422"/>
      <c r="T47" s="3422">
        <f>G47</f>
        <v>0</v>
      </c>
      <c r="U47" s="3422"/>
      <c r="V47" s="3422">
        <f>I47</f>
        <v>0</v>
      </c>
      <c r="W47" s="3422"/>
      <c r="X47" s="385"/>
      <c r="Y47" s="673"/>
      <c r="Z47" s="385"/>
      <c r="AA47" s="385"/>
      <c r="AB47" s="385"/>
      <c r="AC47" s="385"/>
    </row>
    <row r="48" spans="1:29" ht="15.75" thickBot="1">
      <c r="A48" s="423" t="s">
        <v>1788</v>
      </c>
      <c r="B48" s="424"/>
      <c r="C48" s="1082" t="e">
        <f>R49</f>
        <v>#DIV/0!</v>
      </c>
      <c r="D48" s="2138" t="s">
        <v>2132</v>
      </c>
      <c r="E48" s="1083" t="e">
        <f>R48</f>
        <v>#DIV/0!</v>
      </c>
      <c r="F48" s="2139"/>
      <c r="G48" s="1082" t="e">
        <f>T48</f>
        <v>#DIV/0!</v>
      </c>
      <c r="H48" s="2139"/>
      <c r="I48" s="1083" t="e">
        <f>V48</f>
        <v>#DIV/0!</v>
      </c>
      <c r="J48" s="2139"/>
      <c r="K48" s="2141">
        <f>F48+H48+J48</f>
        <v>0</v>
      </c>
      <c r="L48" s="2491"/>
      <c r="M48" s="2484"/>
      <c r="N48" s="2484"/>
      <c r="O48" s="2484"/>
      <c r="P48" s="3421" t="str">
        <f>A48</f>
        <v>比较价值（元/平方米）</v>
      </c>
      <c r="Q48" s="3421"/>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385"/>
      <c r="Y48" s="385"/>
      <c r="Z48" s="385"/>
      <c r="AA48" s="385"/>
      <c r="AB48" s="385"/>
      <c r="AC48" s="385"/>
    </row>
    <row r="49" spans="1:29" ht="15.75" thickBot="1">
      <c r="A49" s="427" t="s">
        <v>1789</v>
      </c>
      <c r="B49" s="428"/>
      <c r="C49" s="351" t="e">
        <f>R49</f>
        <v>#DIV/0!</v>
      </c>
      <c r="D49" s="351"/>
      <c r="E49" s="351"/>
      <c r="F49" s="351"/>
      <c r="G49" s="351"/>
      <c r="H49" s="351"/>
      <c r="I49" s="351"/>
      <c r="J49" s="351"/>
      <c r="K49" s="675"/>
      <c r="L49" s="2491"/>
      <c r="M49" s="2484"/>
      <c r="N49" s="2484"/>
      <c r="O49" s="2484"/>
      <c r="P49" s="3423" t="str">
        <f>A49</f>
        <v>估价对象XX用房的比较价值（楼面单价，元/平方米）</v>
      </c>
      <c r="Q49" s="3424"/>
      <c r="R49" s="3425" t="e">
        <f>IF(F1="售价",ROUND(IF(D48="简单平均",AVERAGE(R48:V48),R48*F48+T48*H48+V48*J48),0),ROUND(IF(D48="简单平均",AVERAGE(R48:V48),R48*F48+T48*H48+V48*J48),1))</f>
        <v>#DIV/0!</v>
      </c>
      <c r="S49" s="3425"/>
      <c r="T49" s="3425"/>
      <c r="U49" s="3425"/>
      <c r="V49" s="3425"/>
      <c r="W49" s="3425"/>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8" t="s">
        <v>1793</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ht="15">
      <c r="A58" s="440" t="s">
        <v>1674</v>
      </c>
      <c r="B58" s="441"/>
      <c r="C58" s="1102" t="str">
        <f>YEAR(C7)&amp;"-"&amp;MONTH(C7)</f>
        <v>2024-4</v>
      </c>
      <c r="D58" s="1103">
        <f>EDATE(C58,-1)</f>
        <v>45352</v>
      </c>
      <c r="E58" s="1103">
        <f t="shared" ref="E58:N58" si="16">EDATE(D58,-1)</f>
        <v>45323</v>
      </c>
      <c r="F58" s="1103">
        <f t="shared" si="16"/>
        <v>45292</v>
      </c>
      <c r="G58" s="1103">
        <f t="shared" si="16"/>
        <v>45261</v>
      </c>
      <c r="H58" s="1103">
        <f t="shared" si="16"/>
        <v>45231</v>
      </c>
      <c r="I58" s="1103">
        <f t="shared" si="16"/>
        <v>45200</v>
      </c>
      <c r="J58" s="1103">
        <f t="shared" si="16"/>
        <v>45170</v>
      </c>
      <c r="K58" s="1103">
        <f t="shared" si="16"/>
        <v>45139</v>
      </c>
      <c r="L58" s="1103">
        <f t="shared" si="16"/>
        <v>45108</v>
      </c>
      <c r="M58" s="1103">
        <f t="shared" si="16"/>
        <v>45078</v>
      </c>
      <c r="N58" s="1103">
        <f t="shared" si="16"/>
        <v>45047</v>
      </c>
      <c r="O58" s="1103">
        <f>EDATE(N58,-1)</f>
        <v>45017</v>
      </c>
      <c r="P58" s="2506"/>
      <c r="Q58" s="2507"/>
      <c r="R58" s="2507"/>
      <c r="S58" s="2507"/>
      <c r="T58" s="2507"/>
      <c r="U58" s="2507"/>
      <c r="V58" s="2507"/>
      <c r="W58" s="2507"/>
      <c r="X58" s="2507"/>
      <c r="Y58" s="2507"/>
      <c r="Z58" s="2507"/>
      <c r="AA58" s="2507"/>
      <c r="AB58" s="2507"/>
      <c r="AC58" s="2507"/>
    </row>
    <row r="59" spans="1:29" s="102" customFormat="1" ht="15">
      <c r="A59" s="443"/>
      <c r="B59" s="444"/>
      <c r="C59" s="1101">
        <v>100</v>
      </c>
      <c r="D59" s="446"/>
      <c r="E59" s="446"/>
      <c r="F59" s="446"/>
      <c r="G59" s="446"/>
      <c r="H59" s="446"/>
      <c r="I59" s="446"/>
      <c r="J59" s="446"/>
      <c r="K59" s="446"/>
      <c r="L59" s="446"/>
      <c r="M59" s="447"/>
      <c r="N59" s="446"/>
      <c r="O59" s="447"/>
      <c r="P59" s="2508"/>
      <c r="Q59" s="2436"/>
      <c r="R59" s="2436"/>
      <c r="S59" s="2436"/>
      <c r="T59" s="2436"/>
      <c r="U59" s="2436"/>
      <c r="V59" s="2436"/>
      <c r="W59" s="2436"/>
      <c r="X59" s="2436"/>
      <c r="Y59" s="2436"/>
      <c r="Z59" s="2436"/>
      <c r="AA59" s="2436"/>
      <c r="AB59" s="2436"/>
      <c r="AC59" s="2436"/>
    </row>
    <row r="60" spans="1:29" s="102" customFormat="1" ht="15.75" thickBot="1">
      <c r="A60" s="449" t="s">
        <v>1711</v>
      </c>
      <c r="B60" s="450"/>
      <c r="C60" s="451"/>
      <c r="D60" s="452"/>
      <c r="E60" s="452"/>
      <c r="F60" s="452"/>
      <c r="G60" s="452"/>
      <c r="H60" s="452"/>
      <c r="I60" s="452"/>
      <c r="J60" s="452"/>
      <c r="K60" s="452"/>
      <c r="L60" s="452"/>
      <c r="M60" s="453"/>
      <c r="N60" s="452"/>
      <c r="O60" s="453"/>
      <c r="P60" s="2508"/>
      <c r="Q60" s="2505"/>
      <c r="R60" s="2436"/>
      <c r="S60" s="2436"/>
      <c r="T60" s="2436"/>
      <c r="U60" s="2436"/>
      <c r="V60" s="2436"/>
      <c r="W60" s="2436"/>
      <c r="X60" s="2436"/>
      <c r="Y60" s="2436"/>
      <c r="Z60" s="2436"/>
      <c r="AA60" s="2436"/>
      <c r="AB60" s="2436"/>
      <c r="AC60" s="2436"/>
    </row>
    <row r="61" spans="1:29" s="102" customFormat="1" ht="15">
      <c r="A61" s="455" t="s">
        <v>1676</v>
      </c>
      <c r="B61" s="444"/>
      <c r="C61" s="456" t="s">
        <v>1771</v>
      </c>
      <c r="D61" s="31"/>
      <c r="E61" s="31"/>
      <c r="F61" s="31"/>
      <c r="G61" s="31"/>
      <c r="H61" s="31"/>
      <c r="I61" s="31"/>
      <c r="J61" s="31"/>
      <c r="K61" s="31"/>
      <c r="L61" s="457"/>
      <c r="M61" s="458"/>
      <c r="N61" s="2517"/>
      <c r="O61" s="2517"/>
      <c r="P61" s="2509"/>
      <c r="Q61" s="2505"/>
      <c r="R61" s="2436"/>
      <c r="S61" s="2436"/>
      <c r="T61" s="2436"/>
      <c r="U61" s="2436"/>
      <c r="V61" s="2436"/>
      <c r="W61" s="2436"/>
      <c r="X61" s="2436"/>
      <c r="Y61" s="2436"/>
      <c r="Z61" s="2436"/>
      <c r="AA61" s="2436"/>
      <c r="AB61" s="2436"/>
      <c r="AC61" s="2436"/>
    </row>
    <row r="62" spans="1:29" s="102" customFormat="1" ht="15.75" thickBot="1">
      <c r="A62" s="455"/>
      <c r="B62" s="444"/>
      <c r="C62" s="445">
        <v>100</v>
      </c>
      <c r="D62" s="446"/>
      <c r="E62" s="446"/>
      <c r="F62" s="446"/>
      <c r="G62" s="446"/>
      <c r="H62" s="446"/>
      <c r="I62" s="446"/>
      <c r="J62" s="446"/>
      <c r="K62" s="446"/>
      <c r="L62" s="446"/>
      <c r="M62" s="448"/>
      <c r="N62" s="2517"/>
      <c r="O62" s="2517"/>
      <c r="P62" s="2508"/>
      <c r="Q62" s="2505"/>
      <c r="R62" s="2436"/>
      <c r="S62" s="2436"/>
      <c r="T62" s="2436"/>
      <c r="U62" s="2436"/>
      <c r="V62" s="2436"/>
      <c r="W62" s="2436"/>
      <c r="X62" s="2436"/>
      <c r="Y62" s="2436"/>
      <c r="Z62" s="2436"/>
      <c r="AA62" s="2436"/>
      <c r="AB62" s="2436"/>
      <c r="AC62" s="2436"/>
    </row>
    <row r="63" spans="1:29">
      <c r="A63" s="379" t="s">
        <v>1714</v>
      </c>
      <c r="B63" s="460" t="s">
        <v>1680</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5.75"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7.75" thickTop="1">
      <c r="A65" s="367"/>
      <c r="B65" s="469" t="s">
        <v>1683</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5.75"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75" thickTop="1">
      <c r="A67" s="367"/>
      <c r="B67" s="477" t="s">
        <v>1684</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5.75"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5.75"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5.75"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5.75"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5.75"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5.75"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c r="A76" s="379" t="s">
        <v>1685</v>
      </c>
      <c r="B76" s="460" t="s">
        <v>1715</v>
      </c>
      <c r="C76" s="504" t="s">
        <v>1716</v>
      </c>
      <c r="D76" s="504" t="s">
        <v>1717</v>
      </c>
      <c r="E76" s="504" t="s">
        <v>1718</v>
      </c>
      <c r="F76" s="504" t="s">
        <v>1719</v>
      </c>
      <c r="G76" s="504" t="s">
        <v>1720</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75" thickTop="1">
      <c r="A78" s="367"/>
      <c r="B78" s="469" t="s">
        <v>1721</v>
      </c>
      <c r="C78" s="509" t="s">
        <v>1716</v>
      </c>
      <c r="D78" s="509" t="s">
        <v>1717</v>
      </c>
      <c r="E78" s="509" t="s">
        <v>1718</v>
      </c>
      <c r="F78" s="509" t="s">
        <v>1719</v>
      </c>
      <c r="G78" s="509" t="s">
        <v>1720</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75" thickTop="1">
      <c r="A80" s="367"/>
      <c r="B80" s="469" t="s">
        <v>1722</v>
      </c>
      <c r="C80" s="509" t="s">
        <v>1716</v>
      </c>
      <c r="D80" s="509" t="s">
        <v>1717</v>
      </c>
      <c r="E80" s="509" t="s">
        <v>1718</v>
      </c>
      <c r="F80" s="509" t="s">
        <v>1719</v>
      </c>
      <c r="G80" s="509" t="s">
        <v>1720</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75" thickTop="1">
      <c r="A82" s="367"/>
      <c r="B82" s="477" t="s">
        <v>1774</v>
      </c>
      <c r="C82" s="581" t="s">
        <v>1794</v>
      </c>
      <c r="D82" s="581" t="s">
        <v>1795</v>
      </c>
      <c r="E82" s="581" t="s">
        <v>1796</v>
      </c>
      <c r="F82" s="581" t="s">
        <v>1797</v>
      </c>
      <c r="G82" s="581" t="s">
        <v>1798</v>
      </c>
      <c r="H82" s="470"/>
      <c r="I82" s="470"/>
      <c r="J82" s="470"/>
      <c r="K82" s="470"/>
      <c r="L82" s="470"/>
      <c r="M82" s="1063"/>
      <c r="N82" s="2519"/>
      <c r="O82" s="2519"/>
      <c r="P82" s="2510"/>
      <c r="Q82" s="2505"/>
      <c r="R82" s="2484"/>
      <c r="S82" s="2484"/>
      <c r="T82" s="2484"/>
      <c r="U82" s="2484"/>
      <c r="V82" s="2484"/>
      <c r="W82" s="2484"/>
      <c r="X82" s="2484"/>
      <c r="Y82" s="2484"/>
      <c r="Z82" s="2484"/>
      <c r="AA82" s="2484"/>
      <c r="AB82" s="2484"/>
      <c r="AC82" s="2484"/>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75" thickTop="1">
      <c r="A84" s="367"/>
      <c r="B84" s="469" t="s">
        <v>1728</v>
      </c>
      <c r="C84" s="509" t="s">
        <v>1716</v>
      </c>
      <c r="D84" s="509" t="s">
        <v>1717</v>
      </c>
      <c r="E84" s="509" t="s">
        <v>1718</v>
      </c>
      <c r="F84" s="509" t="s">
        <v>1719</v>
      </c>
      <c r="G84" s="509" t="s">
        <v>1720</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75" thickTop="1">
      <c r="A86" s="370"/>
      <c r="B86" s="469" t="s">
        <v>1799</v>
      </c>
      <c r="C86" s="485"/>
      <c r="D86" s="485"/>
      <c r="E86" s="485"/>
      <c r="F86" s="485"/>
      <c r="G86" s="485"/>
      <c r="H86" s="485"/>
      <c r="I86" s="485"/>
      <c r="J86" s="485"/>
      <c r="K86" s="485"/>
      <c r="L86" s="510"/>
      <c r="M86" s="511"/>
      <c r="N86" s="2517"/>
      <c r="O86" s="2517"/>
      <c r="P86" s="2510"/>
      <c r="Q86" s="2505"/>
      <c r="R86" s="2436"/>
      <c r="S86" s="2436"/>
      <c r="T86" s="2436"/>
      <c r="U86" s="2436"/>
      <c r="V86" s="2436"/>
      <c r="W86" s="2436"/>
      <c r="X86" s="2436"/>
      <c r="Y86" s="2436"/>
      <c r="Z86" s="2436"/>
      <c r="AA86" s="2436"/>
      <c r="AB86" s="2436"/>
      <c r="AC86" s="2436"/>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6"/>
      <c r="S87" s="2436"/>
      <c r="T87" s="2436"/>
      <c r="U87" s="2436"/>
      <c r="V87" s="2436"/>
      <c r="W87" s="2436"/>
      <c r="X87" s="2436"/>
      <c r="Y87" s="2436"/>
      <c r="Z87" s="2436"/>
      <c r="AA87" s="2436"/>
      <c r="AB87" s="2436"/>
      <c r="AC87" s="2436"/>
    </row>
    <row r="88" spans="1:29" s="102" customFormat="1" ht="15.75" thickTop="1">
      <c r="A88" s="370"/>
      <c r="B88" s="469" t="str">
        <f>B26</f>
        <v>平面位置/可视性</v>
      </c>
      <c r="C88" s="485"/>
      <c r="D88" s="485"/>
      <c r="E88" s="485"/>
      <c r="F88" s="1777"/>
      <c r="G88" s="485"/>
      <c r="H88" s="485"/>
      <c r="I88" s="485"/>
      <c r="J88" s="485"/>
      <c r="K88" s="485"/>
      <c r="L88" s="485"/>
      <c r="M88" s="511"/>
      <c r="N88" s="2517"/>
      <c r="O88" s="2517"/>
      <c r="P88" s="2510"/>
      <c r="Q88" s="2505"/>
      <c r="R88" s="2436"/>
      <c r="S88" s="2436"/>
      <c r="T88" s="2436"/>
      <c r="U88" s="2436"/>
      <c r="V88" s="2436"/>
      <c r="W88" s="2436"/>
      <c r="X88" s="2436"/>
      <c r="Y88" s="2436"/>
      <c r="Z88" s="2436"/>
      <c r="AA88" s="2436"/>
      <c r="AB88" s="2436"/>
      <c r="AC88" s="2436"/>
    </row>
    <row r="89" spans="1:29" s="102" customFormat="1" ht="15.75" thickBot="1">
      <c r="A89" s="370"/>
      <c r="B89" s="474"/>
      <c r="C89" s="491"/>
      <c r="D89" s="467"/>
      <c r="E89" s="467"/>
      <c r="F89" s="467"/>
      <c r="G89" s="467"/>
      <c r="H89" s="467"/>
      <c r="I89" s="467"/>
      <c r="J89" s="467"/>
      <c r="K89" s="467"/>
      <c r="L89" s="467"/>
      <c r="M89" s="467"/>
      <c r="N89" s="2519"/>
      <c r="O89" s="2519"/>
      <c r="P89" s="2510"/>
      <c r="Q89" s="2505"/>
      <c r="R89" s="2436"/>
      <c r="S89" s="2436"/>
      <c r="T89" s="2436"/>
      <c r="U89" s="2436"/>
      <c r="V89" s="2436"/>
      <c r="W89" s="2436"/>
      <c r="X89" s="2436"/>
      <c r="Y89" s="2436"/>
      <c r="Z89" s="2436"/>
      <c r="AA89" s="2436"/>
      <c r="AB89" s="2436"/>
      <c r="AC89" s="2436"/>
    </row>
    <row r="90" spans="1:29" s="408" customFormat="1" ht="15.75"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5.75"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5.75"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5.75"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5.75"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5.75"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5.75"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5.75"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c r="A100" s="379" t="s">
        <v>1689</v>
      </c>
      <c r="B100" s="460" t="s">
        <v>1800</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7"/>
      <c r="B102" s="469" t="s">
        <v>1732</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5.75"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1733</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1735</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1185</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1737</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1801</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1802</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1803</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5.75"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1804</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1739</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9"/>
      <c r="B124" s="469" t="s">
        <v>1740</v>
      </c>
      <c r="C124" s="509" t="s">
        <v>1716</v>
      </c>
      <c r="D124" s="509" t="s">
        <v>1717</v>
      </c>
      <c r="E124" s="509" t="s">
        <v>1718</v>
      </c>
      <c r="F124" s="509" t="s">
        <v>1719</v>
      </c>
      <c r="G124" s="509" t="s">
        <v>1720</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5"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5.75"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5"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5.75"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5"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5.75"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893</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894</v>
      </c>
    </row>
    <row r="6" spans="1:1" ht="18.75">
      <c r="A6" s="1383" t="s">
        <v>895</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估价对象为北京市房地产，为所有。根据《国有土地使用证》[]，估价对象（分摊）出让国有建设用地使用权面积为891.05平方米，建筑面积为1232.79平方米。</v>
      </c>
    </row>
    <row r="8" spans="1:1" ht="57.75">
      <c r="A8" s="1384" t="s">
        <v>896</v>
      </c>
    </row>
    <row r="9" spans="1:1" ht="18.75">
      <c r="A9" s="1383" t="s">
        <v>897</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估价对象为北京市房地产,属开发建设的，该项目尚在开发建设中。根据《国有土地使用证》[]，估价对象（分摊）出让国有建设用地使用权面积为891.05平方米，规划建筑面积为1232.79平方米。</v>
      </c>
    </row>
    <row r="11" spans="1:1" ht="76.5">
      <c r="A11" s="1384" t="s">
        <v>898</v>
      </c>
    </row>
    <row r="12" spans="1:1" ht="18.75">
      <c r="A12" s="1382" t="s">
        <v>899</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900</v>
      </c>
    </row>
    <row r="15" spans="1:1" ht="18">
      <c r="A15" s="1385" t="str">
        <f>TEXT(项目基本情况!D3,"yyyy年m月d日;;")&amp;IF(项目基本情况!D3=项目基本情况!B3,"（评估专业人员实地查勘之日）","")</f>
        <v>2024年4月1日（评估专业人员实地查勘之日）</v>
      </c>
    </row>
    <row r="16" spans="1:1" ht="18.75">
      <c r="A16" s="1380" t="s">
        <v>901</v>
      </c>
    </row>
    <row r="17" spans="1:1" ht="75">
      <c r="A17" s="1381" t="s">
        <v>902</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891</v>
      </c>
    </row>
    <row r="24" spans="1:1" ht="18">
      <c r="A24" s="1386" t="str">
        <f>"本次评估采用的主估价方法为"&amp;结果表!K4&amp;"和"&amp;结果表!L4&amp;"。"</f>
        <v>本次评估采用的主估价方法为成本法和收益法。</v>
      </c>
    </row>
    <row r="25" spans="1:1" ht="18">
      <c r="A25" s="1386"/>
    </row>
    <row r="26" spans="1:1" ht="18.75">
      <c r="A26" s="1387" t="s">
        <v>892</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1655</v>
      </c>
      <c r="B1" s="1805" t="s">
        <v>1805</v>
      </c>
      <c r="C1" s="1140" t="s">
        <v>1657</v>
      </c>
      <c r="D1" s="1141"/>
      <c r="E1" s="3128"/>
      <c r="F1" s="1734"/>
      <c r="G1" s="1151" t="s">
        <v>1762</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1457</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1458</v>
      </c>
      <c r="F2" s="1738"/>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1459</v>
      </c>
      <c r="B3" s="536">
        <f>IF(C2="——",C50,ROUND(B2*10000/D3,0))</f>
        <v>0</v>
      </c>
      <c r="C3" s="344" t="s">
        <v>1763</v>
      </c>
      <c r="D3" s="343">
        <f>IF(D1="",'数据-汇总表'!E3,SUMIF('数据-汇总表'!$C19:$C33,D1,'数据-汇总表'!$E19:$E33))</f>
        <v>1232.79</v>
      </c>
      <c r="E3" s="1802"/>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ht="15">
      <c r="A4" s="345" t="s">
        <v>1764</v>
      </c>
      <c r="B4" s="346"/>
      <c r="C4" s="3439" t="s">
        <v>1765</v>
      </c>
      <c r="D4" s="3440"/>
      <c r="E4" s="3441" t="s">
        <v>1766</v>
      </c>
      <c r="F4" s="3442"/>
      <c r="G4" s="3439" t="s">
        <v>1767</v>
      </c>
      <c r="H4" s="3440"/>
      <c r="I4" s="3439" t="s">
        <v>1768</v>
      </c>
      <c r="J4" s="3440"/>
      <c r="K4" s="537" t="s">
        <v>1769</v>
      </c>
      <c r="L4" s="2483"/>
      <c r="M4" s="2484"/>
      <c r="N4" s="2484"/>
      <c r="O4" s="2484"/>
      <c r="P4" s="3472" t="s">
        <v>1770</v>
      </c>
      <c r="Q4" s="3473"/>
      <c r="R4" s="3476" t="s">
        <v>1766</v>
      </c>
      <c r="S4" s="3477"/>
      <c r="T4" s="3476" t="s">
        <v>1767</v>
      </c>
      <c r="U4" s="3477"/>
      <c r="V4" s="3478" t="s">
        <v>1768</v>
      </c>
      <c r="W4" s="3478"/>
      <c r="X4" s="1806"/>
      <c r="Y4" s="3476" t="s">
        <v>1770</v>
      </c>
      <c r="Z4" s="3477"/>
      <c r="AA4" s="3480" t="s">
        <v>1766</v>
      </c>
      <c r="AB4" s="3480" t="s">
        <v>1767</v>
      </c>
      <c r="AC4" s="3469" t="s">
        <v>1768</v>
      </c>
    </row>
    <row r="5" spans="1:29" ht="15">
      <c r="A5" s="348"/>
      <c r="B5" s="349"/>
      <c r="C5" s="3457" t="s">
        <v>1668</v>
      </c>
      <c r="D5" s="3458"/>
      <c r="E5" s="3464" t="s">
        <v>1669</v>
      </c>
      <c r="F5" s="3465"/>
      <c r="G5" s="3457" t="s">
        <v>1670</v>
      </c>
      <c r="H5" s="3458"/>
      <c r="I5" s="3457" t="s">
        <v>1671</v>
      </c>
      <c r="J5" s="3458"/>
      <c r="K5" s="537"/>
      <c r="L5" s="2483"/>
      <c r="M5" s="2484"/>
      <c r="N5" s="2484"/>
      <c r="O5" s="2484"/>
      <c r="P5" s="3474"/>
      <c r="Q5" s="3446"/>
      <c r="R5" s="3451"/>
      <c r="S5" s="3452"/>
      <c r="T5" s="3451"/>
      <c r="U5" s="3452"/>
      <c r="V5" s="3422"/>
      <c r="W5" s="3422"/>
      <c r="X5" s="1264"/>
      <c r="Y5" s="3451"/>
      <c r="Z5" s="3452"/>
      <c r="AA5" s="3437"/>
      <c r="AB5" s="3437"/>
      <c r="AC5" s="3470"/>
    </row>
    <row r="6" spans="1:29" ht="15.75" thickBot="1">
      <c r="A6" s="350"/>
      <c r="B6" s="351"/>
      <c r="C6" s="3455" t="s">
        <v>1672</v>
      </c>
      <c r="D6" s="3456"/>
      <c r="E6" s="3462" t="s">
        <v>1672</v>
      </c>
      <c r="F6" s="3463"/>
      <c r="G6" s="3455" t="s">
        <v>1672</v>
      </c>
      <c r="H6" s="3456"/>
      <c r="I6" s="3455" t="s">
        <v>1672</v>
      </c>
      <c r="J6" s="3456"/>
      <c r="K6" s="537" t="s">
        <v>1673</v>
      </c>
      <c r="L6" s="2483"/>
      <c r="M6" s="2484"/>
      <c r="N6" s="2484"/>
      <c r="O6" s="2484"/>
      <c r="P6" s="3475"/>
      <c r="Q6" s="3448"/>
      <c r="R6" s="3451"/>
      <c r="S6" s="3452"/>
      <c r="T6" s="3453"/>
      <c r="U6" s="3454"/>
      <c r="V6" s="3422"/>
      <c r="W6" s="3422"/>
      <c r="X6" s="1264"/>
      <c r="Y6" s="3453"/>
      <c r="Z6" s="3454"/>
      <c r="AA6" s="3438"/>
      <c r="AB6" s="3438"/>
      <c r="AC6" s="3471"/>
    </row>
    <row r="7" spans="1:29" s="102" customFormat="1" ht="15.75" thickBot="1">
      <c r="A7" s="352" t="s">
        <v>1674</v>
      </c>
      <c r="B7" s="353"/>
      <c r="C7" s="354">
        <f>'数据-取费表'!B2</f>
        <v>45383</v>
      </c>
      <c r="D7" s="355">
        <v>100</v>
      </c>
      <c r="E7" s="356"/>
      <c r="F7" s="357">
        <f>SUMIF(59:59,YEAR(E7)&amp;"-"&amp;MONTH(E7),60:60)</f>
        <v>0</v>
      </c>
      <c r="G7" s="356"/>
      <c r="H7" s="355">
        <f>SUMIF(59:59,YEAR(G7)&amp;"-"&amp;MONTH(G7),60:60)</f>
        <v>0</v>
      </c>
      <c r="I7" s="356"/>
      <c r="J7" s="355">
        <f>SUMIF(59:59,YEAR(I7)&amp;"-"&amp;MONTH(I7),60:60)</f>
        <v>0</v>
      </c>
      <c r="K7" s="38"/>
      <c r="L7" s="2485"/>
      <c r="M7" s="2436"/>
      <c r="N7" s="2436"/>
      <c r="O7" s="2436"/>
      <c r="P7" s="3479" t="s">
        <v>1675</v>
      </c>
      <c r="Q7" s="3461"/>
      <c r="R7" s="664" t="s">
        <v>14</v>
      </c>
      <c r="S7" s="665">
        <f t="shared" ref="S7:S15" si="0">F7</f>
        <v>0</v>
      </c>
      <c r="T7" s="664" t="s">
        <v>14</v>
      </c>
      <c r="U7" s="665">
        <f t="shared" ref="U7:U15" si="1">H7</f>
        <v>0</v>
      </c>
      <c r="V7" s="664" t="s">
        <v>14</v>
      </c>
      <c r="W7" s="665">
        <f t="shared" ref="W7:W15" si="2">J7</f>
        <v>0</v>
      </c>
      <c r="X7" s="666"/>
      <c r="Y7" s="3459" t="s">
        <v>1675</v>
      </c>
      <c r="Z7" s="3460"/>
      <c r="AA7" s="50" t="e">
        <f>D7/F7</f>
        <v>#DIV/0!</v>
      </c>
      <c r="AB7" s="50" t="e">
        <f>D7/H7</f>
        <v>#DIV/0!</v>
      </c>
      <c r="AC7" s="802" t="e">
        <f>D7/J7</f>
        <v>#DIV/0!</v>
      </c>
    </row>
    <row r="8" spans="1:29" s="102" customFormat="1" ht="15.75" thickBot="1">
      <c r="A8" s="352" t="s">
        <v>1676</v>
      </c>
      <c r="B8" s="353"/>
      <c r="C8" s="358"/>
      <c r="D8" s="355">
        <v>100</v>
      </c>
      <c r="E8" s="358"/>
      <c r="F8" s="357">
        <f>SUMIF(62:62,E8,63:63)-SUMIF(62:62,C8,63:63)+100</f>
        <v>100</v>
      </c>
      <c r="G8" s="358"/>
      <c r="H8" s="355">
        <f>SUMIF(62:62,G8,63:63)-SUMIF(62:62,C8,63:63)+100</f>
        <v>100</v>
      </c>
      <c r="I8" s="358"/>
      <c r="J8" s="355">
        <f>SUMIF(62:62,I8,63:63)-SUMIF(62:62,C8,63:63)+100</f>
        <v>100</v>
      </c>
      <c r="K8" s="38"/>
      <c r="L8" s="2485"/>
      <c r="M8" s="2436"/>
      <c r="N8" s="2436"/>
      <c r="O8" s="2436"/>
      <c r="P8" s="3479" t="s">
        <v>1678</v>
      </c>
      <c r="Q8" s="3460"/>
      <c r="R8" s="664" t="s">
        <v>14</v>
      </c>
      <c r="S8" s="665">
        <f t="shared" si="0"/>
        <v>100</v>
      </c>
      <c r="T8" s="664" t="s">
        <v>14</v>
      </c>
      <c r="U8" s="665">
        <f t="shared" si="1"/>
        <v>100</v>
      </c>
      <c r="V8" s="664" t="s">
        <v>14</v>
      </c>
      <c r="W8" s="665">
        <f t="shared" si="2"/>
        <v>100</v>
      </c>
      <c r="X8" s="666"/>
      <c r="Y8" s="3459" t="s">
        <v>1678</v>
      </c>
      <c r="Z8" s="3460"/>
      <c r="AA8" s="50">
        <f t="shared" ref="AA8:AA47" si="3">D8/F8</f>
        <v>1</v>
      </c>
      <c r="AB8" s="50">
        <f t="shared" ref="AB8:AB47" si="4">D8/H8</f>
        <v>1</v>
      </c>
      <c r="AC8" s="802">
        <f t="shared" ref="AC8:AC47" si="5">D8/J8</f>
        <v>1</v>
      </c>
    </row>
    <row r="9" spans="1:29" s="102" customFormat="1">
      <c r="A9" s="359" t="s">
        <v>1679</v>
      </c>
      <c r="B9" s="60" t="s">
        <v>1680</v>
      </c>
      <c r="C9" s="360"/>
      <c r="D9" s="59">
        <v>100</v>
      </c>
      <c r="E9" s="362"/>
      <c r="F9" s="59">
        <f>SUMIF(64:64,E9,65:65)-SUMIF(64:64,C9,65:65)+100</f>
        <v>100</v>
      </c>
      <c r="G9" s="361"/>
      <c r="H9" s="59">
        <f>SUMIF(64:64,G9,65:65)-SUMIF(64:64,C9,65:65)+100</f>
        <v>100</v>
      </c>
      <c r="I9" s="361"/>
      <c r="J9" s="59">
        <f>SUMIF(64:64,I9,65:65)-SUMIF(64:64,C9,65:65)+100</f>
        <v>100</v>
      </c>
      <c r="K9" s="38"/>
      <c r="L9" s="2485"/>
      <c r="M9" s="2436"/>
      <c r="N9" s="2436"/>
      <c r="O9" s="2436"/>
      <c r="P9" s="3435" t="s">
        <v>1681</v>
      </c>
      <c r="Q9" s="530" t="str">
        <f t="shared" ref="Q9:Q15" si="6">B9</f>
        <v>用途</v>
      </c>
      <c r="R9" s="664" t="s">
        <v>14</v>
      </c>
      <c r="S9" s="665">
        <f t="shared" si="0"/>
        <v>100</v>
      </c>
      <c r="T9" s="664" t="s">
        <v>14</v>
      </c>
      <c r="U9" s="665">
        <f t="shared" si="1"/>
        <v>100</v>
      </c>
      <c r="V9" s="664" t="s">
        <v>14</v>
      </c>
      <c r="W9" s="665">
        <f t="shared" si="2"/>
        <v>100</v>
      </c>
      <c r="X9" s="666"/>
      <c r="Y9" s="3299" t="s">
        <v>1682</v>
      </c>
      <c r="Z9" s="50" t="str">
        <f t="shared" ref="Z9:Z15" si="7">Q9</f>
        <v>用途</v>
      </c>
      <c r="AA9" s="50">
        <f t="shared" si="3"/>
        <v>1</v>
      </c>
      <c r="AB9" s="50">
        <f t="shared" si="4"/>
        <v>1</v>
      </c>
      <c r="AC9" s="802">
        <f t="shared" si="5"/>
        <v>1</v>
      </c>
    </row>
    <row r="10" spans="1:29" s="366" customFormat="1" ht="27">
      <c r="A10" s="363"/>
      <c r="B10" s="364" t="s">
        <v>1683</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435"/>
      <c r="Q10" s="530" t="str">
        <f t="shared" si="6"/>
        <v>土地使用年限（年）</v>
      </c>
      <c r="R10" s="664" t="s">
        <v>14</v>
      </c>
      <c r="S10" s="665">
        <f t="shared" si="0"/>
        <v>100</v>
      </c>
      <c r="T10" s="664" t="s">
        <v>14</v>
      </c>
      <c r="U10" s="665">
        <f t="shared" si="1"/>
        <v>100</v>
      </c>
      <c r="V10" s="664" t="s">
        <v>14</v>
      </c>
      <c r="W10" s="665">
        <f t="shared" si="2"/>
        <v>100</v>
      </c>
      <c r="X10" s="666"/>
      <c r="Y10" s="3299"/>
      <c r="Z10" s="50" t="str">
        <f t="shared" si="7"/>
        <v>土地使用年限（年）</v>
      </c>
      <c r="AA10" s="50">
        <f t="shared" si="3"/>
        <v>1</v>
      </c>
      <c r="AB10" s="50">
        <f t="shared" si="4"/>
        <v>1</v>
      </c>
      <c r="AC10" s="802">
        <f t="shared" si="5"/>
        <v>1</v>
      </c>
    </row>
    <row r="11" spans="1:29" ht="15">
      <c r="A11" s="367"/>
      <c r="B11" s="364" t="s">
        <v>1684</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435"/>
      <c r="Q11" s="530" t="str">
        <f t="shared" si="6"/>
        <v>容积率</v>
      </c>
      <c r="R11" s="664" t="s">
        <v>14</v>
      </c>
      <c r="S11" s="665">
        <f t="shared" si="0"/>
        <v>100</v>
      </c>
      <c r="T11" s="664" t="s">
        <v>14</v>
      </c>
      <c r="U11" s="665">
        <f t="shared" si="1"/>
        <v>100</v>
      </c>
      <c r="V11" s="664" t="s">
        <v>14</v>
      </c>
      <c r="W11" s="665">
        <f t="shared" si="2"/>
        <v>100</v>
      </c>
      <c r="X11" s="666"/>
      <c r="Y11" s="329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5"/>
      <c r="M12" s="2436"/>
      <c r="N12" s="2436"/>
      <c r="O12" s="2436"/>
      <c r="P12" s="3435"/>
      <c r="Q12" s="530">
        <f t="shared" si="6"/>
        <v>111</v>
      </c>
      <c r="R12" s="664" t="s">
        <v>14</v>
      </c>
      <c r="S12" s="665">
        <f t="shared" si="0"/>
        <v>100</v>
      </c>
      <c r="T12" s="664" t="s">
        <v>14</v>
      </c>
      <c r="U12" s="665">
        <f t="shared" si="1"/>
        <v>100</v>
      </c>
      <c r="V12" s="664" t="s">
        <v>14</v>
      </c>
      <c r="W12" s="665">
        <f t="shared" si="2"/>
        <v>100</v>
      </c>
      <c r="X12" s="666"/>
      <c r="Y12" s="329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89"/>
      <c r="M13" s="2484"/>
      <c r="N13" s="2484"/>
      <c r="O13" s="2484"/>
      <c r="P13" s="3435"/>
      <c r="Q13" s="530">
        <f t="shared" si="6"/>
        <v>111</v>
      </c>
      <c r="R13" s="664" t="s">
        <v>14</v>
      </c>
      <c r="S13" s="665">
        <f t="shared" si="0"/>
        <v>100</v>
      </c>
      <c r="T13" s="664" t="s">
        <v>14</v>
      </c>
      <c r="U13" s="665">
        <f t="shared" si="1"/>
        <v>100</v>
      </c>
      <c r="V13" s="664" t="s">
        <v>14</v>
      </c>
      <c r="W13" s="665">
        <f t="shared" si="2"/>
        <v>100</v>
      </c>
      <c r="X13" s="666"/>
      <c r="Y13" s="3299"/>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7"/>
      <c r="H14" s="377">
        <f>SUMIF(75:75,G14,76:76)-SUMIF(75:75,C14,76:76)+100</f>
        <v>100</v>
      </c>
      <c r="I14" s="371"/>
      <c r="J14" s="377">
        <f>SUMIF(75:75,I14,76:76)-SUMIF(75:75,C14,76:76)+100</f>
        <v>100</v>
      </c>
      <c r="K14" s="539"/>
      <c r="L14" s="2489"/>
      <c r="M14" s="2484"/>
      <c r="N14" s="2484"/>
      <c r="O14" s="2484"/>
      <c r="P14" s="3435"/>
      <c r="Q14" s="530">
        <f t="shared" si="6"/>
        <v>111</v>
      </c>
      <c r="R14" s="664" t="s">
        <v>14</v>
      </c>
      <c r="S14" s="665">
        <f t="shared" si="0"/>
        <v>100</v>
      </c>
      <c r="T14" s="664" t="s">
        <v>14</v>
      </c>
      <c r="U14" s="665">
        <f t="shared" si="1"/>
        <v>100</v>
      </c>
      <c r="V14" s="664" t="s">
        <v>14</v>
      </c>
      <c r="W14" s="665">
        <f t="shared" si="2"/>
        <v>100</v>
      </c>
      <c r="X14" s="666"/>
      <c r="Y14" s="3299"/>
      <c r="Z14" s="50">
        <f t="shared" si="7"/>
        <v>111</v>
      </c>
      <c r="AA14" s="50">
        <f t="shared" si="3"/>
        <v>1</v>
      </c>
      <c r="AB14" s="50">
        <f t="shared" si="4"/>
        <v>1</v>
      </c>
      <c r="AC14" s="802">
        <f t="shared" si="5"/>
        <v>1</v>
      </c>
    </row>
    <row r="15" spans="1:29" ht="15">
      <c r="A15" s="379" t="s">
        <v>1685</v>
      </c>
      <c r="B15" s="554" t="s">
        <v>1806</v>
      </c>
      <c r="C15" s="1808">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426" t="s">
        <v>1686</v>
      </c>
      <c r="Q15" s="1262" t="str">
        <f t="shared" si="6"/>
        <v>办公集聚程度</v>
      </c>
      <c r="R15" s="667" t="s">
        <v>14</v>
      </c>
      <c r="S15" s="668">
        <f t="shared" si="0"/>
        <v>100</v>
      </c>
      <c r="T15" s="667" t="s">
        <v>14</v>
      </c>
      <c r="U15" s="668">
        <f t="shared" si="1"/>
        <v>100</v>
      </c>
      <c r="V15" s="667" t="s">
        <v>14</v>
      </c>
      <c r="W15" s="668">
        <f t="shared" si="2"/>
        <v>100</v>
      </c>
      <c r="X15" s="1264"/>
      <c r="Y15" s="3428" t="s">
        <v>1686</v>
      </c>
      <c r="Z15" s="1263" t="str">
        <f t="shared" si="7"/>
        <v>办公集聚程度</v>
      </c>
      <c r="AA15" s="1263">
        <f t="shared" si="3"/>
        <v>1</v>
      </c>
      <c r="AB15" s="1263">
        <f t="shared" si="4"/>
        <v>1</v>
      </c>
      <c r="AC15" s="1809">
        <f t="shared" si="5"/>
        <v>1</v>
      </c>
    </row>
    <row r="16" spans="1:29" ht="15">
      <c r="A16" s="367"/>
      <c r="B16" s="555"/>
      <c r="C16" s="1757"/>
      <c r="D16" s="387"/>
      <c r="E16" s="386"/>
      <c r="F16" s="387"/>
      <c r="G16" s="1757"/>
      <c r="H16" s="389"/>
      <c r="I16" s="386"/>
      <c r="J16" s="387"/>
      <c r="K16" s="541"/>
      <c r="L16" s="2489"/>
      <c r="M16" s="2484"/>
      <c r="N16" s="2484"/>
      <c r="O16" s="2484"/>
      <c r="P16" s="3427"/>
      <c r="Q16" s="1262"/>
      <c r="R16" s="667"/>
      <c r="S16" s="668"/>
      <c r="T16" s="667"/>
      <c r="U16" s="668"/>
      <c r="V16" s="667"/>
      <c r="W16" s="668"/>
      <c r="X16" s="1264"/>
      <c r="Y16" s="3429"/>
      <c r="Z16" s="1263"/>
      <c r="AA16" s="1263">
        <v>1</v>
      </c>
      <c r="AB16" s="1263">
        <v>1</v>
      </c>
      <c r="AC16" s="1809">
        <v>1</v>
      </c>
    </row>
    <row r="17" spans="1:29" ht="15">
      <c r="A17" s="367"/>
      <c r="B17" s="556" t="s">
        <v>1254</v>
      </c>
      <c r="C17" s="1810">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427"/>
      <c r="Q17" s="1262" t="str">
        <f>B17</f>
        <v>交通便捷度</v>
      </c>
      <c r="R17" s="667" t="s">
        <v>14</v>
      </c>
      <c r="S17" s="668">
        <f>F17</f>
        <v>100</v>
      </c>
      <c r="T17" s="667" t="s">
        <v>14</v>
      </c>
      <c r="U17" s="668">
        <f>H17</f>
        <v>100</v>
      </c>
      <c r="V17" s="667" t="s">
        <v>14</v>
      </c>
      <c r="W17" s="668">
        <f>J17</f>
        <v>100</v>
      </c>
      <c r="X17" s="1264"/>
      <c r="Y17" s="3429"/>
      <c r="Z17" s="1263" t="str">
        <f>Q17</f>
        <v>交通便捷度</v>
      </c>
      <c r="AA17" s="1263">
        <f t="shared" si="3"/>
        <v>1</v>
      </c>
      <c r="AB17" s="1263">
        <f t="shared" si="4"/>
        <v>1</v>
      </c>
      <c r="AC17" s="1809">
        <f t="shared" si="5"/>
        <v>1</v>
      </c>
    </row>
    <row r="18" spans="1:29" ht="15">
      <c r="A18" s="367"/>
      <c r="B18" s="401"/>
      <c r="C18" s="1811"/>
      <c r="D18" s="389"/>
      <c r="E18" s="1755"/>
      <c r="F18" s="389"/>
      <c r="G18" s="1756"/>
      <c r="H18" s="387"/>
      <c r="I18" s="1756"/>
      <c r="J18" s="387"/>
      <c r="K18" s="541"/>
      <c r="L18" s="2489"/>
      <c r="M18" s="2484"/>
      <c r="N18" s="2484"/>
      <c r="O18" s="2484"/>
      <c r="P18" s="3427"/>
      <c r="Q18" s="1262"/>
      <c r="R18" s="667"/>
      <c r="S18" s="668"/>
      <c r="T18" s="667"/>
      <c r="U18" s="668"/>
      <c r="V18" s="667"/>
      <c r="W18" s="668"/>
      <c r="X18" s="1264"/>
      <c r="Y18" s="3429"/>
      <c r="Z18" s="1263"/>
      <c r="AA18" s="1263">
        <v>1</v>
      </c>
      <c r="AB18" s="1263">
        <v>1</v>
      </c>
      <c r="AC18" s="1809">
        <v>1</v>
      </c>
    </row>
    <row r="19" spans="1:29" ht="15">
      <c r="A19" s="367"/>
      <c r="B19" s="556" t="s">
        <v>1807</v>
      </c>
      <c r="C19" s="1810">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427"/>
      <c r="Q19" s="1262" t="str">
        <f>B19</f>
        <v>公共配套设施</v>
      </c>
      <c r="R19" s="667" t="s">
        <v>14</v>
      </c>
      <c r="S19" s="668">
        <f>F19</f>
        <v>100</v>
      </c>
      <c r="T19" s="667" t="s">
        <v>14</v>
      </c>
      <c r="U19" s="668">
        <f>H19</f>
        <v>100</v>
      </c>
      <c r="V19" s="667" t="s">
        <v>14</v>
      </c>
      <c r="W19" s="668">
        <f>J19</f>
        <v>100</v>
      </c>
      <c r="X19" s="1264"/>
      <c r="Y19" s="3429"/>
      <c r="Z19" s="1263" t="str">
        <f>Q19</f>
        <v>公共配套设施</v>
      </c>
      <c r="AA19" s="1263">
        <f t="shared" si="3"/>
        <v>1</v>
      </c>
      <c r="AB19" s="1263">
        <f t="shared" si="4"/>
        <v>1</v>
      </c>
      <c r="AC19" s="1809">
        <f t="shared" si="5"/>
        <v>1</v>
      </c>
    </row>
    <row r="20" spans="1:29" ht="15">
      <c r="A20" s="367"/>
      <c r="B20" s="401"/>
      <c r="C20" s="1757"/>
      <c r="D20" s="387"/>
      <c r="E20" s="1750"/>
      <c r="F20" s="387"/>
      <c r="G20" s="1751"/>
      <c r="H20" s="387"/>
      <c r="I20" s="1751"/>
      <c r="J20" s="387"/>
      <c r="K20" s="541"/>
      <c r="L20" s="2489"/>
      <c r="M20" s="2484"/>
      <c r="N20" s="2484"/>
      <c r="O20" s="2484"/>
      <c r="P20" s="3427"/>
      <c r="Q20" s="1262"/>
      <c r="R20" s="667"/>
      <c r="S20" s="668"/>
      <c r="T20" s="667"/>
      <c r="U20" s="668"/>
      <c r="V20" s="667"/>
      <c r="W20" s="668"/>
      <c r="X20" s="1264"/>
      <c r="Y20" s="3429"/>
      <c r="Z20" s="1263"/>
      <c r="AA20" s="1263">
        <v>1</v>
      </c>
      <c r="AB20" s="1263">
        <v>1</v>
      </c>
      <c r="AC20" s="1809">
        <v>1</v>
      </c>
    </row>
    <row r="21" spans="1:29" ht="15">
      <c r="A21" s="367"/>
      <c r="B21" s="557" t="s">
        <v>1808</v>
      </c>
      <c r="C21" s="1810">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427"/>
      <c r="Q21" s="1262" t="str">
        <f>B21</f>
        <v>基础设施水平</v>
      </c>
      <c r="R21" s="667" t="s">
        <v>14</v>
      </c>
      <c r="S21" s="668">
        <f>F21</f>
        <v>100</v>
      </c>
      <c r="T21" s="667" t="s">
        <v>14</v>
      </c>
      <c r="U21" s="668">
        <f>H21</f>
        <v>100</v>
      </c>
      <c r="V21" s="667" t="s">
        <v>14</v>
      </c>
      <c r="W21" s="668">
        <f>J21</f>
        <v>100</v>
      </c>
      <c r="X21" s="1264"/>
      <c r="Y21" s="3429"/>
      <c r="Z21" s="1263" t="str">
        <f>Q21</f>
        <v>基础设施水平</v>
      </c>
      <c r="AA21" s="1263">
        <f t="shared" ref="AA21" si="8">D21/F21</f>
        <v>1</v>
      </c>
      <c r="AB21" s="1263">
        <f t="shared" ref="AB21" si="9">D21/H21</f>
        <v>1</v>
      </c>
      <c r="AC21" s="1809">
        <f t="shared" ref="AC21" si="10">D21/J21</f>
        <v>1</v>
      </c>
    </row>
    <row r="22" spans="1:29" ht="15">
      <c r="A22" s="367"/>
      <c r="B22" s="557"/>
      <c r="C22" s="1811"/>
      <c r="D22" s="387"/>
      <c r="E22" s="386"/>
      <c r="F22" s="387"/>
      <c r="G22" s="1757"/>
      <c r="H22" s="387"/>
      <c r="I22" s="1757"/>
      <c r="J22" s="387"/>
      <c r="K22" s="1064"/>
      <c r="L22" s="2489"/>
      <c r="M22" s="2484"/>
      <c r="N22" s="2484"/>
      <c r="O22" s="2484"/>
      <c r="P22" s="3427"/>
      <c r="Q22" s="1262"/>
      <c r="R22" s="667"/>
      <c r="S22" s="668"/>
      <c r="T22" s="667"/>
      <c r="U22" s="668"/>
      <c r="V22" s="667"/>
      <c r="W22" s="668"/>
      <c r="X22" s="1264"/>
      <c r="Y22" s="3429"/>
      <c r="Z22" s="1263"/>
      <c r="AA22" s="1263">
        <v>1</v>
      </c>
      <c r="AB22" s="1263">
        <v>1</v>
      </c>
      <c r="AC22" s="1809">
        <v>1</v>
      </c>
    </row>
    <row r="23" spans="1:29" ht="15">
      <c r="A23" s="367"/>
      <c r="B23" s="556" t="s">
        <v>1809</v>
      </c>
      <c r="C23" s="1810">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427"/>
      <c r="Q23" s="1262" t="str">
        <f>B23</f>
        <v>环境质量</v>
      </c>
      <c r="R23" s="667" t="s">
        <v>14</v>
      </c>
      <c r="S23" s="668">
        <f>F23</f>
        <v>100</v>
      </c>
      <c r="T23" s="667" t="s">
        <v>14</v>
      </c>
      <c r="U23" s="668">
        <f>H23</f>
        <v>100</v>
      </c>
      <c r="V23" s="667" t="s">
        <v>14</v>
      </c>
      <c r="W23" s="668">
        <f>J23</f>
        <v>100</v>
      </c>
      <c r="X23" s="1264"/>
      <c r="Y23" s="3429"/>
      <c r="Z23" s="1263" t="str">
        <f>Q23</f>
        <v>环境质量</v>
      </c>
      <c r="AA23" s="1263">
        <f t="shared" si="3"/>
        <v>1</v>
      </c>
      <c r="AB23" s="1263">
        <f t="shared" si="4"/>
        <v>1</v>
      </c>
      <c r="AC23" s="1809">
        <f t="shared" si="5"/>
        <v>1</v>
      </c>
    </row>
    <row r="24" spans="1:29" ht="15">
      <c r="A24" s="367"/>
      <c r="B24" s="557"/>
      <c r="C24" s="1757"/>
      <c r="D24" s="387"/>
      <c r="E24" s="1750"/>
      <c r="F24" s="387"/>
      <c r="G24" s="1751"/>
      <c r="H24" s="387"/>
      <c r="I24" s="1751"/>
      <c r="J24" s="387"/>
      <c r="K24" s="541"/>
      <c r="L24" s="2489"/>
      <c r="M24" s="2484"/>
      <c r="N24" s="2484"/>
      <c r="O24" s="2484"/>
      <c r="P24" s="3427"/>
      <c r="Q24" s="1262"/>
      <c r="R24" s="667"/>
      <c r="S24" s="668"/>
      <c r="T24" s="667"/>
      <c r="U24" s="668"/>
      <c r="V24" s="667"/>
      <c r="W24" s="668"/>
      <c r="X24" s="1264"/>
      <c r="Y24" s="3429"/>
      <c r="Z24" s="1263"/>
      <c r="AA24" s="1263">
        <v>1</v>
      </c>
      <c r="AB24" s="1263">
        <v>1</v>
      </c>
      <c r="AC24" s="1809">
        <v>1</v>
      </c>
    </row>
    <row r="25" spans="1:29" ht="27">
      <c r="A25" s="348"/>
      <c r="B25" s="556" t="s">
        <v>1810</v>
      </c>
      <c r="C25" s="1761"/>
      <c r="D25" s="374">
        <v>100</v>
      </c>
      <c r="E25" s="373"/>
      <c r="F25" s="374">
        <f>SUMIF(87:87,E26,88:88)-SUMIF(87:87,C26,88:88)+100</f>
        <v>100</v>
      </c>
      <c r="G25" s="1761"/>
      <c r="H25" s="374">
        <f>SUMIF(87:87,G26,88:88)-SUMIF(87:87,C26,88:88)+100</f>
        <v>100</v>
      </c>
      <c r="I25" s="373"/>
      <c r="J25" s="374">
        <f>SUMIF(87:87,I26,88:88)-SUMIF(87:87,C26,88:88)+100</f>
        <v>100</v>
      </c>
      <c r="K25" s="540"/>
      <c r="L25" s="2489"/>
      <c r="M25" s="2484"/>
      <c r="N25" s="2484"/>
      <c r="O25" s="2484"/>
      <c r="P25" s="3427"/>
      <c r="Q25" s="1262" t="str">
        <f>B25</f>
        <v>毗邻道路的类型与等级</v>
      </c>
      <c r="R25" s="667" t="s">
        <v>14</v>
      </c>
      <c r="S25" s="668">
        <f>F25</f>
        <v>100</v>
      </c>
      <c r="T25" s="667" t="s">
        <v>14</v>
      </c>
      <c r="U25" s="668">
        <f>H25</f>
        <v>100</v>
      </c>
      <c r="V25" s="667" t="s">
        <v>14</v>
      </c>
      <c r="W25" s="668">
        <f>J25</f>
        <v>100</v>
      </c>
      <c r="X25" s="1264"/>
      <c r="Y25" s="3429"/>
      <c r="Z25" s="1263" t="str">
        <f>Q25</f>
        <v>毗邻道路的类型与等级</v>
      </c>
      <c r="AA25" s="1263">
        <f t="shared" si="3"/>
        <v>1</v>
      </c>
      <c r="AB25" s="1263">
        <f t="shared" si="4"/>
        <v>1</v>
      </c>
      <c r="AC25" s="1809">
        <f t="shared" si="5"/>
        <v>1</v>
      </c>
    </row>
    <row r="26" spans="1:29" ht="15">
      <c r="A26" s="348"/>
      <c r="B26" s="401"/>
      <c r="C26" s="558"/>
      <c r="D26" s="374"/>
      <c r="E26" s="542"/>
      <c r="F26" s="374"/>
      <c r="G26" s="558"/>
      <c r="H26" s="374"/>
      <c r="I26" s="542"/>
      <c r="J26" s="374"/>
      <c r="K26" s="541"/>
      <c r="L26" s="2489"/>
      <c r="M26" s="2484"/>
      <c r="N26" s="2484"/>
      <c r="O26" s="2484"/>
      <c r="P26" s="3427"/>
      <c r="Q26" s="1262"/>
      <c r="R26" s="667"/>
      <c r="S26" s="668"/>
      <c r="T26" s="667"/>
      <c r="U26" s="668"/>
      <c r="V26" s="667"/>
      <c r="W26" s="668"/>
      <c r="X26" s="1264"/>
      <c r="Y26" s="3429"/>
      <c r="Z26" s="1263"/>
      <c r="AA26" s="1263">
        <v>1</v>
      </c>
      <c r="AB26" s="1263">
        <v>1</v>
      </c>
      <c r="AC26" s="1809">
        <v>1</v>
      </c>
    </row>
    <row r="27" spans="1:29" ht="15">
      <c r="A27" s="367"/>
      <c r="B27" s="401" t="s">
        <v>1778</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427"/>
      <c r="Q27" s="1262" t="str">
        <f t="shared" ref="Q27:Q47" si="11">B27</f>
        <v>楼层</v>
      </c>
      <c r="R27" s="667" t="s">
        <v>14</v>
      </c>
      <c r="S27" s="668">
        <f>F27</f>
        <v>100</v>
      </c>
      <c r="T27" s="667" t="s">
        <v>14</v>
      </c>
      <c r="U27" s="668">
        <f>H27</f>
        <v>100</v>
      </c>
      <c r="V27" s="667" t="s">
        <v>14</v>
      </c>
      <c r="W27" s="668">
        <f>J27</f>
        <v>100</v>
      </c>
      <c r="X27" s="1264"/>
      <c r="Y27" s="3429"/>
      <c r="Z27" s="1263" t="str">
        <f>Q27</f>
        <v>楼层</v>
      </c>
      <c r="AA27" s="1263">
        <f t="shared" si="3"/>
        <v>1</v>
      </c>
      <c r="AB27" s="1263">
        <f t="shared" si="4"/>
        <v>1</v>
      </c>
      <c r="AC27" s="1809">
        <f t="shared" si="5"/>
        <v>1</v>
      </c>
    </row>
    <row r="28" spans="1:29" s="102" customFormat="1" ht="15">
      <c r="A28" s="370"/>
      <c r="B28" s="556" t="s">
        <v>1811</v>
      </c>
      <c r="C28" s="1812"/>
      <c r="D28" s="401">
        <v>100</v>
      </c>
      <c r="E28" s="1804"/>
      <c r="F28" s="401">
        <f>SUMIF(91:91,E28,92:92)-SUMIF(91:91,C28,92:92)+100</f>
        <v>100</v>
      </c>
      <c r="G28" s="1812"/>
      <c r="H28" s="401">
        <f>SUMIF(91:91,G28,92:92)-SUMIF(91:91,C28,92:92)+100</f>
        <v>100</v>
      </c>
      <c r="I28" s="1804"/>
      <c r="J28" s="401">
        <f>SUMIF(91:91,I28,92:92)-SUMIF(91:91,C28,92:92)+100</f>
        <v>100</v>
      </c>
      <c r="K28" s="538"/>
      <c r="L28" s="2485"/>
      <c r="M28" s="2436"/>
      <c r="N28" s="2436"/>
      <c r="O28" s="2436"/>
      <c r="P28" s="3427"/>
      <c r="Q28" s="530" t="str">
        <f t="shared" si="11"/>
        <v>朝向</v>
      </c>
      <c r="R28" s="664" t="s">
        <v>14</v>
      </c>
      <c r="S28" s="665">
        <f>F28</f>
        <v>100</v>
      </c>
      <c r="T28" s="664" t="s">
        <v>14</v>
      </c>
      <c r="U28" s="665">
        <f>H28</f>
        <v>100</v>
      </c>
      <c r="V28" s="664" t="s">
        <v>14</v>
      </c>
      <c r="W28" s="665">
        <f>J28</f>
        <v>100</v>
      </c>
      <c r="X28" s="666"/>
      <c r="Y28" s="3429"/>
      <c r="Z28" s="50" t="str">
        <f>Q28</f>
        <v>朝向</v>
      </c>
      <c r="AA28" s="1263">
        <f>D28/F28</f>
        <v>1</v>
      </c>
      <c r="AB28" s="1263">
        <f>D28/H28</f>
        <v>1</v>
      </c>
      <c r="AC28" s="1809">
        <f>D28/J28</f>
        <v>1</v>
      </c>
    </row>
    <row r="29" spans="1:29" ht="15">
      <c r="A29" s="367"/>
      <c r="B29" s="1098">
        <v>111</v>
      </c>
      <c r="C29" s="1761"/>
      <c r="D29" s="374">
        <v>100</v>
      </c>
      <c r="E29" s="371"/>
      <c r="F29" s="374">
        <f>SUMIF(93:93,E29,94:94)-SUMIF(93:93,C29,94:94)+100</f>
        <v>100</v>
      </c>
      <c r="G29" s="1807"/>
      <c r="H29" s="374">
        <f>SUMIF(93:93,G29,94:94)-SUMIF(93:93,C29,94:94)+100</f>
        <v>100</v>
      </c>
      <c r="I29" s="371"/>
      <c r="J29" s="374">
        <f>SUMIF(93:93,I29,94:94)-SUMIF(93:93,C29,94:94)+100</f>
        <v>100</v>
      </c>
      <c r="K29" s="539"/>
      <c r="L29" s="2489"/>
      <c r="M29" s="2484"/>
      <c r="N29" s="2484"/>
      <c r="O29" s="2484"/>
      <c r="P29" s="3427"/>
      <c r="Q29" s="1262">
        <f t="shared" si="11"/>
        <v>111</v>
      </c>
      <c r="R29" s="667" t="s">
        <v>14</v>
      </c>
      <c r="S29" s="668">
        <f t="shared" ref="S29:S47" si="12">F29</f>
        <v>100</v>
      </c>
      <c r="T29" s="667" t="s">
        <v>14</v>
      </c>
      <c r="U29" s="668">
        <f t="shared" ref="U29:U47" si="13">H29</f>
        <v>100</v>
      </c>
      <c r="V29" s="667" t="s">
        <v>14</v>
      </c>
      <c r="W29" s="668">
        <f t="shared" ref="W29:W47" si="14">J29</f>
        <v>100</v>
      </c>
      <c r="X29" s="1264"/>
      <c r="Y29" s="3429"/>
      <c r="Z29" s="1263">
        <f t="shared" ref="Z29:Z47" si="15">Q29</f>
        <v>111</v>
      </c>
      <c r="AA29" s="1263">
        <f t="shared" si="3"/>
        <v>1</v>
      </c>
      <c r="AB29" s="1263">
        <f t="shared" si="4"/>
        <v>1</v>
      </c>
      <c r="AC29" s="1809">
        <f t="shared" si="5"/>
        <v>1</v>
      </c>
    </row>
    <row r="30" spans="1:29" ht="15">
      <c r="A30" s="367"/>
      <c r="B30" s="1098">
        <v>111</v>
      </c>
      <c r="C30" s="1761"/>
      <c r="D30" s="374">
        <v>100</v>
      </c>
      <c r="E30" s="371"/>
      <c r="F30" s="374">
        <f>SUMIF(95:95,E30,96:96)-SUMIF(95:95,C30,96:96)+100</f>
        <v>100</v>
      </c>
      <c r="G30" s="1807"/>
      <c r="H30" s="374">
        <f>SUMIF(95:95,G30,96:96)-SUMIF(95:95,C30,96:96)+100</f>
        <v>100</v>
      </c>
      <c r="I30" s="371"/>
      <c r="J30" s="374">
        <f>SUMIF(95:95,I30,96:96)-SUMIF(95:95,C30,96:96)+100</f>
        <v>100</v>
      </c>
      <c r="K30" s="539"/>
      <c r="L30" s="2489"/>
      <c r="M30" s="2484"/>
      <c r="N30" s="2484"/>
      <c r="O30" s="2484"/>
      <c r="P30" s="3427"/>
      <c r="Q30" s="1262">
        <f t="shared" si="11"/>
        <v>111</v>
      </c>
      <c r="R30" s="667" t="s">
        <v>14</v>
      </c>
      <c r="S30" s="668">
        <f t="shared" si="12"/>
        <v>100</v>
      </c>
      <c r="T30" s="667" t="s">
        <v>14</v>
      </c>
      <c r="U30" s="668">
        <f t="shared" si="13"/>
        <v>100</v>
      </c>
      <c r="V30" s="667" t="s">
        <v>14</v>
      </c>
      <c r="W30" s="668">
        <f t="shared" si="14"/>
        <v>100</v>
      </c>
      <c r="X30" s="1264"/>
      <c r="Y30" s="3429"/>
      <c r="Z30" s="1263">
        <f t="shared" si="15"/>
        <v>111</v>
      </c>
      <c r="AA30" s="1263">
        <f t="shared" si="3"/>
        <v>1</v>
      </c>
      <c r="AB30" s="1263">
        <f t="shared" si="4"/>
        <v>1</v>
      </c>
      <c r="AC30" s="1809">
        <f t="shared" si="5"/>
        <v>1</v>
      </c>
    </row>
    <row r="31" spans="1:29" ht="15">
      <c r="A31" s="367"/>
      <c r="B31" s="1098">
        <v>111</v>
      </c>
      <c r="C31" s="1761"/>
      <c r="D31" s="374">
        <v>100</v>
      </c>
      <c r="E31" s="371"/>
      <c r="F31" s="374">
        <f>SUMIF(97:97,E31,98:98)-SUMIF(97:97,C31,98:98)+100</f>
        <v>100</v>
      </c>
      <c r="G31" s="1807"/>
      <c r="H31" s="374">
        <f>SUMIF(97:97,G31,98:98)-SUMIF(97:97,C31,98:98)+100</f>
        <v>100</v>
      </c>
      <c r="I31" s="371"/>
      <c r="J31" s="374">
        <f>SUMIF(97:97,I31,98:98)-SUMIF(97:97,C31,98:98)+100</f>
        <v>100</v>
      </c>
      <c r="K31" s="539"/>
      <c r="L31" s="2489"/>
      <c r="M31" s="2484"/>
      <c r="N31" s="2484"/>
      <c r="O31" s="2484"/>
      <c r="P31" s="3427"/>
      <c r="Q31" s="1262">
        <f t="shared" si="11"/>
        <v>111</v>
      </c>
      <c r="R31" s="667" t="s">
        <v>14</v>
      </c>
      <c r="S31" s="668">
        <f t="shared" si="12"/>
        <v>100</v>
      </c>
      <c r="T31" s="667" t="s">
        <v>14</v>
      </c>
      <c r="U31" s="668">
        <f t="shared" si="13"/>
        <v>100</v>
      </c>
      <c r="V31" s="667" t="s">
        <v>14</v>
      </c>
      <c r="W31" s="668">
        <f t="shared" si="14"/>
        <v>100</v>
      </c>
      <c r="X31" s="1264"/>
      <c r="Y31" s="3429"/>
      <c r="Z31" s="1263">
        <f t="shared" si="15"/>
        <v>111</v>
      </c>
      <c r="AA31" s="1263">
        <f t="shared" si="3"/>
        <v>1</v>
      </c>
      <c r="AB31" s="1263">
        <f t="shared" si="4"/>
        <v>1</v>
      </c>
      <c r="AC31" s="1809">
        <f t="shared" si="5"/>
        <v>1</v>
      </c>
    </row>
    <row r="32" spans="1:29" ht="15.75" thickBot="1">
      <c r="A32" s="375"/>
      <c r="B32" s="559">
        <v>111</v>
      </c>
      <c r="C32" s="1762"/>
      <c r="D32" s="377">
        <v>100</v>
      </c>
      <c r="E32" s="553"/>
      <c r="F32" s="377">
        <f>SUMIF(99:99,E32,100:100)-SUMIF(99:99,C32,100:100)+100</f>
        <v>100</v>
      </c>
      <c r="G32" s="1807"/>
      <c r="H32" s="377">
        <f>SUMIF(99:99,G32,100:100)-SUMIF(99:99,C32,100:100)+100</f>
        <v>100</v>
      </c>
      <c r="I32" s="371"/>
      <c r="J32" s="377">
        <f>SUMIF(99:99,I32,100:100)-SUMIF(99:99,C32,100:100)+100</f>
        <v>100</v>
      </c>
      <c r="K32" s="539"/>
      <c r="L32" s="2489"/>
      <c r="M32" s="2484"/>
      <c r="N32" s="2484"/>
      <c r="O32" s="2484"/>
      <c r="P32" s="3427"/>
      <c r="Q32" s="1262">
        <f t="shared" si="11"/>
        <v>111</v>
      </c>
      <c r="R32" s="667" t="s">
        <v>14</v>
      </c>
      <c r="S32" s="668">
        <f t="shared" si="12"/>
        <v>100</v>
      </c>
      <c r="T32" s="667" t="s">
        <v>14</v>
      </c>
      <c r="U32" s="668">
        <f t="shared" si="13"/>
        <v>100</v>
      </c>
      <c r="V32" s="667" t="s">
        <v>14</v>
      </c>
      <c r="W32" s="668">
        <f t="shared" si="14"/>
        <v>100</v>
      </c>
      <c r="X32" s="1264"/>
      <c r="Y32" s="3429"/>
      <c r="Z32" s="1263">
        <f t="shared" si="15"/>
        <v>111</v>
      </c>
      <c r="AA32" s="1263">
        <f t="shared" si="3"/>
        <v>1</v>
      </c>
      <c r="AB32" s="1263">
        <f t="shared" si="4"/>
        <v>1</v>
      </c>
      <c r="AC32" s="1809">
        <f t="shared" si="5"/>
        <v>1</v>
      </c>
    </row>
    <row r="33" spans="1:29" ht="15">
      <c r="A33" s="379" t="s">
        <v>1689</v>
      </c>
      <c r="B33" s="60" t="s">
        <v>1812</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89"/>
      <c r="M33" s="2484"/>
      <c r="N33" s="2484"/>
      <c r="O33" s="2484"/>
      <c r="P33" s="3430" t="s">
        <v>1691</v>
      </c>
      <c r="Q33" s="1262" t="str">
        <f t="shared" si="11"/>
        <v>建筑类型</v>
      </c>
      <c r="R33" s="667" t="s">
        <v>14</v>
      </c>
      <c r="S33" s="668">
        <f t="shared" si="12"/>
        <v>100</v>
      </c>
      <c r="T33" s="667" t="s">
        <v>14</v>
      </c>
      <c r="U33" s="668">
        <f t="shared" si="13"/>
        <v>100</v>
      </c>
      <c r="V33" s="667" t="s">
        <v>14</v>
      </c>
      <c r="W33" s="668">
        <f t="shared" si="14"/>
        <v>100</v>
      </c>
      <c r="X33" s="1264"/>
      <c r="Y33" s="3433" t="s">
        <v>1691</v>
      </c>
      <c r="Z33" s="1263" t="str">
        <f t="shared" si="15"/>
        <v>建筑类型</v>
      </c>
      <c r="AA33" s="1263">
        <f t="shared" si="3"/>
        <v>1</v>
      </c>
      <c r="AB33" s="1263">
        <f t="shared" si="4"/>
        <v>1</v>
      </c>
      <c r="AC33" s="1809">
        <f t="shared" si="5"/>
        <v>1</v>
      </c>
    </row>
    <row r="34" spans="1:29" s="408" customFormat="1" ht="15">
      <c r="A34" s="406"/>
      <c r="B34" s="364" t="s">
        <v>1692</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431"/>
      <c r="Q34" s="531" t="str">
        <f t="shared" si="11"/>
        <v>项目建筑规模</v>
      </c>
      <c r="R34" s="669" t="s">
        <v>14</v>
      </c>
      <c r="S34" s="670" t="e">
        <f t="shared" si="12"/>
        <v>#N/A</v>
      </c>
      <c r="T34" s="669" t="s">
        <v>14</v>
      </c>
      <c r="U34" s="670" t="e">
        <f t="shared" si="13"/>
        <v>#N/A</v>
      </c>
      <c r="V34" s="669" t="s">
        <v>14</v>
      </c>
      <c r="W34" s="670" t="e">
        <f t="shared" si="14"/>
        <v>#N/A</v>
      </c>
      <c r="X34" s="671"/>
      <c r="Y34" s="3433"/>
      <c r="Z34" s="672" t="str">
        <f t="shared" si="15"/>
        <v>项目建筑规模</v>
      </c>
      <c r="AA34" s="1263" t="e">
        <f t="shared" si="3"/>
        <v>#N/A</v>
      </c>
      <c r="AB34" s="1263" t="e">
        <f t="shared" si="4"/>
        <v>#N/A</v>
      </c>
      <c r="AC34" s="1809" t="e">
        <f t="shared" si="5"/>
        <v>#N/A</v>
      </c>
    </row>
    <row r="35" spans="1:29" ht="15">
      <c r="A35" s="409"/>
      <c r="B35" s="364" t="s">
        <v>1693</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431"/>
      <c r="Q35" s="1262" t="str">
        <f t="shared" si="11"/>
        <v>建筑结构</v>
      </c>
      <c r="R35" s="667" t="s">
        <v>14</v>
      </c>
      <c r="S35" s="668">
        <f t="shared" si="12"/>
        <v>100</v>
      </c>
      <c r="T35" s="667" t="s">
        <v>14</v>
      </c>
      <c r="U35" s="668">
        <f t="shared" si="13"/>
        <v>100</v>
      </c>
      <c r="V35" s="667" t="s">
        <v>14</v>
      </c>
      <c r="W35" s="668">
        <f t="shared" si="14"/>
        <v>100</v>
      </c>
      <c r="X35" s="1264"/>
      <c r="Y35" s="3433"/>
      <c r="Z35" s="1263" t="str">
        <f t="shared" si="15"/>
        <v>建筑结构</v>
      </c>
      <c r="AA35" s="1263">
        <f t="shared" si="3"/>
        <v>1</v>
      </c>
      <c r="AB35" s="1263">
        <f t="shared" si="4"/>
        <v>1</v>
      </c>
      <c r="AC35" s="1809">
        <f t="shared" si="5"/>
        <v>1</v>
      </c>
    </row>
    <row r="36" spans="1:29" ht="15">
      <c r="A36" s="409"/>
      <c r="B36" s="364" t="s">
        <v>1780</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431"/>
      <c r="Q36" s="1262" t="str">
        <f t="shared" si="11"/>
        <v>公共部分装修</v>
      </c>
      <c r="R36" s="667" t="s">
        <v>14</v>
      </c>
      <c r="S36" s="668">
        <f t="shared" si="12"/>
        <v>100</v>
      </c>
      <c r="T36" s="667" t="s">
        <v>14</v>
      </c>
      <c r="U36" s="668">
        <f t="shared" si="13"/>
        <v>100</v>
      </c>
      <c r="V36" s="667" t="s">
        <v>14</v>
      </c>
      <c r="W36" s="668">
        <f t="shared" si="14"/>
        <v>100</v>
      </c>
      <c r="X36" s="1264"/>
      <c r="Y36" s="3433"/>
      <c r="Z36" s="1263" t="str">
        <f t="shared" si="15"/>
        <v>公共部分装修</v>
      </c>
      <c r="AA36" s="1263">
        <f t="shared" si="3"/>
        <v>1</v>
      </c>
      <c r="AB36" s="1263">
        <f t="shared" si="4"/>
        <v>1</v>
      </c>
      <c r="AC36" s="1809">
        <f t="shared" si="5"/>
        <v>1</v>
      </c>
    </row>
    <row r="37" spans="1:29" ht="15">
      <c r="A37" s="409"/>
      <c r="B37" s="364" t="s">
        <v>1781</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431"/>
      <c r="Q37" s="1262" t="str">
        <f t="shared" si="11"/>
        <v>成新度</v>
      </c>
      <c r="R37" s="667" t="s">
        <v>14</v>
      </c>
      <c r="S37" s="668" t="e">
        <f t="shared" si="12"/>
        <v>#N/A</v>
      </c>
      <c r="T37" s="667" t="s">
        <v>14</v>
      </c>
      <c r="U37" s="668" t="e">
        <f t="shared" si="13"/>
        <v>#N/A</v>
      </c>
      <c r="V37" s="667" t="s">
        <v>14</v>
      </c>
      <c r="W37" s="668" t="e">
        <f t="shared" si="14"/>
        <v>#N/A</v>
      </c>
      <c r="X37" s="1264"/>
      <c r="Y37" s="3433"/>
      <c r="Z37" s="1263" t="str">
        <f t="shared" si="15"/>
        <v>成新度</v>
      </c>
      <c r="AA37" s="1263" t="e">
        <f t="shared" si="3"/>
        <v>#N/A</v>
      </c>
      <c r="AB37" s="1263" t="e">
        <f t="shared" si="4"/>
        <v>#N/A</v>
      </c>
      <c r="AC37" s="1809" t="e">
        <f t="shared" si="5"/>
        <v>#N/A</v>
      </c>
    </row>
    <row r="38" spans="1:29" s="102" customFormat="1" ht="15">
      <c r="A38" s="410"/>
      <c r="B38" s="364" t="s">
        <v>1813</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6"/>
      <c r="N38" s="2436"/>
      <c r="O38" s="2436"/>
      <c r="P38" s="3431"/>
      <c r="Q38" s="530" t="str">
        <f t="shared" si="11"/>
        <v>写字楼等级</v>
      </c>
      <c r="R38" s="664" t="s">
        <v>14</v>
      </c>
      <c r="S38" s="665">
        <f t="shared" si="12"/>
        <v>100</v>
      </c>
      <c r="T38" s="664" t="s">
        <v>14</v>
      </c>
      <c r="U38" s="665">
        <f t="shared" si="13"/>
        <v>100</v>
      </c>
      <c r="V38" s="664" t="s">
        <v>14</v>
      </c>
      <c r="W38" s="665">
        <f t="shared" si="14"/>
        <v>100</v>
      </c>
      <c r="X38" s="666"/>
      <c r="Y38" s="3433"/>
      <c r="Z38" s="50" t="str">
        <f t="shared" si="15"/>
        <v>写字楼等级</v>
      </c>
      <c r="AA38" s="50">
        <f t="shared" si="3"/>
        <v>1</v>
      </c>
      <c r="AB38" s="50">
        <f t="shared" si="4"/>
        <v>1</v>
      </c>
      <c r="AC38" s="802">
        <f t="shared" si="5"/>
        <v>1</v>
      </c>
    </row>
    <row r="39" spans="1:29" ht="15">
      <c r="A39" s="409"/>
      <c r="B39" s="364" t="s">
        <v>1814</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431" t="s">
        <v>1691</v>
      </c>
      <c r="Q39" s="1262" t="str">
        <f t="shared" si="11"/>
        <v>物业管理</v>
      </c>
      <c r="R39" s="667" t="s">
        <v>14</v>
      </c>
      <c r="S39" s="668">
        <f t="shared" si="12"/>
        <v>100</v>
      </c>
      <c r="T39" s="667" t="s">
        <v>14</v>
      </c>
      <c r="U39" s="668">
        <f t="shared" si="13"/>
        <v>100</v>
      </c>
      <c r="V39" s="667" t="s">
        <v>14</v>
      </c>
      <c r="W39" s="668">
        <f t="shared" si="14"/>
        <v>100</v>
      </c>
      <c r="X39" s="1264"/>
      <c r="Y39" s="3433" t="s">
        <v>1691</v>
      </c>
      <c r="Z39" s="1263" t="str">
        <f t="shared" si="15"/>
        <v>物业管理</v>
      </c>
      <c r="AA39" s="1263">
        <f t="shared" si="3"/>
        <v>1</v>
      </c>
      <c r="AB39" s="1263">
        <f t="shared" si="4"/>
        <v>1</v>
      </c>
      <c r="AC39" s="1809">
        <f t="shared" si="5"/>
        <v>1</v>
      </c>
    </row>
    <row r="40" spans="1:29" ht="15">
      <c r="A40" s="409"/>
      <c r="B40" s="364" t="s">
        <v>1782</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431"/>
      <c r="Q40" s="1262" t="str">
        <f t="shared" si="11"/>
        <v>市政基础设施</v>
      </c>
      <c r="R40" s="667" t="s">
        <v>14</v>
      </c>
      <c r="S40" s="668">
        <f t="shared" si="12"/>
        <v>100</v>
      </c>
      <c r="T40" s="667" t="s">
        <v>14</v>
      </c>
      <c r="U40" s="668">
        <f t="shared" si="13"/>
        <v>100</v>
      </c>
      <c r="V40" s="667" t="s">
        <v>14</v>
      </c>
      <c r="W40" s="668">
        <f t="shared" si="14"/>
        <v>100</v>
      </c>
      <c r="X40" s="1264"/>
      <c r="Y40" s="3433"/>
      <c r="Z40" s="1263" t="str">
        <f t="shared" si="15"/>
        <v>市政基础设施</v>
      </c>
      <c r="AA40" s="1263">
        <f t="shared" si="3"/>
        <v>1</v>
      </c>
      <c r="AB40" s="1263">
        <f t="shared" si="4"/>
        <v>1</v>
      </c>
      <c r="AC40" s="1809">
        <f t="shared" si="5"/>
        <v>1</v>
      </c>
    </row>
    <row r="41" spans="1:29" ht="15">
      <c r="A41" s="409"/>
      <c r="B41" s="364" t="s">
        <v>1784</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431"/>
      <c r="Q41" s="1262" t="str">
        <f t="shared" si="11"/>
        <v>层高</v>
      </c>
      <c r="R41" s="667" t="s">
        <v>14</v>
      </c>
      <c r="S41" s="668">
        <f t="shared" si="12"/>
        <v>100</v>
      </c>
      <c r="T41" s="667" t="s">
        <v>14</v>
      </c>
      <c r="U41" s="668">
        <f t="shared" si="13"/>
        <v>100</v>
      </c>
      <c r="V41" s="667" t="s">
        <v>14</v>
      </c>
      <c r="W41" s="668">
        <f t="shared" si="14"/>
        <v>100</v>
      </c>
      <c r="X41" s="1264"/>
      <c r="Y41" s="3433"/>
      <c r="Z41" s="1263" t="str">
        <f t="shared" si="15"/>
        <v>层高</v>
      </c>
      <c r="AA41" s="1263">
        <f t="shared" si="3"/>
        <v>1</v>
      </c>
      <c r="AB41" s="1263">
        <f t="shared" si="4"/>
        <v>1</v>
      </c>
      <c r="AC41" s="1809">
        <f t="shared" si="5"/>
        <v>1</v>
      </c>
    </row>
    <row r="42" spans="1:29" s="408" customFormat="1" ht="15">
      <c r="A42" s="406"/>
      <c r="B42" s="400" t="s">
        <v>1815</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31"/>
      <c r="Q42" s="531" t="str">
        <f t="shared" si="11"/>
        <v>单套建筑面积</v>
      </c>
      <c r="R42" s="669" t="s">
        <v>14</v>
      </c>
      <c r="S42" s="670">
        <f t="shared" si="12"/>
        <v>100</v>
      </c>
      <c r="T42" s="669" t="s">
        <v>14</v>
      </c>
      <c r="U42" s="670">
        <f t="shared" si="13"/>
        <v>100</v>
      </c>
      <c r="V42" s="669" t="s">
        <v>14</v>
      </c>
      <c r="W42" s="670">
        <f t="shared" si="14"/>
        <v>100</v>
      </c>
      <c r="X42" s="671"/>
      <c r="Y42" s="3433"/>
      <c r="Z42" s="672" t="str">
        <f t="shared" si="15"/>
        <v>单套建筑面积</v>
      </c>
      <c r="AA42" s="1263">
        <f t="shared" si="3"/>
        <v>1</v>
      </c>
      <c r="AB42" s="1263">
        <f t="shared" si="4"/>
        <v>1</v>
      </c>
      <c r="AC42" s="1809">
        <f t="shared" si="5"/>
        <v>1</v>
      </c>
    </row>
    <row r="43" spans="1:29" ht="15">
      <c r="A43" s="409"/>
      <c r="B43" s="364" t="s">
        <v>1787</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431"/>
      <c r="Q43" s="1262" t="str">
        <f t="shared" si="11"/>
        <v>内部装修</v>
      </c>
      <c r="R43" s="667" t="s">
        <v>14</v>
      </c>
      <c r="S43" s="668">
        <f t="shared" si="12"/>
        <v>100</v>
      </c>
      <c r="T43" s="667" t="s">
        <v>14</v>
      </c>
      <c r="U43" s="668">
        <f t="shared" si="13"/>
        <v>100</v>
      </c>
      <c r="V43" s="667" t="s">
        <v>14</v>
      </c>
      <c r="W43" s="668">
        <f t="shared" si="14"/>
        <v>100</v>
      </c>
      <c r="X43" s="1264"/>
      <c r="Y43" s="3433"/>
      <c r="Z43" s="1263" t="str">
        <f t="shared" si="15"/>
        <v>内部装修</v>
      </c>
      <c r="AA43" s="1263">
        <f t="shared" si="3"/>
        <v>1</v>
      </c>
      <c r="AB43" s="1263">
        <f t="shared" si="4"/>
        <v>1</v>
      </c>
      <c r="AC43" s="1809">
        <f t="shared" si="5"/>
        <v>1</v>
      </c>
    </row>
    <row r="44" spans="1:29" ht="15">
      <c r="A44" s="409"/>
      <c r="B44" s="364" t="s">
        <v>1702</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89"/>
      <c r="M44" s="2484"/>
      <c r="N44" s="2484"/>
      <c r="O44" s="2484"/>
      <c r="P44" s="3431"/>
      <c r="Q44" s="1262" t="str">
        <f t="shared" si="11"/>
        <v>内部装修维护情况</v>
      </c>
      <c r="R44" s="667" t="s">
        <v>14</v>
      </c>
      <c r="S44" s="668">
        <f t="shared" si="12"/>
        <v>100</v>
      </c>
      <c r="T44" s="667" t="s">
        <v>14</v>
      </c>
      <c r="U44" s="668">
        <f t="shared" si="13"/>
        <v>100</v>
      </c>
      <c r="V44" s="667" t="s">
        <v>14</v>
      </c>
      <c r="W44" s="668">
        <f t="shared" si="14"/>
        <v>100</v>
      </c>
      <c r="X44" s="1264"/>
      <c r="Y44" s="3433"/>
      <c r="Z44" s="1263" t="str">
        <f t="shared" si="15"/>
        <v>内部装修维护情况</v>
      </c>
      <c r="AA44" s="1263">
        <f t="shared" si="3"/>
        <v>1</v>
      </c>
      <c r="AB44" s="1263">
        <f t="shared" si="4"/>
        <v>1</v>
      </c>
      <c r="AC44" s="1809">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6"/>
      <c r="N45" s="2436"/>
      <c r="O45" s="2436"/>
      <c r="P45" s="3431"/>
      <c r="Q45" s="530">
        <f t="shared" si="11"/>
        <v>111</v>
      </c>
      <c r="R45" s="664" t="s">
        <v>14</v>
      </c>
      <c r="S45" s="665">
        <f t="shared" si="12"/>
        <v>100</v>
      </c>
      <c r="T45" s="664" t="s">
        <v>14</v>
      </c>
      <c r="U45" s="665">
        <f t="shared" si="13"/>
        <v>100</v>
      </c>
      <c r="V45" s="664" t="s">
        <v>14</v>
      </c>
      <c r="W45" s="665">
        <f t="shared" si="14"/>
        <v>100</v>
      </c>
      <c r="X45" s="666"/>
      <c r="Y45" s="343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431"/>
      <c r="Q46" s="1262">
        <f t="shared" si="11"/>
        <v>111</v>
      </c>
      <c r="R46" s="667" t="s">
        <v>14</v>
      </c>
      <c r="S46" s="668">
        <f t="shared" si="12"/>
        <v>100</v>
      </c>
      <c r="T46" s="667" t="s">
        <v>14</v>
      </c>
      <c r="U46" s="668">
        <f t="shared" si="13"/>
        <v>100</v>
      </c>
      <c r="V46" s="667" t="s">
        <v>14</v>
      </c>
      <c r="W46" s="668">
        <f t="shared" si="14"/>
        <v>100</v>
      </c>
      <c r="X46" s="1264"/>
      <c r="Y46" s="3433"/>
      <c r="Z46" s="1263">
        <f t="shared" si="15"/>
        <v>111</v>
      </c>
      <c r="AA46" s="1263">
        <f t="shared" si="3"/>
        <v>1</v>
      </c>
      <c r="AB46" s="1263">
        <f t="shared" si="4"/>
        <v>1</v>
      </c>
      <c r="AC46" s="1809">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32"/>
      <c r="Q47" s="1262">
        <f t="shared" si="11"/>
        <v>111</v>
      </c>
      <c r="R47" s="667" t="s">
        <v>14</v>
      </c>
      <c r="S47" s="668">
        <f t="shared" si="12"/>
        <v>100</v>
      </c>
      <c r="T47" s="667" t="s">
        <v>14</v>
      </c>
      <c r="U47" s="668">
        <f t="shared" si="13"/>
        <v>100</v>
      </c>
      <c r="V47" s="667" t="s">
        <v>14</v>
      </c>
      <c r="W47" s="668">
        <f t="shared" si="14"/>
        <v>100</v>
      </c>
      <c r="X47" s="1264"/>
      <c r="Y47" s="3434"/>
      <c r="Z47" s="1263">
        <f t="shared" si="15"/>
        <v>111</v>
      </c>
      <c r="AA47" s="1263">
        <f t="shared" si="3"/>
        <v>1</v>
      </c>
      <c r="AB47" s="1263">
        <f t="shared" si="4"/>
        <v>1</v>
      </c>
      <c r="AC47" s="1809">
        <f t="shared" si="5"/>
        <v>1</v>
      </c>
    </row>
    <row r="48" spans="1:29" ht="15">
      <c r="A48" s="416" t="s">
        <v>1703</v>
      </c>
      <c r="B48" s="417"/>
      <c r="C48" s="1081" t="s">
        <v>0</v>
      </c>
      <c r="D48" s="418"/>
      <c r="E48" s="419"/>
      <c r="F48" s="420"/>
      <c r="G48" s="421"/>
      <c r="H48" s="422"/>
      <c r="I48" s="419"/>
      <c r="J48" s="422"/>
      <c r="K48" s="674"/>
      <c r="L48" s="2491"/>
      <c r="M48" s="2484"/>
      <c r="N48" s="2484"/>
      <c r="O48" s="2484"/>
      <c r="P48" s="3435" t="str">
        <f>A48</f>
        <v>成交单价（元/平方米）</v>
      </c>
      <c r="Q48" s="3421"/>
      <c r="R48" s="3422">
        <f>E48</f>
        <v>0</v>
      </c>
      <c r="S48" s="3422"/>
      <c r="T48" s="3422">
        <f>G48</f>
        <v>0</v>
      </c>
      <c r="U48" s="3422"/>
      <c r="V48" s="3422">
        <f>I48</f>
        <v>0</v>
      </c>
      <c r="W48" s="3422"/>
      <c r="X48" s="385"/>
      <c r="Y48" s="673"/>
      <c r="Z48" s="385"/>
      <c r="AA48" s="385"/>
      <c r="AB48" s="385"/>
      <c r="AC48" s="555"/>
    </row>
    <row r="49" spans="1:29" ht="15.75" thickBot="1">
      <c r="A49" s="423" t="s">
        <v>1788</v>
      </c>
      <c r="B49" s="424"/>
      <c r="C49" s="1082" t="e">
        <f>R50</f>
        <v>#DIV/0!</v>
      </c>
      <c r="D49" s="2138" t="s">
        <v>2132</v>
      </c>
      <c r="E49" s="1083" t="e">
        <f>R49</f>
        <v>#DIV/0!</v>
      </c>
      <c r="F49" s="2139"/>
      <c r="G49" s="1082" t="e">
        <f>T49</f>
        <v>#DIV/0!</v>
      </c>
      <c r="H49" s="2139"/>
      <c r="I49" s="1083" t="e">
        <f>V49</f>
        <v>#DIV/0!</v>
      </c>
      <c r="J49" s="2139"/>
      <c r="K49" s="2141">
        <f>F49+H49+J49</f>
        <v>0</v>
      </c>
      <c r="L49" s="2491"/>
      <c r="M49" s="2484"/>
      <c r="N49" s="2484"/>
      <c r="O49" s="2484"/>
      <c r="P49" s="3435" t="str">
        <f>A49</f>
        <v>比较价值（元/平方米）</v>
      </c>
      <c r="Q49" s="3421"/>
      <c r="R49" s="3422" t="e">
        <f>IF(F1="售价",ROUND(PRODUCT(R48,AA7:AA47),0),ROUND(PRODUCT(R48,AA7:AA47),1))</f>
        <v>#DIV/0!</v>
      </c>
      <c r="S49" s="3422"/>
      <c r="T49" s="3422" t="e">
        <f>IF(F1="售价",ROUND(PRODUCT(T48,AB7:AB47),0),ROUND(PRODUCT(T48,AB7:AB47),1))</f>
        <v>#DIV/0!</v>
      </c>
      <c r="U49" s="3422"/>
      <c r="V49" s="3422" t="e">
        <f>IF(F1="售价",ROUND(PRODUCT(V48,AC7:AC47),0),ROUND(PRODUCT(V48,AC7:AC47),1))</f>
        <v>#DIV/0!</v>
      </c>
      <c r="W49" s="3422"/>
      <c r="X49" s="385"/>
      <c r="Y49" s="385"/>
      <c r="Z49" s="385"/>
      <c r="AA49" s="385"/>
      <c r="AB49" s="385"/>
      <c r="AC49" s="555"/>
    </row>
    <row r="50" spans="1:29" ht="15.75" thickBot="1">
      <c r="A50" s="427" t="s">
        <v>1789</v>
      </c>
      <c r="B50" s="428"/>
      <c r="C50" s="351" t="e">
        <f>R50</f>
        <v>#DIV/0!</v>
      </c>
      <c r="D50" s="351"/>
      <c r="E50" s="351"/>
      <c r="F50" s="351"/>
      <c r="G50" s="351"/>
      <c r="H50" s="351"/>
      <c r="I50" s="351"/>
      <c r="J50" s="429"/>
      <c r="K50" s="675"/>
      <c r="L50" s="2491"/>
      <c r="M50" s="2484"/>
      <c r="N50" s="2484"/>
      <c r="O50" s="2484"/>
      <c r="P50" s="3466" t="str">
        <f>A50</f>
        <v>估价对象XX用房的比较价值（楼面单价，元/平方米）</v>
      </c>
      <c r="Q50" s="3467"/>
      <c r="R50" s="3468" t="e">
        <f>IF(F1="售价",ROUND(IF(D49="简单平均",AVERAGE(R49:V49),R49*F49+T49*H49+V49*J49),0),ROUND(IF(D49="简单平均",AVERAGE(R49:V49),R49*F49+T49*H49+V49*J49),1))</f>
        <v>#DIV/0!</v>
      </c>
      <c r="S50" s="3468"/>
      <c r="T50" s="3468"/>
      <c r="U50" s="3468"/>
      <c r="V50" s="3468"/>
      <c r="W50" s="3468"/>
      <c r="X50" s="1795"/>
      <c r="Y50" s="1795"/>
      <c r="Z50" s="1795"/>
      <c r="AA50" s="1795"/>
      <c r="AB50" s="1795"/>
      <c r="AC50" s="1796"/>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1790</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1791</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1792</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8" t="s">
        <v>1793</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29" s="442" customFormat="1" ht="15">
      <c r="A59" s="440" t="s">
        <v>1674</v>
      </c>
      <c r="B59" s="441"/>
      <c r="C59" s="1102" t="str">
        <f>YEAR(C7)&amp;"-"&amp;MONTH(C7)</f>
        <v>2024-4</v>
      </c>
      <c r="D59" s="1103">
        <f>EDATE(C59,-1)</f>
        <v>45352</v>
      </c>
      <c r="E59" s="1103">
        <f>EDATE(D59,-1)</f>
        <v>45323</v>
      </c>
      <c r="F59" s="1103">
        <f t="shared" ref="F59:O59" si="16">EDATE(E59,-1)</f>
        <v>45292</v>
      </c>
      <c r="G59" s="1103">
        <f t="shared" si="16"/>
        <v>45261</v>
      </c>
      <c r="H59" s="1103">
        <f t="shared" si="16"/>
        <v>45231</v>
      </c>
      <c r="I59" s="1103">
        <f t="shared" si="16"/>
        <v>45200</v>
      </c>
      <c r="J59" s="1103">
        <f t="shared" si="16"/>
        <v>45170</v>
      </c>
      <c r="K59" s="1103">
        <f t="shared" si="16"/>
        <v>45139</v>
      </c>
      <c r="L59" s="1103">
        <f t="shared" si="16"/>
        <v>45108</v>
      </c>
      <c r="M59" s="1103">
        <f t="shared" si="16"/>
        <v>45078</v>
      </c>
      <c r="N59" s="1103">
        <f t="shared" si="16"/>
        <v>45047</v>
      </c>
      <c r="O59" s="1103">
        <f t="shared" si="16"/>
        <v>45017</v>
      </c>
      <c r="P59" s="2524"/>
      <c r="Q59" s="2507"/>
      <c r="R59" s="2507"/>
      <c r="S59" s="2507"/>
      <c r="T59" s="2507"/>
      <c r="U59" s="2507"/>
      <c r="V59" s="2507"/>
      <c r="W59" s="2507"/>
      <c r="X59" s="2507"/>
      <c r="Y59" s="2507"/>
      <c r="Z59" s="2507"/>
      <c r="AA59" s="2507"/>
      <c r="AB59" s="2507"/>
      <c r="AC59" s="2507"/>
    </row>
    <row r="60" spans="1:29" s="102" customFormat="1" ht="15">
      <c r="A60" s="443"/>
      <c r="B60" s="444"/>
      <c r="C60" s="1101">
        <v>100</v>
      </c>
      <c r="D60" s="446"/>
      <c r="E60" s="446"/>
      <c r="F60" s="446"/>
      <c r="G60" s="446"/>
      <c r="H60" s="446"/>
      <c r="I60" s="446"/>
      <c r="J60" s="446"/>
      <c r="K60" s="446"/>
      <c r="L60" s="446"/>
      <c r="M60" s="447"/>
      <c r="N60" s="446"/>
      <c r="O60" s="447"/>
      <c r="P60" s="2525"/>
      <c r="Q60" s="2436"/>
      <c r="R60" s="2436"/>
      <c r="S60" s="2436"/>
      <c r="T60" s="2436"/>
      <c r="U60" s="2436"/>
      <c r="V60" s="2436"/>
      <c r="W60" s="2436"/>
      <c r="X60" s="2436"/>
      <c r="Y60" s="2436"/>
      <c r="Z60" s="2436"/>
      <c r="AA60" s="2436"/>
      <c r="AB60" s="2436"/>
      <c r="AC60" s="2436"/>
    </row>
    <row r="61" spans="1:29" s="102" customFormat="1" ht="15.75" thickBot="1">
      <c r="A61" s="449" t="s">
        <v>1711</v>
      </c>
      <c r="B61" s="450"/>
      <c r="C61" s="451"/>
      <c r="D61" s="452"/>
      <c r="E61" s="452"/>
      <c r="F61" s="452"/>
      <c r="G61" s="452"/>
      <c r="H61" s="452"/>
      <c r="I61" s="452"/>
      <c r="J61" s="452"/>
      <c r="K61" s="452"/>
      <c r="L61" s="452"/>
      <c r="M61" s="453"/>
      <c r="N61" s="452"/>
      <c r="O61" s="453"/>
      <c r="P61" s="2525"/>
      <c r="Q61" s="2505"/>
      <c r="R61" s="2436"/>
      <c r="S61" s="2436"/>
      <c r="T61" s="2436"/>
      <c r="U61" s="2436"/>
      <c r="V61" s="2436"/>
      <c r="W61" s="2436"/>
      <c r="X61" s="2436"/>
      <c r="Y61" s="2436"/>
      <c r="Z61" s="2436"/>
      <c r="AA61" s="2436"/>
      <c r="AB61" s="2436"/>
      <c r="AC61" s="2436"/>
    </row>
    <row r="62" spans="1:29" s="102" customFormat="1" ht="15">
      <c r="A62" s="455" t="s">
        <v>1676</v>
      </c>
      <c r="B62" s="444"/>
      <c r="C62" s="456" t="s">
        <v>1771</v>
      </c>
      <c r="D62" s="31"/>
      <c r="E62" s="31"/>
      <c r="F62" s="31"/>
      <c r="G62" s="31"/>
      <c r="H62" s="31"/>
      <c r="I62" s="31"/>
      <c r="J62" s="31"/>
      <c r="K62" s="31"/>
      <c r="L62" s="457"/>
      <c r="M62" s="458"/>
      <c r="N62" s="2517"/>
      <c r="O62" s="2517"/>
      <c r="P62" s="2526"/>
      <c r="Q62" s="2505"/>
      <c r="R62" s="2436"/>
      <c r="S62" s="2436"/>
      <c r="T62" s="2436"/>
      <c r="U62" s="2436"/>
      <c r="V62" s="2436"/>
      <c r="W62" s="2436"/>
      <c r="X62" s="2436"/>
      <c r="Y62" s="2436"/>
      <c r="Z62" s="2436"/>
      <c r="AA62" s="2436"/>
      <c r="AB62" s="2436"/>
      <c r="AC62" s="2436"/>
    </row>
    <row r="63" spans="1:29" s="102" customFormat="1" ht="15.75" thickBot="1">
      <c r="A63" s="455"/>
      <c r="B63" s="444"/>
      <c r="C63" s="445">
        <v>100</v>
      </c>
      <c r="D63" s="446"/>
      <c r="E63" s="446"/>
      <c r="F63" s="446"/>
      <c r="G63" s="446"/>
      <c r="H63" s="446"/>
      <c r="I63" s="446"/>
      <c r="J63" s="446"/>
      <c r="K63" s="446"/>
      <c r="L63" s="446"/>
      <c r="M63" s="448"/>
      <c r="N63" s="2517"/>
      <c r="O63" s="2517"/>
      <c r="P63" s="2525"/>
      <c r="Q63" s="2505"/>
      <c r="R63" s="2436"/>
      <c r="S63" s="2436"/>
      <c r="T63" s="2436"/>
      <c r="U63" s="2436"/>
      <c r="V63" s="2436"/>
      <c r="W63" s="2436"/>
      <c r="X63" s="2436"/>
      <c r="Y63" s="2436"/>
      <c r="Z63" s="2436"/>
      <c r="AA63" s="2436"/>
      <c r="AB63" s="2436"/>
      <c r="AC63" s="2436"/>
    </row>
    <row r="64" spans="1:29">
      <c r="A64" s="379" t="s">
        <v>1714</v>
      </c>
      <c r="B64" s="460" t="s">
        <v>1680</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5.75"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7.75" thickTop="1">
      <c r="A66" s="367"/>
      <c r="B66" s="469" t="s">
        <v>1683</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5.75"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75" thickTop="1">
      <c r="A68" s="367"/>
      <c r="B68" s="477" t="s">
        <v>1684</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5.75"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5.75"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5.75"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5.75"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5.75"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5.75"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c r="A77" s="379" t="s">
        <v>1685</v>
      </c>
      <c r="B77" s="460" t="s">
        <v>1816</v>
      </c>
      <c r="C77" s="504" t="s">
        <v>1716</v>
      </c>
      <c r="D77" s="504" t="s">
        <v>1717</v>
      </c>
      <c r="E77" s="504" t="s">
        <v>1718</v>
      </c>
      <c r="F77" s="504" t="s">
        <v>1719</v>
      </c>
      <c r="G77" s="504" t="s">
        <v>1720</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75" thickTop="1">
      <c r="A79" s="367"/>
      <c r="B79" s="469" t="s">
        <v>1721</v>
      </c>
      <c r="C79" s="509" t="s">
        <v>1716</v>
      </c>
      <c r="D79" s="509" t="s">
        <v>1717</v>
      </c>
      <c r="E79" s="509" t="s">
        <v>1718</v>
      </c>
      <c r="F79" s="509" t="s">
        <v>1719</v>
      </c>
      <c r="G79" s="509" t="s">
        <v>1720</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75" thickTop="1">
      <c r="A81" s="367"/>
      <c r="B81" s="469" t="s">
        <v>1722</v>
      </c>
      <c r="C81" s="509" t="s">
        <v>1716</v>
      </c>
      <c r="D81" s="509" t="s">
        <v>1717</v>
      </c>
      <c r="E81" s="509" t="s">
        <v>1718</v>
      </c>
      <c r="F81" s="509" t="s">
        <v>1719</v>
      </c>
      <c r="G81" s="509" t="s">
        <v>1720</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75" thickTop="1">
      <c r="A83" s="367"/>
      <c r="B83" s="477" t="s">
        <v>1808</v>
      </c>
      <c r="C83" s="581" t="s">
        <v>1794</v>
      </c>
      <c r="D83" s="581" t="s">
        <v>1795</v>
      </c>
      <c r="E83" s="581" t="s">
        <v>1796</v>
      </c>
      <c r="F83" s="581" t="s">
        <v>1797</v>
      </c>
      <c r="G83" s="581" t="s">
        <v>1798</v>
      </c>
      <c r="H83" s="470"/>
      <c r="I83" s="470"/>
      <c r="J83" s="470"/>
      <c r="K83" s="470"/>
      <c r="L83" s="470"/>
      <c r="M83" s="1063"/>
      <c r="N83" s="2519"/>
      <c r="O83" s="2519"/>
      <c r="P83" s="2527"/>
      <c r="Q83" s="2505"/>
      <c r="R83" s="2484"/>
      <c r="S83" s="2484"/>
      <c r="T83" s="2484"/>
      <c r="U83" s="2484"/>
      <c r="V83" s="2484"/>
      <c r="W83" s="2484"/>
      <c r="X83" s="2484"/>
      <c r="Y83" s="2484"/>
      <c r="Z83" s="2484"/>
      <c r="AA83" s="2484"/>
      <c r="AB83" s="2484"/>
      <c r="AC83" s="2484"/>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75" thickTop="1">
      <c r="A85" s="367"/>
      <c r="B85" s="469" t="s">
        <v>1817</v>
      </c>
      <c r="C85" s="509" t="s">
        <v>1716</v>
      </c>
      <c r="D85" s="509" t="s">
        <v>1717</v>
      </c>
      <c r="E85" s="509" t="s">
        <v>1718</v>
      </c>
      <c r="F85" s="509" t="s">
        <v>1719</v>
      </c>
      <c r="G85" s="509" t="s">
        <v>1720</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7.75" thickTop="1">
      <c r="A87" s="370"/>
      <c r="B87" s="469" t="s">
        <v>1818</v>
      </c>
      <c r="C87" s="485"/>
      <c r="D87" s="485"/>
      <c r="E87" s="485"/>
      <c r="F87" s="485"/>
      <c r="G87" s="485"/>
      <c r="H87" s="485"/>
      <c r="I87" s="485"/>
      <c r="J87" s="485"/>
      <c r="K87" s="485"/>
      <c r="L87" s="510"/>
      <c r="M87" s="511"/>
      <c r="N87" s="2517"/>
      <c r="O87" s="2517"/>
      <c r="P87" s="2527"/>
      <c r="Q87" s="2505"/>
      <c r="R87" s="2436"/>
      <c r="S87" s="2436"/>
      <c r="T87" s="2436"/>
      <c r="U87" s="2436"/>
      <c r="V87" s="2436"/>
      <c r="W87" s="2436"/>
      <c r="X87" s="2436"/>
      <c r="Y87" s="2436"/>
      <c r="Z87" s="2436"/>
      <c r="AA87" s="2436"/>
      <c r="AB87" s="2436"/>
      <c r="AC87" s="2436"/>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6"/>
      <c r="S88" s="2436"/>
      <c r="T88" s="2436"/>
      <c r="U88" s="2436"/>
      <c r="V88" s="2436"/>
      <c r="W88" s="2436"/>
      <c r="X88" s="2436"/>
      <c r="Y88" s="2436"/>
      <c r="Z88" s="2436"/>
      <c r="AA88" s="2436"/>
      <c r="AB88" s="2436"/>
      <c r="AC88" s="2436"/>
    </row>
    <row r="89" spans="1:29" s="102" customFormat="1" ht="15.75" thickTop="1">
      <c r="A89" s="370"/>
      <c r="B89" s="469" t="str">
        <f>B27</f>
        <v>楼层</v>
      </c>
      <c r="C89" s="485"/>
      <c r="D89" s="485"/>
      <c r="E89" s="485"/>
      <c r="F89" s="1777"/>
      <c r="G89" s="485"/>
      <c r="H89" s="485"/>
      <c r="I89" s="485"/>
      <c r="J89" s="485"/>
      <c r="K89" s="485"/>
      <c r="L89" s="485"/>
      <c r="M89" s="511"/>
      <c r="N89" s="2517"/>
      <c r="O89" s="2517"/>
      <c r="P89" s="2527"/>
      <c r="Q89" s="2505"/>
      <c r="R89" s="2436"/>
      <c r="S89" s="2436"/>
      <c r="T89" s="2436"/>
      <c r="U89" s="2436"/>
      <c r="V89" s="2436"/>
      <c r="W89" s="2436"/>
      <c r="X89" s="2436"/>
      <c r="Y89" s="2436"/>
      <c r="Z89" s="2436"/>
      <c r="AA89" s="2436"/>
      <c r="AB89" s="2436"/>
      <c r="AC89" s="2436"/>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6"/>
      <c r="S90" s="2436"/>
      <c r="T90" s="2436"/>
      <c r="U90" s="2436"/>
      <c r="V90" s="2436"/>
      <c r="W90" s="2436"/>
      <c r="X90" s="2436"/>
      <c r="Y90" s="2436"/>
      <c r="Z90" s="2436"/>
      <c r="AA90" s="2436"/>
      <c r="AB90" s="2436"/>
      <c r="AC90" s="2436"/>
    </row>
    <row r="91" spans="1:29" s="408" customFormat="1" ht="15.75"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5.75"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5.75"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5.75"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5.75"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5.75"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c r="A101" s="379" t="s">
        <v>1689</v>
      </c>
      <c r="B101" s="460" t="s">
        <v>1731</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7"/>
      <c r="B103" s="469" t="s">
        <v>1732</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5.75"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1733</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1735</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1185</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1819</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1736</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1737</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1820</v>
      </c>
      <c r="C119" s="513"/>
      <c r="D119" s="513"/>
      <c r="E119" s="513"/>
      <c r="F119" s="513"/>
      <c r="G119" s="513"/>
      <c r="H119" s="513"/>
      <c r="I119" s="513"/>
      <c r="J119" s="513"/>
      <c r="K119" s="513"/>
      <c r="L119" s="1813"/>
      <c r="M119" s="1814"/>
      <c r="N119" s="2519"/>
      <c r="O119" s="2519"/>
      <c r="P119" s="2532"/>
      <c r="Q119" s="2533"/>
      <c r="R119" s="2484"/>
      <c r="S119" s="2484"/>
      <c r="T119" s="2484"/>
      <c r="U119" s="2484"/>
      <c r="V119" s="2484"/>
      <c r="W119" s="2484"/>
      <c r="X119" s="2484"/>
      <c r="Y119" s="2484"/>
      <c r="Z119" s="2484"/>
      <c r="AA119" s="2484"/>
      <c r="AB119" s="2484"/>
      <c r="AC119" s="2484"/>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1803</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5.75"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1739</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9"/>
      <c r="B125" s="469" t="s">
        <v>1740</v>
      </c>
      <c r="C125" s="509" t="s">
        <v>1716</v>
      </c>
      <c r="D125" s="509" t="s">
        <v>1717</v>
      </c>
      <c r="E125" s="509" t="s">
        <v>1718</v>
      </c>
      <c r="F125" s="509" t="s">
        <v>1719</v>
      </c>
      <c r="G125" s="509" t="s">
        <v>1720</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5"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5.75"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5"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5.75"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5"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5.75"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1655</v>
      </c>
      <c r="B1" s="1805" t="s">
        <v>1821</v>
      </c>
      <c r="C1" s="1140" t="s">
        <v>1657</v>
      </c>
      <c r="D1" s="1141"/>
      <c r="E1" s="3128"/>
      <c r="F1" s="1734"/>
      <c r="G1" s="1151" t="s">
        <v>1762</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1457</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1458</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1459</v>
      </c>
      <c r="B3" s="536">
        <f>IF(C2="——",C43,ROUND(B2*10000/D3,0))</f>
        <v>0</v>
      </c>
      <c r="C3" s="344" t="s">
        <v>1763</v>
      </c>
      <c r="D3" s="343">
        <f>IF(D1="",'数据-汇总表'!E3,SUMIF('数据-汇总表'!$C19:$C33,D1,'数据-汇总表'!$E19:$E33))</f>
        <v>1232.79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1764</v>
      </c>
      <c r="B4" s="346"/>
      <c r="C4" s="3439" t="s">
        <v>1765</v>
      </c>
      <c r="D4" s="3440"/>
      <c r="E4" s="3441" t="s">
        <v>1766</v>
      </c>
      <c r="F4" s="3442"/>
      <c r="G4" s="3439" t="s">
        <v>1767</v>
      </c>
      <c r="H4" s="3440"/>
      <c r="I4" s="3439" t="s">
        <v>1768</v>
      </c>
      <c r="J4" s="3440"/>
      <c r="K4" s="537" t="s">
        <v>1769</v>
      </c>
      <c r="L4" s="860"/>
      <c r="M4" s="861"/>
      <c r="N4" s="861"/>
      <c r="O4" s="861"/>
      <c r="P4" s="3443" t="s">
        <v>1770</v>
      </c>
      <c r="Q4" s="3444"/>
      <c r="R4" s="3449" t="s">
        <v>1766</v>
      </c>
      <c r="S4" s="3450"/>
      <c r="T4" s="3449" t="s">
        <v>1767</v>
      </c>
      <c r="U4" s="3450"/>
      <c r="V4" s="3422" t="s">
        <v>1768</v>
      </c>
      <c r="W4" s="3422"/>
      <c r="X4" s="1264"/>
      <c r="Y4" s="3449" t="s">
        <v>1770</v>
      </c>
      <c r="Z4" s="3450"/>
      <c r="AA4" s="3436" t="s">
        <v>1766</v>
      </c>
      <c r="AB4" s="3437" t="s">
        <v>1767</v>
      </c>
      <c r="AC4" s="3436" t="s">
        <v>1768</v>
      </c>
    </row>
    <row r="5" spans="1:29" ht="15">
      <c r="A5" s="348"/>
      <c r="B5" s="349"/>
      <c r="C5" s="3457" t="s">
        <v>1668</v>
      </c>
      <c r="D5" s="3458"/>
      <c r="E5" s="3464" t="s">
        <v>1669</v>
      </c>
      <c r="F5" s="3465"/>
      <c r="G5" s="3457" t="s">
        <v>1670</v>
      </c>
      <c r="H5" s="3458"/>
      <c r="I5" s="3457" t="s">
        <v>1671</v>
      </c>
      <c r="J5" s="3458"/>
      <c r="K5" s="537"/>
      <c r="L5" s="860"/>
      <c r="M5" s="861"/>
      <c r="N5" s="861"/>
      <c r="O5" s="861"/>
      <c r="P5" s="3445"/>
      <c r="Q5" s="3446"/>
      <c r="R5" s="3451"/>
      <c r="S5" s="3452"/>
      <c r="T5" s="3451"/>
      <c r="U5" s="3452"/>
      <c r="V5" s="3422"/>
      <c r="W5" s="3422"/>
      <c r="X5" s="1264"/>
      <c r="Y5" s="3451"/>
      <c r="Z5" s="3452"/>
      <c r="AA5" s="3437"/>
      <c r="AB5" s="3437"/>
      <c r="AC5" s="3437"/>
    </row>
    <row r="6" spans="1:29" ht="15.75" thickBot="1">
      <c r="A6" s="350"/>
      <c r="B6" s="351"/>
      <c r="C6" s="3455" t="s">
        <v>1672</v>
      </c>
      <c r="D6" s="3456"/>
      <c r="E6" s="3462" t="s">
        <v>1672</v>
      </c>
      <c r="F6" s="3463"/>
      <c r="G6" s="3455" t="s">
        <v>1672</v>
      </c>
      <c r="H6" s="3456"/>
      <c r="I6" s="3455" t="s">
        <v>1672</v>
      </c>
      <c r="J6" s="3456"/>
      <c r="K6" s="537" t="s">
        <v>1673</v>
      </c>
      <c r="L6" s="860"/>
      <c r="M6" s="861"/>
      <c r="N6" s="861"/>
      <c r="O6" s="861"/>
      <c r="P6" s="3447"/>
      <c r="Q6" s="3448"/>
      <c r="R6" s="3451"/>
      <c r="S6" s="3452"/>
      <c r="T6" s="3453"/>
      <c r="U6" s="3454"/>
      <c r="V6" s="3422"/>
      <c r="W6" s="3422"/>
      <c r="X6" s="1264"/>
      <c r="Y6" s="3453"/>
      <c r="Z6" s="3454"/>
      <c r="AA6" s="3438"/>
      <c r="AB6" s="3438"/>
      <c r="AC6" s="3438"/>
    </row>
    <row r="7" spans="1:29" s="102" customFormat="1" ht="15.75" thickBot="1">
      <c r="A7" s="352" t="s">
        <v>1674</v>
      </c>
      <c r="B7" s="353"/>
      <c r="C7" s="354">
        <f>'数据-取费表'!B2</f>
        <v>45383</v>
      </c>
      <c r="D7" s="355">
        <v>100</v>
      </c>
      <c r="E7" s="356"/>
      <c r="F7" s="357">
        <f>SUMIF(52:52,YEAR(E7)&amp;"-"&amp;MONTH(E7),53:53)</f>
        <v>0</v>
      </c>
      <c r="G7" s="356"/>
      <c r="H7" s="355">
        <f>SUMIF(52:52,YEAR(G7)&amp;"-"&amp;MONTH(G7),53:53)</f>
        <v>0</v>
      </c>
      <c r="I7" s="356"/>
      <c r="J7" s="355">
        <f>SUMIF(52:52,YEAR(I7)&amp;"-"&amp;MONTH(I7),53:53)</f>
        <v>0</v>
      </c>
      <c r="K7" s="38"/>
      <c r="L7" s="862"/>
      <c r="M7" s="863"/>
      <c r="N7" s="863"/>
      <c r="O7" s="863"/>
      <c r="P7" s="3459" t="s">
        <v>1675</v>
      </c>
      <c r="Q7" s="3461"/>
      <c r="R7" s="664" t="s">
        <v>14</v>
      </c>
      <c r="S7" s="665">
        <f t="shared" ref="S7:S15" si="0">F7</f>
        <v>0</v>
      </c>
      <c r="T7" s="664" t="s">
        <v>14</v>
      </c>
      <c r="U7" s="665">
        <f t="shared" ref="U7:U15" si="1">H7</f>
        <v>0</v>
      </c>
      <c r="V7" s="664" t="s">
        <v>14</v>
      </c>
      <c r="W7" s="665">
        <f t="shared" ref="W7:W15" si="2">J7</f>
        <v>0</v>
      </c>
      <c r="X7" s="666"/>
      <c r="Y7" s="3459" t="s">
        <v>1675</v>
      </c>
      <c r="Z7" s="3460"/>
      <c r="AA7" s="50" t="e">
        <f>D7/F7</f>
        <v>#DIV/0!</v>
      </c>
      <c r="AB7" s="50" t="e">
        <f>D7/H7</f>
        <v>#DIV/0!</v>
      </c>
      <c r="AC7" s="50" t="e">
        <f>D7/J7</f>
        <v>#DIV/0!</v>
      </c>
    </row>
    <row r="8" spans="1:29" s="102" customFormat="1" ht="15.75" thickBot="1">
      <c r="A8" s="352" t="s">
        <v>1676</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59" t="s">
        <v>1678</v>
      </c>
      <c r="Q8" s="3460"/>
      <c r="R8" s="664" t="s">
        <v>14</v>
      </c>
      <c r="S8" s="665">
        <f t="shared" si="0"/>
        <v>100</v>
      </c>
      <c r="T8" s="664" t="s">
        <v>14</v>
      </c>
      <c r="U8" s="665">
        <f t="shared" si="1"/>
        <v>100</v>
      </c>
      <c r="V8" s="664" t="s">
        <v>14</v>
      </c>
      <c r="W8" s="665">
        <f t="shared" si="2"/>
        <v>100</v>
      </c>
      <c r="X8" s="666"/>
      <c r="Y8" s="3459" t="s">
        <v>1678</v>
      </c>
      <c r="Z8" s="3460"/>
      <c r="AA8" s="50">
        <f t="shared" ref="AA8:AA40" si="3">D8/F8</f>
        <v>1</v>
      </c>
      <c r="AB8" s="50">
        <f t="shared" ref="AB8:AB40" si="4">D8/H8</f>
        <v>1</v>
      </c>
      <c r="AC8" s="50">
        <f t="shared" ref="AC8:AC40" si="5">D8/J8</f>
        <v>1</v>
      </c>
    </row>
    <row r="9" spans="1:29" s="102" customFormat="1">
      <c r="A9" s="359" t="s">
        <v>1679</v>
      </c>
      <c r="B9" s="60" t="s">
        <v>1680</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1" t="s">
        <v>1681</v>
      </c>
      <c r="Q9" s="530" t="str">
        <f t="shared" ref="Q9:Q15" si="6">B9</f>
        <v>用途</v>
      </c>
      <c r="R9" s="664" t="s">
        <v>14</v>
      </c>
      <c r="S9" s="665">
        <f t="shared" si="0"/>
        <v>100</v>
      </c>
      <c r="T9" s="664" t="s">
        <v>14</v>
      </c>
      <c r="U9" s="665">
        <f t="shared" si="1"/>
        <v>100</v>
      </c>
      <c r="V9" s="664" t="s">
        <v>14</v>
      </c>
      <c r="W9" s="665">
        <f t="shared" si="2"/>
        <v>100</v>
      </c>
      <c r="X9" s="666"/>
      <c r="Y9" s="3299" t="s">
        <v>1682</v>
      </c>
      <c r="Z9" s="50" t="str">
        <f t="shared" ref="Z9:Z15" si="7">Q9</f>
        <v>用途</v>
      </c>
      <c r="AA9" s="50">
        <f t="shared" si="3"/>
        <v>1</v>
      </c>
      <c r="AB9" s="50">
        <f t="shared" si="4"/>
        <v>1</v>
      </c>
      <c r="AC9" s="50">
        <f t="shared" si="5"/>
        <v>1</v>
      </c>
    </row>
    <row r="10" spans="1:29" s="366" customFormat="1" ht="27">
      <c r="A10" s="363"/>
      <c r="B10" s="364" t="s">
        <v>1683</v>
      </c>
      <c r="C10" s="3129"/>
      <c r="D10" s="119">
        <v>100</v>
      </c>
      <c r="E10" s="3129"/>
      <c r="F10" s="119">
        <f>SUMIF(59:59,E10,60:60)-SUMIF(59:59,C10,60:60)+100</f>
        <v>100</v>
      </c>
      <c r="G10" s="3130"/>
      <c r="H10" s="119">
        <f>SUMIF(59:59,G10,60:60)-SUMIF(59:59,C10,60:60)+100</f>
        <v>100</v>
      </c>
      <c r="I10" s="3129"/>
      <c r="J10" s="119">
        <f>SUMIF(59:59,I10,60:60)-SUMIF(59:59,C10,60:60)+100</f>
        <v>100</v>
      </c>
      <c r="K10" s="38"/>
      <c r="L10" s="865"/>
      <c r="M10" s="866"/>
      <c r="N10" s="866"/>
      <c r="O10" s="867"/>
      <c r="P10" s="3421"/>
      <c r="Q10" s="530" t="str">
        <f t="shared" si="6"/>
        <v>土地使用年限（年）</v>
      </c>
      <c r="R10" s="664" t="s">
        <v>14</v>
      </c>
      <c r="S10" s="665">
        <f t="shared" si="0"/>
        <v>100</v>
      </c>
      <c r="T10" s="664" t="s">
        <v>14</v>
      </c>
      <c r="U10" s="665">
        <f t="shared" si="1"/>
        <v>100</v>
      </c>
      <c r="V10" s="664" t="s">
        <v>14</v>
      </c>
      <c r="W10" s="665">
        <f t="shared" si="2"/>
        <v>100</v>
      </c>
      <c r="X10" s="666"/>
      <c r="Y10" s="3299"/>
      <c r="Z10" s="50" t="str">
        <f t="shared" si="7"/>
        <v>土地使用年限（年）</v>
      </c>
      <c r="AA10" s="50">
        <f t="shared" si="3"/>
        <v>1</v>
      </c>
      <c r="AB10" s="50">
        <f t="shared" si="4"/>
        <v>1</v>
      </c>
      <c r="AC10" s="50">
        <f t="shared" si="5"/>
        <v>1</v>
      </c>
    </row>
    <row r="11" spans="1:29" ht="15">
      <c r="A11" s="367"/>
      <c r="B11" s="364" t="s">
        <v>1684</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1"/>
      <c r="Q11" s="530" t="str">
        <f t="shared" si="6"/>
        <v>容积率</v>
      </c>
      <c r="R11" s="664" t="s">
        <v>14</v>
      </c>
      <c r="S11" s="665">
        <f t="shared" si="0"/>
        <v>100</v>
      </c>
      <c r="T11" s="664" t="s">
        <v>14</v>
      </c>
      <c r="U11" s="665">
        <f t="shared" si="1"/>
        <v>100</v>
      </c>
      <c r="V11" s="664" t="s">
        <v>14</v>
      </c>
      <c r="W11" s="665">
        <f t="shared" si="2"/>
        <v>100</v>
      </c>
      <c r="X11" s="666"/>
      <c r="Y11" s="329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62"/>
      <c r="M12" s="863"/>
      <c r="N12" s="863"/>
      <c r="O12" s="864"/>
      <c r="P12" s="3421"/>
      <c r="Q12" s="530">
        <f t="shared" si="6"/>
        <v>111</v>
      </c>
      <c r="R12" s="664" t="s">
        <v>14</v>
      </c>
      <c r="S12" s="665">
        <f t="shared" si="0"/>
        <v>100</v>
      </c>
      <c r="T12" s="664" t="s">
        <v>14</v>
      </c>
      <c r="U12" s="665">
        <f t="shared" si="1"/>
        <v>100</v>
      </c>
      <c r="V12" s="664" t="s">
        <v>14</v>
      </c>
      <c r="W12" s="665">
        <f t="shared" si="2"/>
        <v>100</v>
      </c>
      <c r="X12" s="666"/>
      <c r="Y12" s="329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70"/>
      <c r="M13" s="861"/>
      <c r="N13" s="861"/>
      <c r="O13" s="869"/>
      <c r="P13" s="3421"/>
      <c r="Q13" s="530">
        <f t="shared" si="6"/>
        <v>111</v>
      </c>
      <c r="R13" s="664" t="s">
        <v>14</v>
      </c>
      <c r="S13" s="665">
        <f t="shared" si="0"/>
        <v>100</v>
      </c>
      <c r="T13" s="664" t="s">
        <v>14</v>
      </c>
      <c r="U13" s="665">
        <f t="shared" si="1"/>
        <v>100</v>
      </c>
      <c r="V13" s="664" t="s">
        <v>14</v>
      </c>
      <c r="W13" s="665">
        <f t="shared" si="2"/>
        <v>100</v>
      </c>
      <c r="X13" s="666"/>
      <c r="Y13" s="3299"/>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5"/>
      <c r="H14" s="377">
        <f>SUMIF(68:68,G14,69:69)-SUMIF(68:68,C14,69:69)+100</f>
        <v>100</v>
      </c>
      <c r="I14" s="407"/>
      <c r="J14" s="377">
        <f>SUMIF(68:68,I14,69:69)-SUMIF(68:68,C14,69:69)+100</f>
        <v>100</v>
      </c>
      <c r="K14" s="539"/>
      <c r="L14" s="870"/>
      <c r="M14" s="861"/>
      <c r="N14" s="861"/>
      <c r="O14" s="869"/>
      <c r="P14" s="3421"/>
      <c r="Q14" s="530">
        <f t="shared" si="6"/>
        <v>111</v>
      </c>
      <c r="R14" s="664" t="s">
        <v>14</v>
      </c>
      <c r="S14" s="665">
        <f t="shared" si="0"/>
        <v>100</v>
      </c>
      <c r="T14" s="664" t="s">
        <v>14</v>
      </c>
      <c r="U14" s="665">
        <f t="shared" si="1"/>
        <v>100</v>
      </c>
      <c r="V14" s="664" t="s">
        <v>14</v>
      </c>
      <c r="W14" s="665">
        <f t="shared" si="2"/>
        <v>100</v>
      </c>
      <c r="X14" s="666"/>
      <c r="Y14" s="3299"/>
      <c r="Z14" s="50">
        <f t="shared" si="7"/>
        <v>111</v>
      </c>
      <c r="AA14" s="50">
        <f t="shared" si="3"/>
        <v>1</v>
      </c>
      <c r="AB14" s="50">
        <f t="shared" si="4"/>
        <v>1</v>
      </c>
      <c r="AC14" s="50">
        <f t="shared" si="5"/>
        <v>1</v>
      </c>
    </row>
    <row r="15" spans="1:29" ht="15">
      <c r="A15" s="379" t="s">
        <v>1685</v>
      </c>
      <c r="B15" s="58" t="s">
        <v>1822</v>
      </c>
      <c r="C15" s="1816">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8" t="s">
        <v>1686</v>
      </c>
      <c r="Q15" s="1262" t="str">
        <f t="shared" si="6"/>
        <v>产业集聚程度</v>
      </c>
      <c r="R15" s="667" t="s">
        <v>14</v>
      </c>
      <c r="S15" s="668">
        <f t="shared" si="0"/>
        <v>100</v>
      </c>
      <c r="T15" s="667" t="s">
        <v>14</v>
      </c>
      <c r="U15" s="668">
        <f t="shared" si="1"/>
        <v>100</v>
      </c>
      <c r="V15" s="667" t="s">
        <v>14</v>
      </c>
      <c r="W15" s="668">
        <f t="shared" si="2"/>
        <v>100</v>
      </c>
      <c r="X15" s="1264"/>
      <c r="Y15" s="3428" t="s">
        <v>1686</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29"/>
      <c r="Q16" s="1262"/>
      <c r="R16" s="667"/>
      <c r="S16" s="668"/>
      <c r="T16" s="667"/>
      <c r="U16" s="668"/>
      <c r="V16" s="667"/>
      <c r="W16" s="668"/>
      <c r="X16" s="1264"/>
      <c r="Y16" s="3429"/>
      <c r="Z16" s="1263"/>
      <c r="AA16" s="1263">
        <v>1</v>
      </c>
      <c r="AB16" s="1263">
        <v>1</v>
      </c>
      <c r="AC16" s="1263">
        <v>1</v>
      </c>
    </row>
    <row r="17" spans="1:29" ht="15">
      <c r="A17" s="367"/>
      <c r="B17" s="390" t="s">
        <v>1254</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9"/>
      <c r="Q17" s="1262" t="str">
        <f>B17</f>
        <v>交通便捷度</v>
      </c>
      <c r="R17" s="667" t="s">
        <v>14</v>
      </c>
      <c r="S17" s="668">
        <f>F17</f>
        <v>100</v>
      </c>
      <c r="T17" s="667" t="s">
        <v>14</v>
      </c>
      <c r="U17" s="668">
        <f>H17</f>
        <v>100</v>
      </c>
      <c r="V17" s="667" t="s">
        <v>14</v>
      </c>
      <c r="W17" s="668">
        <f>J17</f>
        <v>100</v>
      </c>
      <c r="X17" s="1264"/>
      <c r="Y17" s="3429"/>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29"/>
      <c r="Q18" s="1262"/>
      <c r="R18" s="667"/>
      <c r="S18" s="668"/>
      <c r="T18" s="667"/>
      <c r="U18" s="668"/>
      <c r="V18" s="667"/>
      <c r="W18" s="668"/>
      <c r="X18" s="1264"/>
      <c r="Y18" s="3429"/>
      <c r="Z18" s="1263"/>
      <c r="AA18" s="1263">
        <v>1</v>
      </c>
      <c r="AB18" s="1263">
        <v>1</v>
      </c>
      <c r="AC18" s="1263">
        <v>1</v>
      </c>
    </row>
    <row r="19" spans="1:29" ht="15">
      <c r="A19" s="367"/>
      <c r="B19" s="390" t="s">
        <v>1807</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9"/>
      <c r="Q19" s="1262" t="str">
        <f>B19</f>
        <v>公共配套设施</v>
      </c>
      <c r="R19" s="667" t="s">
        <v>14</v>
      </c>
      <c r="S19" s="668">
        <f>F19</f>
        <v>100</v>
      </c>
      <c r="T19" s="667" t="s">
        <v>14</v>
      </c>
      <c r="U19" s="668">
        <f>H19</f>
        <v>100</v>
      </c>
      <c r="V19" s="667" t="s">
        <v>14</v>
      </c>
      <c r="W19" s="668">
        <f>J19</f>
        <v>100</v>
      </c>
      <c r="X19" s="1264"/>
      <c r="Y19" s="3429"/>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29"/>
      <c r="Q20" s="1262"/>
      <c r="R20" s="667"/>
      <c r="S20" s="668"/>
      <c r="T20" s="667"/>
      <c r="U20" s="668"/>
      <c r="V20" s="667"/>
      <c r="W20" s="668"/>
      <c r="X20" s="1264"/>
      <c r="Y20" s="3429"/>
      <c r="Z20" s="1263"/>
      <c r="AA20" s="1263">
        <v>1</v>
      </c>
      <c r="AB20" s="1263">
        <v>1</v>
      </c>
      <c r="AC20" s="1263">
        <v>1</v>
      </c>
    </row>
    <row r="21" spans="1:29" ht="15">
      <c r="A21" s="367"/>
      <c r="B21" s="586" t="s">
        <v>1808</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9"/>
      <c r="Q21" s="1262" t="str">
        <f>B21</f>
        <v>基础设施水平</v>
      </c>
      <c r="R21" s="667" t="s">
        <v>14</v>
      </c>
      <c r="S21" s="668">
        <f>F21</f>
        <v>100</v>
      </c>
      <c r="T21" s="667" t="s">
        <v>14</v>
      </c>
      <c r="U21" s="668">
        <f>H21</f>
        <v>100</v>
      </c>
      <c r="V21" s="667" t="s">
        <v>14</v>
      </c>
      <c r="W21" s="668">
        <f>J21</f>
        <v>100</v>
      </c>
      <c r="X21" s="1264"/>
      <c r="Y21" s="342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429"/>
      <c r="Q22" s="1262"/>
      <c r="R22" s="667"/>
      <c r="S22" s="668"/>
      <c r="T22" s="667"/>
      <c r="U22" s="668"/>
      <c r="V22" s="667"/>
      <c r="W22" s="668"/>
      <c r="X22" s="1264"/>
      <c r="Y22" s="3429"/>
      <c r="Z22" s="1263"/>
      <c r="AA22" s="1263">
        <v>1</v>
      </c>
      <c r="AB22" s="1263">
        <v>1</v>
      </c>
      <c r="AC22" s="1263">
        <v>1</v>
      </c>
    </row>
    <row r="23" spans="1:29" ht="15">
      <c r="A23" s="367"/>
      <c r="B23" s="390" t="s">
        <v>1809</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9"/>
      <c r="Q23" s="1262" t="str">
        <f>B23</f>
        <v>环境质量</v>
      </c>
      <c r="R23" s="667" t="s">
        <v>14</v>
      </c>
      <c r="S23" s="668">
        <f>F23</f>
        <v>100</v>
      </c>
      <c r="T23" s="667" t="s">
        <v>14</v>
      </c>
      <c r="U23" s="668">
        <f>H23</f>
        <v>100</v>
      </c>
      <c r="V23" s="667" t="s">
        <v>14</v>
      </c>
      <c r="W23" s="668">
        <f>J23</f>
        <v>100</v>
      </c>
      <c r="X23" s="1264"/>
      <c r="Y23" s="3429"/>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29"/>
      <c r="Q24" s="1262"/>
      <c r="R24" s="667"/>
      <c r="S24" s="668"/>
      <c r="T24" s="667"/>
      <c r="U24" s="668"/>
      <c r="V24" s="667"/>
      <c r="W24" s="668"/>
      <c r="X24" s="1264"/>
      <c r="Y24" s="3429"/>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9"/>
      <c r="Q25" s="1262">
        <f>B25</f>
        <v>111</v>
      </c>
      <c r="R25" s="667" t="s">
        <v>14</v>
      </c>
      <c r="S25" s="668">
        <f>F25</f>
        <v>100</v>
      </c>
      <c r="T25" s="667" t="s">
        <v>14</v>
      </c>
      <c r="U25" s="668">
        <f>H25</f>
        <v>100</v>
      </c>
      <c r="V25" s="667" t="s">
        <v>14</v>
      </c>
      <c r="W25" s="668">
        <f>J25</f>
        <v>100</v>
      </c>
      <c r="X25" s="1264"/>
      <c r="Y25" s="3429"/>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9"/>
      <c r="Q26" s="1262">
        <f t="shared" ref="Q26:Q40" si="11">B26</f>
        <v>111</v>
      </c>
      <c r="R26" s="667" t="s">
        <v>14</v>
      </c>
      <c r="S26" s="668">
        <f>F26</f>
        <v>100</v>
      </c>
      <c r="T26" s="667" t="s">
        <v>14</v>
      </c>
      <c r="U26" s="668">
        <f>H26</f>
        <v>100</v>
      </c>
      <c r="V26" s="667" t="s">
        <v>14</v>
      </c>
      <c r="W26" s="668">
        <f>J26</f>
        <v>100</v>
      </c>
      <c r="X26" s="1264"/>
      <c r="Y26" s="3429"/>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9"/>
      <c r="Q27" s="530">
        <f t="shared" si="11"/>
        <v>111</v>
      </c>
      <c r="R27" s="664" t="s">
        <v>14</v>
      </c>
      <c r="S27" s="665">
        <f>F27</f>
        <v>100</v>
      </c>
      <c r="T27" s="664" t="s">
        <v>14</v>
      </c>
      <c r="U27" s="665">
        <f>H27</f>
        <v>100</v>
      </c>
      <c r="V27" s="664" t="s">
        <v>14</v>
      </c>
      <c r="W27" s="665">
        <f>J27</f>
        <v>100</v>
      </c>
      <c r="X27" s="666"/>
      <c r="Y27" s="3429"/>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9"/>
      <c r="Q28" s="1262">
        <f t="shared" si="11"/>
        <v>111</v>
      </c>
      <c r="R28" s="667" t="s">
        <v>14</v>
      </c>
      <c r="S28" s="668">
        <f t="shared" ref="S28:S40" si="12">F28</f>
        <v>100</v>
      </c>
      <c r="T28" s="667" t="s">
        <v>14</v>
      </c>
      <c r="U28" s="668">
        <f t="shared" ref="U28:U40" si="13">H28</f>
        <v>100</v>
      </c>
      <c r="V28" s="667" t="s">
        <v>14</v>
      </c>
      <c r="W28" s="668">
        <f t="shared" ref="W28:W40" si="14">J28</f>
        <v>100</v>
      </c>
      <c r="X28" s="1264"/>
      <c r="Y28" s="3429"/>
      <c r="Z28" s="1263">
        <f t="shared" ref="Z28:Z40" si="15">Q28</f>
        <v>111</v>
      </c>
      <c r="AA28" s="1263">
        <f t="shared" si="3"/>
        <v>1</v>
      </c>
      <c r="AB28" s="1263">
        <f t="shared" si="4"/>
        <v>1</v>
      </c>
      <c r="AC28" s="1263">
        <f t="shared" si="5"/>
        <v>1</v>
      </c>
    </row>
    <row r="29" spans="1:29" ht="28.5">
      <c r="A29" s="404" t="s">
        <v>1689</v>
      </c>
      <c r="B29" s="60" t="s">
        <v>1812</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81" t="s">
        <v>1691</v>
      </c>
      <c r="Q29" s="1262" t="str">
        <f t="shared" si="11"/>
        <v>建筑类型</v>
      </c>
      <c r="R29" s="667" t="s">
        <v>14</v>
      </c>
      <c r="S29" s="668">
        <f t="shared" si="12"/>
        <v>100</v>
      </c>
      <c r="T29" s="667" t="s">
        <v>14</v>
      </c>
      <c r="U29" s="668">
        <f t="shared" si="13"/>
        <v>100</v>
      </c>
      <c r="V29" s="667" t="s">
        <v>14</v>
      </c>
      <c r="W29" s="668">
        <f t="shared" si="14"/>
        <v>100</v>
      </c>
      <c r="X29" s="1264"/>
      <c r="Y29" s="3433" t="s">
        <v>1691</v>
      </c>
      <c r="Z29" s="1263" t="str">
        <f t="shared" si="15"/>
        <v>建筑类型</v>
      </c>
      <c r="AA29" s="1263">
        <f t="shared" si="3"/>
        <v>1</v>
      </c>
      <c r="AB29" s="1263">
        <f t="shared" si="4"/>
        <v>1</v>
      </c>
      <c r="AC29" s="1263">
        <f t="shared" si="5"/>
        <v>1</v>
      </c>
    </row>
    <row r="30" spans="1:29" s="408" customFormat="1" ht="15">
      <c r="A30" s="406"/>
      <c r="B30" s="364" t="s">
        <v>1692</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3"/>
      <c r="Q30" s="531" t="str">
        <f t="shared" si="11"/>
        <v>项目建筑规模</v>
      </c>
      <c r="R30" s="669" t="s">
        <v>14</v>
      </c>
      <c r="S30" s="670" t="e">
        <f t="shared" si="12"/>
        <v>#N/A</v>
      </c>
      <c r="T30" s="669" t="s">
        <v>14</v>
      </c>
      <c r="U30" s="670" t="e">
        <f t="shared" si="13"/>
        <v>#N/A</v>
      </c>
      <c r="V30" s="669" t="s">
        <v>14</v>
      </c>
      <c r="W30" s="670" t="e">
        <f t="shared" si="14"/>
        <v>#N/A</v>
      </c>
      <c r="X30" s="671"/>
      <c r="Y30" s="3433"/>
      <c r="Z30" s="672" t="str">
        <f t="shared" si="15"/>
        <v>项目建筑规模</v>
      </c>
      <c r="AA30" s="1263" t="e">
        <f t="shared" si="3"/>
        <v>#N/A</v>
      </c>
      <c r="AB30" s="1263" t="e">
        <f t="shared" si="4"/>
        <v>#N/A</v>
      </c>
      <c r="AC30" s="1263" t="e">
        <f t="shared" si="5"/>
        <v>#N/A</v>
      </c>
    </row>
    <row r="31" spans="1:29" ht="15">
      <c r="A31" s="409"/>
      <c r="B31" s="364" t="s">
        <v>1693</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3"/>
      <c r="Q31" s="1262" t="str">
        <f t="shared" si="11"/>
        <v>建筑结构</v>
      </c>
      <c r="R31" s="667" t="s">
        <v>14</v>
      </c>
      <c r="S31" s="668">
        <f t="shared" si="12"/>
        <v>100</v>
      </c>
      <c r="T31" s="667" t="s">
        <v>14</v>
      </c>
      <c r="U31" s="668">
        <f t="shared" si="13"/>
        <v>100</v>
      </c>
      <c r="V31" s="667" t="s">
        <v>14</v>
      </c>
      <c r="W31" s="668">
        <f t="shared" si="14"/>
        <v>100</v>
      </c>
      <c r="X31" s="1264"/>
      <c r="Y31" s="3433"/>
      <c r="Z31" s="1263" t="str">
        <f t="shared" si="15"/>
        <v>建筑结构</v>
      </c>
      <c r="AA31" s="1263">
        <f t="shared" si="3"/>
        <v>1</v>
      </c>
      <c r="AB31" s="1263">
        <f t="shared" si="4"/>
        <v>1</v>
      </c>
      <c r="AC31" s="1263">
        <f t="shared" si="5"/>
        <v>1</v>
      </c>
    </row>
    <row r="32" spans="1:29" ht="15">
      <c r="A32" s="409"/>
      <c r="B32" s="364" t="s">
        <v>1780</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3"/>
      <c r="Q32" s="1262" t="str">
        <f t="shared" si="11"/>
        <v>公共部分装修</v>
      </c>
      <c r="R32" s="667" t="s">
        <v>14</v>
      </c>
      <c r="S32" s="668">
        <f t="shared" si="12"/>
        <v>100</v>
      </c>
      <c r="T32" s="667" t="s">
        <v>14</v>
      </c>
      <c r="U32" s="668">
        <f t="shared" si="13"/>
        <v>100</v>
      </c>
      <c r="V32" s="667" t="s">
        <v>14</v>
      </c>
      <c r="W32" s="668">
        <f t="shared" si="14"/>
        <v>100</v>
      </c>
      <c r="X32" s="1264"/>
      <c r="Y32" s="3433"/>
      <c r="Z32" s="1263" t="str">
        <f t="shared" si="15"/>
        <v>公共部分装修</v>
      </c>
      <c r="AA32" s="1263">
        <f t="shared" si="3"/>
        <v>1</v>
      </c>
      <c r="AB32" s="1263">
        <f t="shared" si="4"/>
        <v>1</v>
      </c>
      <c r="AC32" s="1263">
        <f t="shared" si="5"/>
        <v>1</v>
      </c>
    </row>
    <row r="33" spans="1:29" ht="15">
      <c r="A33" s="409"/>
      <c r="B33" s="364" t="s">
        <v>1781</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3"/>
      <c r="Q33" s="1262" t="str">
        <f t="shared" si="11"/>
        <v>成新度</v>
      </c>
      <c r="R33" s="667" t="s">
        <v>14</v>
      </c>
      <c r="S33" s="668" t="e">
        <f t="shared" si="12"/>
        <v>#N/A</v>
      </c>
      <c r="T33" s="667" t="s">
        <v>14</v>
      </c>
      <c r="U33" s="668" t="e">
        <f t="shared" si="13"/>
        <v>#N/A</v>
      </c>
      <c r="V33" s="667" t="s">
        <v>14</v>
      </c>
      <c r="W33" s="668" t="e">
        <f t="shared" si="14"/>
        <v>#N/A</v>
      </c>
      <c r="X33" s="1264"/>
      <c r="Y33" s="3433"/>
      <c r="Z33" s="1263" t="str">
        <f t="shared" si="15"/>
        <v>成新度</v>
      </c>
      <c r="AA33" s="1263" t="e">
        <f t="shared" si="3"/>
        <v>#N/A</v>
      </c>
      <c r="AB33" s="1263" t="e">
        <f t="shared" si="4"/>
        <v>#N/A</v>
      </c>
      <c r="AC33" s="1263" t="e">
        <f t="shared" si="5"/>
        <v>#N/A</v>
      </c>
    </row>
    <row r="34" spans="1:29" s="102" customFormat="1" ht="15">
      <c r="A34" s="410"/>
      <c r="B34" s="364" t="s">
        <v>1814</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3"/>
      <c r="Q34" s="530" t="str">
        <f t="shared" si="11"/>
        <v>物业管理</v>
      </c>
      <c r="R34" s="664" t="s">
        <v>14</v>
      </c>
      <c r="S34" s="665">
        <f t="shared" si="12"/>
        <v>100</v>
      </c>
      <c r="T34" s="664" t="s">
        <v>14</v>
      </c>
      <c r="U34" s="665">
        <f t="shared" si="13"/>
        <v>100</v>
      </c>
      <c r="V34" s="664" t="s">
        <v>14</v>
      </c>
      <c r="W34" s="665">
        <f t="shared" si="14"/>
        <v>100</v>
      </c>
      <c r="X34" s="666"/>
      <c r="Y34" s="3433"/>
      <c r="Z34" s="50" t="str">
        <f t="shared" si="15"/>
        <v>物业管理</v>
      </c>
      <c r="AA34" s="50">
        <f t="shared" si="3"/>
        <v>1</v>
      </c>
      <c r="AB34" s="50">
        <f t="shared" si="4"/>
        <v>1</v>
      </c>
      <c r="AC34" s="50">
        <f t="shared" si="5"/>
        <v>1</v>
      </c>
    </row>
    <row r="35" spans="1:29" ht="15">
      <c r="A35" s="409"/>
      <c r="B35" s="364" t="s">
        <v>1782</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3" t="s">
        <v>1691</v>
      </c>
      <c r="Q35" s="1262" t="str">
        <f t="shared" si="11"/>
        <v>市政基础设施</v>
      </c>
      <c r="R35" s="667" t="s">
        <v>14</v>
      </c>
      <c r="S35" s="668">
        <f t="shared" si="12"/>
        <v>100</v>
      </c>
      <c r="T35" s="667" t="s">
        <v>14</v>
      </c>
      <c r="U35" s="668">
        <f t="shared" si="13"/>
        <v>100</v>
      </c>
      <c r="V35" s="667" t="s">
        <v>14</v>
      </c>
      <c r="W35" s="668">
        <f t="shared" si="14"/>
        <v>100</v>
      </c>
      <c r="X35" s="1264"/>
      <c r="Y35" s="3433" t="s">
        <v>1691</v>
      </c>
      <c r="Z35" s="1263" t="str">
        <f t="shared" si="15"/>
        <v>市政基础设施</v>
      </c>
      <c r="AA35" s="1263">
        <f t="shared" si="3"/>
        <v>1</v>
      </c>
      <c r="AB35" s="1263">
        <f t="shared" si="4"/>
        <v>1</v>
      </c>
      <c r="AC35" s="1263">
        <f t="shared" si="5"/>
        <v>1</v>
      </c>
    </row>
    <row r="36" spans="1:29" ht="15">
      <c r="A36" s="409"/>
      <c r="B36" s="364" t="s">
        <v>1787</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3"/>
      <c r="Q36" s="1262" t="str">
        <f t="shared" si="11"/>
        <v>内部装修</v>
      </c>
      <c r="R36" s="667" t="s">
        <v>14</v>
      </c>
      <c r="S36" s="668">
        <f t="shared" si="12"/>
        <v>100</v>
      </c>
      <c r="T36" s="667" t="s">
        <v>14</v>
      </c>
      <c r="U36" s="668">
        <f t="shared" si="13"/>
        <v>100</v>
      </c>
      <c r="V36" s="667" t="s">
        <v>14</v>
      </c>
      <c r="W36" s="668">
        <f t="shared" si="14"/>
        <v>100</v>
      </c>
      <c r="X36" s="1264"/>
      <c r="Y36" s="3433"/>
      <c r="Z36" s="1263" t="str">
        <f t="shared" si="15"/>
        <v>内部装修</v>
      </c>
      <c r="AA36" s="1263">
        <f t="shared" si="3"/>
        <v>1</v>
      </c>
      <c r="AB36" s="1263">
        <f t="shared" si="4"/>
        <v>1</v>
      </c>
      <c r="AC36" s="1263">
        <f t="shared" si="5"/>
        <v>1</v>
      </c>
    </row>
    <row r="37" spans="1:29" ht="15">
      <c r="A37" s="409"/>
      <c r="B37" s="364" t="s">
        <v>1823</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3"/>
      <c r="Q37" s="1262" t="str">
        <f t="shared" si="11"/>
        <v>内部装修状况</v>
      </c>
      <c r="R37" s="667" t="s">
        <v>14</v>
      </c>
      <c r="S37" s="668">
        <f t="shared" si="12"/>
        <v>100</v>
      </c>
      <c r="T37" s="667" t="s">
        <v>14</v>
      </c>
      <c r="U37" s="668">
        <f t="shared" si="13"/>
        <v>100</v>
      </c>
      <c r="V37" s="667" t="s">
        <v>14</v>
      </c>
      <c r="W37" s="668">
        <f t="shared" si="14"/>
        <v>100</v>
      </c>
      <c r="X37" s="1264"/>
      <c r="Y37" s="3433"/>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3"/>
      <c r="Q38" s="531">
        <f t="shared" si="11"/>
        <v>111</v>
      </c>
      <c r="R38" s="669" t="s">
        <v>14</v>
      </c>
      <c r="S38" s="670">
        <f t="shared" si="12"/>
        <v>100</v>
      </c>
      <c r="T38" s="669" t="s">
        <v>14</v>
      </c>
      <c r="U38" s="670">
        <f t="shared" si="13"/>
        <v>100</v>
      </c>
      <c r="V38" s="669" t="s">
        <v>14</v>
      </c>
      <c r="W38" s="670">
        <f t="shared" si="14"/>
        <v>100</v>
      </c>
      <c r="X38" s="671"/>
      <c r="Y38" s="3433"/>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3"/>
      <c r="Q39" s="1262">
        <f t="shared" si="11"/>
        <v>111</v>
      </c>
      <c r="R39" s="667" t="s">
        <v>14</v>
      </c>
      <c r="S39" s="668">
        <f t="shared" si="12"/>
        <v>100</v>
      </c>
      <c r="T39" s="667" t="s">
        <v>14</v>
      </c>
      <c r="U39" s="668">
        <f t="shared" si="13"/>
        <v>100</v>
      </c>
      <c r="V39" s="667" t="s">
        <v>14</v>
      </c>
      <c r="W39" s="668">
        <f t="shared" si="14"/>
        <v>100</v>
      </c>
      <c r="X39" s="1264"/>
      <c r="Y39" s="3433"/>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4"/>
      <c r="Q40" s="1262">
        <f t="shared" si="11"/>
        <v>111</v>
      </c>
      <c r="R40" s="667" t="s">
        <v>14</v>
      </c>
      <c r="S40" s="668">
        <f t="shared" si="12"/>
        <v>100</v>
      </c>
      <c r="T40" s="667" t="s">
        <v>14</v>
      </c>
      <c r="U40" s="668">
        <f t="shared" si="13"/>
        <v>100</v>
      </c>
      <c r="V40" s="667" t="s">
        <v>14</v>
      </c>
      <c r="W40" s="668">
        <f t="shared" si="14"/>
        <v>100</v>
      </c>
      <c r="X40" s="1264"/>
      <c r="Y40" s="3434"/>
      <c r="Z40" s="1263">
        <f t="shared" si="15"/>
        <v>111</v>
      </c>
      <c r="AA40" s="1263">
        <f t="shared" si="3"/>
        <v>1</v>
      </c>
      <c r="AB40" s="1263">
        <f t="shared" si="4"/>
        <v>1</v>
      </c>
      <c r="AC40" s="1263">
        <f t="shared" si="5"/>
        <v>1</v>
      </c>
    </row>
    <row r="41" spans="1:29" ht="15">
      <c r="A41" s="416" t="s">
        <v>1703</v>
      </c>
      <c r="B41" s="417"/>
      <c r="C41" s="1081" t="s">
        <v>0</v>
      </c>
      <c r="D41" s="418"/>
      <c r="E41" s="419"/>
      <c r="F41" s="420"/>
      <c r="G41" s="421"/>
      <c r="H41" s="422"/>
      <c r="I41" s="419"/>
      <c r="J41" s="422"/>
      <c r="K41" s="674"/>
      <c r="L41" s="873"/>
      <c r="M41" s="861"/>
      <c r="N41" s="861"/>
      <c r="O41" s="861"/>
      <c r="P41" s="3421" t="str">
        <f>A41</f>
        <v>成交单价（元/平方米）</v>
      </c>
      <c r="Q41" s="3421"/>
      <c r="R41" s="3422">
        <f>E41</f>
        <v>0</v>
      </c>
      <c r="S41" s="3422"/>
      <c r="T41" s="3422">
        <f>G41</f>
        <v>0</v>
      </c>
      <c r="U41" s="3422"/>
      <c r="V41" s="3422">
        <f>I41</f>
        <v>0</v>
      </c>
      <c r="W41" s="3422"/>
      <c r="X41" s="385"/>
      <c r="Y41" s="673"/>
      <c r="Z41" s="385"/>
      <c r="AA41" s="385"/>
      <c r="AB41" s="385"/>
      <c r="AC41" s="385"/>
    </row>
    <row r="42" spans="1:29" ht="15.75" thickBot="1">
      <c r="A42" s="423" t="s">
        <v>1788</v>
      </c>
      <c r="B42" s="424"/>
      <c r="C42" s="1082" t="e">
        <f>R43</f>
        <v>#DIV/0!</v>
      </c>
      <c r="D42" s="2138" t="s">
        <v>2132</v>
      </c>
      <c r="E42" s="1083" t="e">
        <f>R42</f>
        <v>#DIV/0!</v>
      </c>
      <c r="F42" s="2139"/>
      <c r="G42" s="1082" t="e">
        <f>T42</f>
        <v>#DIV/0!</v>
      </c>
      <c r="H42" s="2139"/>
      <c r="I42" s="1083" t="e">
        <f>V42</f>
        <v>#DIV/0!</v>
      </c>
      <c r="J42" s="2139"/>
      <c r="K42" s="2141">
        <f>F42+H42+J42</f>
        <v>0</v>
      </c>
      <c r="L42" s="873"/>
      <c r="M42" s="861"/>
      <c r="N42" s="861"/>
      <c r="O42" s="861"/>
      <c r="P42" s="3421" t="str">
        <f>A42</f>
        <v>比较价值（元/平方米）</v>
      </c>
      <c r="Q42" s="3421"/>
      <c r="R42" s="3422" t="e">
        <f>IF(F1="售价",ROUND(PRODUCT(R41,AA7:AA40),0),ROUND(PRODUCT(R41,AA7:AA40),1))</f>
        <v>#DIV/0!</v>
      </c>
      <c r="S42" s="3422"/>
      <c r="T42" s="3422" t="e">
        <f>IF(F1="售价",ROUND(PRODUCT(T41,AB7:AB40),0),ROUND(PRODUCT(T41,AB7:AB40),1))</f>
        <v>#DIV/0!</v>
      </c>
      <c r="U42" s="3422"/>
      <c r="V42" s="3422" t="e">
        <f>IF(F1="售价",ROUND(PRODUCT(V41,AC7:AC40),0),ROUND(PRODUCT(V41,AC7:AC40),1))</f>
        <v>#DIV/0!</v>
      </c>
      <c r="W42" s="3422"/>
      <c r="X42" s="385"/>
      <c r="Y42" s="385"/>
      <c r="Z42" s="385"/>
      <c r="AA42" s="385"/>
      <c r="AB42" s="385"/>
      <c r="AC42" s="385"/>
    </row>
    <row r="43" spans="1:29" ht="15.75" thickBot="1">
      <c r="A43" s="427" t="s">
        <v>1789</v>
      </c>
      <c r="B43" s="428"/>
      <c r="C43" s="351" t="e">
        <f>R43</f>
        <v>#DIV/0!</v>
      </c>
      <c r="D43" s="351"/>
      <c r="E43" s="351"/>
      <c r="F43" s="351"/>
      <c r="G43" s="351"/>
      <c r="H43" s="351"/>
      <c r="I43" s="351"/>
      <c r="J43" s="351"/>
      <c r="K43" s="675"/>
      <c r="L43" s="873"/>
      <c r="M43" s="861"/>
      <c r="N43" s="861"/>
      <c r="O43" s="861"/>
      <c r="P43" s="3423" t="str">
        <f>A43</f>
        <v>估价对象XX用房的比较价值（楼面单价，元/平方米）</v>
      </c>
      <c r="Q43" s="3424"/>
      <c r="R43" s="3425" t="e">
        <f>IF(F1="售价",ROUND(IF(D42="简单平均",AVERAGE(R42:V42),R42*F42+T42*H42+V42*J42),0),ROUND(IF(D42="简单平均",AVERAGE(R42:V42),R42*F42+T42*H42+V42*J42),1))</f>
        <v>#DIV/0!</v>
      </c>
      <c r="S43" s="3425"/>
      <c r="T43" s="3425"/>
      <c r="U43" s="3425"/>
      <c r="V43" s="3425"/>
      <c r="W43" s="3425"/>
      <c r="X43" s="385"/>
      <c r="Y43" s="385"/>
      <c r="Z43" s="385"/>
      <c r="AA43" s="385"/>
      <c r="AB43" s="385"/>
      <c r="AC43" s="385"/>
    </row>
    <row r="44" spans="1:29">
      <c r="A44" s="2484"/>
      <c r="B44" s="2484"/>
      <c r="C44" s="2484"/>
      <c r="D44" s="2484"/>
      <c r="E44" s="2484"/>
      <c r="F44" s="2484"/>
      <c r="G44" s="2495"/>
      <c r="H44" s="2484"/>
      <c r="I44" s="2484"/>
      <c r="J44" s="2484"/>
      <c r="K44" s="2496"/>
      <c r="L44" s="836"/>
      <c r="M44" s="861"/>
      <c r="N44" s="861"/>
      <c r="O44" s="861"/>
    </row>
    <row r="45" spans="1:29">
      <c r="A45" s="2484"/>
      <c r="B45" s="2484"/>
      <c r="C45" s="2484"/>
      <c r="D45" s="2484"/>
      <c r="E45" s="2484"/>
      <c r="F45" s="2484"/>
      <c r="G45" s="2484"/>
      <c r="H45" s="2484"/>
      <c r="I45" s="2484"/>
      <c r="J45" s="2484"/>
      <c r="K45" s="2496"/>
      <c r="L45" s="836"/>
      <c r="M45" s="861"/>
      <c r="N45" s="861"/>
      <c r="O45" s="861"/>
    </row>
    <row r="46" spans="1:29" ht="13.5" customHeight="1">
      <c r="A46" s="2484"/>
      <c r="B46" s="2484"/>
      <c r="C46" s="432" t="s">
        <v>1790</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6"/>
      <c r="M46" s="861"/>
      <c r="N46" s="861"/>
      <c r="O46" s="861"/>
    </row>
    <row r="47" spans="1:29" ht="13.5" customHeight="1">
      <c r="A47" s="2484"/>
      <c r="B47" s="2484"/>
      <c r="C47" s="432" t="s">
        <v>1791</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6"/>
      <c r="M47" s="861"/>
      <c r="N47" s="861"/>
      <c r="O47" s="861"/>
    </row>
    <row r="48" spans="1:29" s="437" customFormat="1" ht="13.5" customHeight="1">
      <c r="A48" s="2494"/>
      <c r="B48" s="2494"/>
      <c r="C48" s="432" t="s">
        <v>1792</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6"/>
      <c r="M48" s="874"/>
      <c r="N48" s="874"/>
      <c r="O48" s="874"/>
    </row>
    <row r="49" spans="1:17" s="437" customFormat="1">
      <c r="A49" s="2494"/>
      <c r="B49" s="2497"/>
      <c r="C49" s="2498"/>
      <c r="D49" s="2494"/>
      <c r="E49" s="2494"/>
      <c r="F49" s="2494"/>
      <c r="G49" s="2494"/>
      <c r="H49" s="2494"/>
      <c r="I49" s="2494"/>
      <c r="J49" s="2494"/>
      <c r="K49" s="2499"/>
      <c r="L49" s="876"/>
      <c r="M49" s="874"/>
      <c r="N49" s="874"/>
      <c r="O49" s="874"/>
    </row>
    <row r="50" spans="1:17">
      <c r="A50" s="2484"/>
      <c r="B50" s="2497"/>
      <c r="C50" s="2498"/>
      <c r="D50" s="2484"/>
      <c r="E50" s="2484"/>
      <c r="F50" s="2484"/>
      <c r="G50" s="2484"/>
      <c r="H50" s="2484"/>
      <c r="I50" s="2484"/>
      <c r="J50" s="2484"/>
      <c r="K50" s="2496"/>
      <c r="L50" s="836"/>
      <c r="M50" s="861"/>
      <c r="N50" s="861"/>
      <c r="O50" s="861"/>
    </row>
    <row r="51" spans="1:17" ht="21.75" thickBot="1">
      <c r="A51" s="658" t="s">
        <v>1793</v>
      </c>
      <c r="B51" s="385"/>
      <c r="C51" s="659"/>
      <c r="D51" s="659"/>
      <c r="E51" s="659"/>
      <c r="F51" s="660"/>
      <c r="G51" s="660"/>
      <c r="H51" s="659"/>
      <c r="I51" s="659"/>
      <c r="J51" s="659"/>
      <c r="K51" s="887"/>
      <c r="L51" s="888"/>
      <c r="M51" s="886"/>
      <c r="N51" s="886"/>
      <c r="O51" s="886"/>
      <c r="P51" s="438"/>
      <c r="Q51" s="439"/>
    </row>
    <row r="52" spans="1:17" s="442" customFormat="1" ht="15">
      <c r="A52" s="440" t="s">
        <v>1674</v>
      </c>
      <c r="B52" s="441"/>
      <c r="C52" s="1102" t="str">
        <f>YEAR(C7)&amp;"-"&amp;MONTH(C7)</f>
        <v>2024-4</v>
      </c>
      <c r="D52" s="1103">
        <f>EDATE(C52,-1)</f>
        <v>45352</v>
      </c>
      <c r="E52" s="1103">
        <f t="shared" ref="E52:O52" si="16">EDATE(D52,-1)</f>
        <v>45323</v>
      </c>
      <c r="F52" s="1103">
        <f t="shared" si="16"/>
        <v>45292</v>
      </c>
      <c r="G52" s="1103">
        <f t="shared" si="16"/>
        <v>45261</v>
      </c>
      <c r="H52" s="1103">
        <f t="shared" si="16"/>
        <v>45231</v>
      </c>
      <c r="I52" s="1103">
        <f t="shared" si="16"/>
        <v>45200</v>
      </c>
      <c r="J52" s="1103">
        <f t="shared" si="16"/>
        <v>45170</v>
      </c>
      <c r="K52" s="1103">
        <f t="shared" si="16"/>
        <v>45139</v>
      </c>
      <c r="L52" s="1103">
        <f t="shared" si="16"/>
        <v>45108</v>
      </c>
      <c r="M52" s="1103">
        <f t="shared" si="16"/>
        <v>45078</v>
      </c>
      <c r="N52" s="1103">
        <f t="shared" si="16"/>
        <v>45047</v>
      </c>
      <c r="O52" s="1103">
        <f t="shared" si="16"/>
        <v>45017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1711</v>
      </c>
      <c r="B54" s="450"/>
      <c r="C54" s="451"/>
      <c r="D54" s="452"/>
      <c r="E54" s="452"/>
      <c r="F54" s="452"/>
      <c r="G54" s="452"/>
      <c r="H54" s="452"/>
      <c r="I54" s="452"/>
      <c r="J54" s="452"/>
      <c r="K54" s="452"/>
      <c r="L54" s="452"/>
      <c r="M54" s="453"/>
      <c r="N54" s="2535"/>
      <c r="O54" s="2536"/>
      <c r="P54" s="439"/>
      <c r="Q54" s="439"/>
    </row>
    <row r="55" spans="1:17" s="102" customFormat="1" ht="15">
      <c r="A55" s="455" t="s">
        <v>1676</v>
      </c>
      <c r="B55" s="444"/>
      <c r="C55" s="456" t="s">
        <v>1771</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1714</v>
      </c>
      <c r="B57" s="460" t="s">
        <v>1680</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1683</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1684</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1685</v>
      </c>
      <c r="B70" s="460" t="s">
        <v>1824</v>
      </c>
      <c r="C70" s="504" t="s">
        <v>1716</v>
      </c>
      <c r="D70" s="504" t="s">
        <v>1717</v>
      </c>
      <c r="E70" s="504" t="s">
        <v>1718</v>
      </c>
      <c r="F70" s="504" t="s">
        <v>1719</v>
      </c>
      <c r="G70" s="504" t="s">
        <v>1720</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1721</v>
      </c>
      <c r="C72" s="509" t="s">
        <v>1716</v>
      </c>
      <c r="D72" s="509" t="s">
        <v>1717</v>
      </c>
      <c r="E72" s="509" t="s">
        <v>1718</v>
      </c>
      <c r="F72" s="509" t="s">
        <v>1719</v>
      </c>
      <c r="G72" s="509" t="s">
        <v>1720</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1722</v>
      </c>
      <c r="C74" s="509" t="s">
        <v>1716</v>
      </c>
      <c r="D74" s="509" t="s">
        <v>1717</v>
      </c>
      <c r="E74" s="509" t="s">
        <v>1718</v>
      </c>
      <c r="F74" s="509" t="s">
        <v>1719</v>
      </c>
      <c r="G74" s="509" t="s">
        <v>1720</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1808</v>
      </c>
      <c r="C76" s="581" t="s">
        <v>1794</v>
      </c>
      <c r="D76" s="581" t="s">
        <v>1795</v>
      </c>
      <c r="E76" s="581" t="s">
        <v>1796</v>
      </c>
      <c r="F76" s="581" t="s">
        <v>1797</v>
      </c>
      <c r="G76" s="581" t="s">
        <v>1798</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1817</v>
      </c>
      <c r="C78" s="509" t="s">
        <v>1716</v>
      </c>
      <c r="D78" s="509" t="s">
        <v>1717</v>
      </c>
      <c r="E78" s="509" t="s">
        <v>1718</v>
      </c>
      <c r="F78" s="509" t="s">
        <v>1719</v>
      </c>
      <c r="G78" s="509" t="s">
        <v>1720</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1689</v>
      </c>
      <c r="B88" s="460" t="s">
        <v>1731</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1732</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1733</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1735</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1185</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1736</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1737</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1739</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1825</v>
      </c>
      <c r="C106" s="509" t="s">
        <v>1716</v>
      </c>
      <c r="D106" s="509" t="s">
        <v>1717</v>
      </c>
      <c r="E106" s="509" t="s">
        <v>1718</v>
      </c>
      <c r="F106" s="509" t="s">
        <v>1719</v>
      </c>
      <c r="G106" s="509" t="s">
        <v>1720</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1826</v>
      </c>
      <c r="B1" s="1139" t="s">
        <v>3319</v>
      </c>
      <c r="C1" s="1140" t="s">
        <v>1657</v>
      </c>
      <c r="D1" s="1141"/>
      <c r="E1" s="3128"/>
      <c r="F1" s="1734"/>
      <c r="G1" s="1143" t="s">
        <v>1762</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1457</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1458</v>
      </c>
      <c r="F2" s="1738"/>
      <c r="G2" s="855"/>
      <c r="H2" s="855"/>
      <c r="I2" s="855"/>
      <c r="J2" s="855"/>
      <c r="K2" s="857"/>
      <c r="L2" s="2500"/>
      <c r="M2" s="2501"/>
      <c r="N2" s="2501"/>
      <c r="O2" s="2501"/>
      <c r="P2" s="1086"/>
      <c r="Q2" s="341"/>
      <c r="R2" s="341"/>
      <c r="S2" s="341"/>
      <c r="T2" s="341"/>
      <c r="U2" s="341"/>
      <c r="V2" s="341"/>
      <c r="W2" s="341"/>
      <c r="X2" s="341"/>
      <c r="Y2" s="341"/>
      <c r="Z2" s="341"/>
      <c r="AA2" s="341"/>
      <c r="AB2" s="341"/>
      <c r="AC2" s="663"/>
    </row>
    <row r="3" spans="1:29" s="342" customFormat="1" ht="28.5" customHeight="1" thickBot="1">
      <c r="A3" s="195" t="s">
        <v>1459</v>
      </c>
      <c r="B3" s="536" t="e">
        <f>IF(AND(C2="——",B37="元/平方米"),C39,ROUND(B2*10000/D3,0))</f>
        <v>#DIV/0!</v>
      </c>
      <c r="C3" s="344" t="s">
        <v>1763</v>
      </c>
      <c r="D3" s="343">
        <f>SUMIF('数据-汇总表'!$C19:$C33,D1,'数据-汇总表'!$E19:$E33)</f>
        <v>0</v>
      </c>
      <c r="E3" s="344" t="s">
        <v>1827</v>
      </c>
      <c r="F3" s="343">
        <f>SUMIF('数据-取费表'!A5:A15,D1,'数据-取费表'!AH5:AH15)</f>
        <v>0</v>
      </c>
      <c r="G3" s="855"/>
      <c r="H3" s="855"/>
      <c r="I3" s="855"/>
      <c r="J3" s="855"/>
      <c r="K3" s="857"/>
      <c r="L3" s="2500"/>
      <c r="M3" s="2501" t="e">
        <f ca="1">IF(C2="——",IF(B37="元/平方米",ROUND(C39*D3/10000,0),ROUND(F3*C39/10000,0)),IF(B37="元/平方米",ROUND(C39*D3/10000,0),ROUND(F3*C39/10000,0))-D2)</f>
        <v>#DIV/0!</v>
      </c>
      <c r="N3" s="2501"/>
      <c r="O3" s="2501"/>
      <c r="P3" s="1086"/>
      <c r="Q3" s="341"/>
      <c r="R3" s="341"/>
      <c r="S3" s="341"/>
      <c r="T3" s="341"/>
      <c r="U3" s="341"/>
      <c r="V3" s="341"/>
      <c r="W3" s="341"/>
      <c r="X3" s="341"/>
      <c r="Y3" s="341"/>
      <c r="Z3" s="341"/>
      <c r="AA3" s="341"/>
      <c r="AB3" s="676"/>
      <c r="AC3" s="663"/>
    </row>
    <row r="4" spans="1:29" ht="15">
      <c r="A4" s="345" t="s">
        <v>1764</v>
      </c>
      <c r="B4" s="346"/>
      <c r="C4" s="3439" t="s">
        <v>1765</v>
      </c>
      <c r="D4" s="3440"/>
      <c r="E4" s="3441" t="s">
        <v>1766</v>
      </c>
      <c r="F4" s="3442"/>
      <c r="G4" s="3439" t="s">
        <v>1767</v>
      </c>
      <c r="H4" s="3440"/>
      <c r="I4" s="3439" t="s">
        <v>1768</v>
      </c>
      <c r="J4" s="3440"/>
      <c r="K4" s="537" t="s">
        <v>1769</v>
      </c>
      <c r="L4" s="2483"/>
      <c r="M4" s="2484"/>
      <c r="N4" s="2484"/>
      <c r="O4" s="2484"/>
      <c r="P4" s="3443" t="s">
        <v>1770</v>
      </c>
      <c r="Q4" s="3444"/>
      <c r="R4" s="3449" t="s">
        <v>1766</v>
      </c>
      <c r="S4" s="3450"/>
      <c r="T4" s="3449" t="s">
        <v>1767</v>
      </c>
      <c r="U4" s="3450"/>
      <c r="V4" s="3422" t="s">
        <v>1768</v>
      </c>
      <c r="W4" s="3422"/>
      <c r="X4" s="1264"/>
      <c r="Y4" s="3449" t="s">
        <v>1770</v>
      </c>
      <c r="Z4" s="3450"/>
      <c r="AA4" s="3436" t="s">
        <v>1766</v>
      </c>
      <c r="AB4" s="3437" t="s">
        <v>1767</v>
      </c>
      <c r="AC4" s="3436" t="s">
        <v>1768</v>
      </c>
    </row>
    <row r="5" spans="1:29" ht="15">
      <c r="A5" s="348"/>
      <c r="B5" s="349"/>
      <c r="C5" s="3457" t="s">
        <v>1668</v>
      </c>
      <c r="D5" s="3458"/>
      <c r="E5" s="3464" t="s">
        <v>1669</v>
      </c>
      <c r="F5" s="3465"/>
      <c r="G5" s="3457" t="s">
        <v>1670</v>
      </c>
      <c r="H5" s="3458"/>
      <c r="I5" s="3457" t="s">
        <v>1671</v>
      </c>
      <c r="J5" s="3458"/>
      <c r="K5" s="537"/>
      <c r="L5" s="2483"/>
      <c r="M5" s="2484"/>
      <c r="N5" s="2484"/>
      <c r="O5" s="2484"/>
      <c r="P5" s="3445"/>
      <c r="Q5" s="3446"/>
      <c r="R5" s="3451"/>
      <c r="S5" s="3452"/>
      <c r="T5" s="3451"/>
      <c r="U5" s="3452"/>
      <c r="V5" s="3422"/>
      <c r="W5" s="3422"/>
      <c r="X5" s="1264"/>
      <c r="Y5" s="3451"/>
      <c r="Z5" s="3452"/>
      <c r="AA5" s="3437"/>
      <c r="AB5" s="3437"/>
      <c r="AC5" s="3437"/>
    </row>
    <row r="6" spans="1:29" ht="15.75" thickBot="1">
      <c r="A6" s="350"/>
      <c r="B6" s="351"/>
      <c r="C6" s="3455" t="s">
        <v>1672</v>
      </c>
      <c r="D6" s="3456"/>
      <c r="E6" s="3462" t="s">
        <v>1672</v>
      </c>
      <c r="F6" s="3463"/>
      <c r="G6" s="3455" t="s">
        <v>1672</v>
      </c>
      <c r="H6" s="3456"/>
      <c r="I6" s="3455" t="s">
        <v>1672</v>
      </c>
      <c r="J6" s="3456"/>
      <c r="K6" s="537" t="s">
        <v>1673</v>
      </c>
      <c r="L6" s="2483"/>
      <c r="M6" s="2484"/>
      <c r="N6" s="2484"/>
      <c r="O6" s="2484"/>
      <c r="P6" s="3447"/>
      <c r="Q6" s="3448"/>
      <c r="R6" s="3451"/>
      <c r="S6" s="3452"/>
      <c r="T6" s="3453"/>
      <c r="U6" s="3454"/>
      <c r="V6" s="3422"/>
      <c r="W6" s="3422"/>
      <c r="X6" s="1264"/>
      <c r="Y6" s="3453"/>
      <c r="Z6" s="3454"/>
      <c r="AA6" s="3438"/>
      <c r="AB6" s="3438"/>
      <c r="AC6" s="3438"/>
    </row>
    <row r="7" spans="1:29" s="102" customFormat="1" ht="15.75" thickBot="1">
      <c r="A7" s="352" t="s">
        <v>1674</v>
      </c>
      <c r="B7" s="353"/>
      <c r="C7" s="354">
        <f>'数据-取费表'!B2</f>
        <v>45383</v>
      </c>
      <c r="D7" s="355">
        <v>100</v>
      </c>
      <c r="E7" s="356"/>
      <c r="F7" s="357">
        <f>SUMIF(48:48,YEAR(E7)&amp;"-"&amp;MONTH(E7),49:49)</f>
        <v>0</v>
      </c>
      <c r="G7" s="356"/>
      <c r="H7" s="355">
        <f>SUMIF(48:48,YEAR(G7)&amp;"-"&amp;MONTH(G7),49:49)</f>
        <v>0</v>
      </c>
      <c r="I7" s="356"/>
      <c r="J7" s="355">
        <f>SUMIF(48:48,YEAR(I7)&amp;"-"&amp;MONTH(I7),49:49)</f>
        <v>0</v>
      </c>
      <c r="K7" s="38"/>
      <c r="L7" s="2485"/>
      <c r="M7" s="2436"/>
      <c r="N7" s="2436"/>
      <c r="O7" s="2436"/>
      <c r="P7" s="3459" t="s">
        <v>1675</v>
      </c>
      <c r="Q7" s="3461"/>
      <c r="R7" s="664" t="s">
        <v>14</v>
      </c>
      <c r="S7" s="665">
        <f t="shared" ref="S7:S14" si="0">F7</f>
        <v>0</v>
      </c>
      <c r="T7" s="664" t="s">
        <v>14</v>
      </c>
      <c r="U7" s="665">
        <f t="shared" ref="U7:U14" si="1">H7</f>
        <v>0</v>
      </c>
      <c r="V7" s="664" t="s">
        <v>14</v>
      </c>
      <c r="W7" s="665">
        <f t="shared" ref="W7:W14" si="2">J7</f>
        <v>0</v>
      </c>
      <c r="X7" s="666"/>
      <c r="Y7" s="3459" t="s">
        <v>1675</v>
      </c>
      <c r="Z7" s="3460"/>
      <c r="AA7" s="50" t="e">
        <f>D7/F7</f>
        <v>#DIV/0!</v>
      </c>
      <c r="AB7" s="50" t="e">
        <f>D7/H7</f>
        <v>#DIV/0!</v>
      </c>
      <c r="AC7" s="50" t="e">
        <f>D7/J7</f>
        <v>#DIV/0!</v>
      </c>
    </row>
    <row r="8" spans="1:29" s="102" customFormat="1" ht="15.75" thickBot="1">
      <c r="A8" s="352" t="s">
        <v>1676</v>
      </c>
      <c r="B8" s="353"/>
      <c r="C8" s="358"/>
      <c r="D8" s="355">
        <v>100</v>
      </c>
      <c r="E8" s="358"/>
      <c r="F8" s="357">
        <f>SUMIF(51:51,E8,52:52)-SUMIF(51:51,C8,52:52)+100</f>
        <v>100</v>
      </c>
      <c r="G8" s="358"/>
      <c r="H8" s="355">
        <f>SUMIF(51:51,G8,52:52)-SUMIF(51:51,C8,52:52)+100</f>
        <v>100</v>
      </c>
      <c r="I8" s="358"/>
      <c r="J8" s="355">
        <f>SUMIF(51:51,I8,52:52)-SUMIF(51:51,C8,52:52)+100</f>
        <v>100</v>
      </c>
      <c r="K8" s="38"/>
      <c r="L8" s="2485"/>
      <c r="M8" s="2436"/>
      <c r="N8" s="2436"/>
      <c r="O8" s="2436"/>
      <c r="P8" s="3459" t="s">
        <v>1678</v>
      </c>
      <c r="Q8" s="3460"/>
      <c r="R8" s="664" t="s">
        <v>14</v>
      </c>
      <c r="S8" s="665">
        <f t="shared" si="0"/>
        <v>100</v>
      </c>
      <c r="T8" s="664" t="s">
        <v>14</v>
      </c>
      <c r="U8" s="665">
        <f t="shared" si="1"/>
        <v>100</v>
      </c>
      <c r="V8" s="664" t="s">
        <v>14</v>
      </c>
      <c r="W8" s="665">
        <f t="shared" si="2"/>
        <v>100</v>
      </c>
      <c r="X8" s="666"/>
      <c r="Y8" s="3459" t="s">
        <v>1678</v>
      </c>
      <c r="Z8" s="3460"/>
      <c r="AA8" s="50">
        <f t="shared" ref="AA8:AA36" si="3">D8/F8</f>
        <v>1</v>
      </c>
      <c r="AB8" s="50">
        <f t="shared" ref="AB8:AB36" si="4">D8/H8</f>
        <v>1</v>
      </c>
      <c r="AC8" s="50">
        <f t="shared" ref="AC8:AC36" si="5">D8/J8</f>
        <v>1</v>
      </c>
    </row>
    <row r="9" spans="1:29" s="102" customFormat="1">
      <c r="A9" s="57" t="s">
        <v>1679</v>
      </c>
      <c r="B9" s="564" t="s">
        <v>1680</v>
      </c>
      <c r="C9" s="360"/>
      <c r="D9" s="59">
        <v>100</v>
      </c>
      <c r="E9" s="362"/>
      <c r="F9" s="59">
        <f>SUMIF(53:53,E9,54:54)-SUMIF(53:53,C9,54:54)+100</f>
        <v>100</v>
      </c>
      <c r="G9" s="361"/>
      <c r="H9" s="59">
        <f>SUMIF(53:53,G9,54:54)-SUMIF(53:53,C9,54:54)+100</f>
        <v>100</v>
      </c>
      <c r="I9" s="361"/>
      <c r="J9" s="59">
        <f>SUMIF(53:53,I9,54:54)-SUMIF(53:53,C9,54:54)+100</f>
        <v>100</v>
      </c>
      <c r="K9" s="38"/>
      <c r="L9" s="2485"/>
      <c r="M9" s="2436"/>
      <c r="N9" s="2436"/>
      <c r="O9" s="2436"/>
      <c r="P9" s="3421" t="s">
        <v>1681</v>
      </c>
      <c r="Q9" s="530" t="str">
        <f t="shared" ref="Q9:Q14" si="6">B9</f>
        <v>用途</v>
      </c>
      <c r="R9" s="664" t="s">
        <v>14</v>
      </c>
      <c r="S9" s="665">
        <f t="shared" si="0"/>
        <v>100</v>
      </c>
      <c r="T9" s="664" t="s">
        <v>14</v>
      </c>
      <c r="U9" s="665">
        <f t="shared" si="1"/>
        <v>100</v>
      </c>
      <c r="V9" s="664" t="s">
        <v>14</v>
      </c>
      <c r="W9" s="665">
        <f t="shared" si="2"/>
        <v>100</v>
      </c>
      <c r="X9" s="666"/>
      <c r="Y9" s="3299" t="s">
        <v>1682</v>
      </c>
      <c r="Z9" s="50" t="str">
        <f t="shared" ref="Z9:Z14" si="7">Q9</f>
        <v>用途</v>
      </c>
      <c r="AA9" s="50">
        <f t="shared" si="3"/>
        <v>1</v>
      </c>
      <c r="AB9" s="50">
        <f t="shared" si="4"/>
        <v>1</v>
      </c>
      <c r="AC9" s="50">
        <f t="shared" si="5"/>
        <v>1</v>
      </c>
    </row>
    <row r="10" spans="1:29" s="366" customFormat="1" ht="27">
      <c r="A10" s="565"/>
      <c r="B10" s="566" t="s">
        <v>1683</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421"/>
      <c r="Q10" s="530" t="str">
        <f t="shared" si="6"/>
        <v>土地使用年限（年）</v>
      </c>
      <c r="R10" s="664" t="s">
        <v>14</v>
      </c>
      <c r="S10" s="665">
        <f t="shared" si="0"/>
        <v>100</v>
      </c>
      <c r="T10" s="664" t="s">
        <v>14</v>
      </c>
      <c r="U10" s="665">
        <f t="shared" si="1"/>
        <v>100</v>
      </c>
      <c r="V10" s="664" t="s">
        <v>14</v>
      </c>
      <c r="W10" s="665">
        <f t="shared" si="2"/>
        <v>100</v>
      </c>
      <c r="X10" s="666"/>
      <c r="Y10" s="329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421"/>
      <c r="Q11" s="530">
        <f t="shared" si="6"/>
        <v>111</v>
      </c>
      <c r="R11" s="664" t="s">
        <v>14</v>
      </c>
      <c r="S11" s="665">
        <f t="shared" si="0"/>
        <v>100</v>
      </c>
      <c r="T11" s="664" t="s">
        <v>14</v>
      </c>
      <c r="U11" s="665">
        <f t="shared" si="1"/>
        <v>100</v>
      </c>
      <c r="V11" s="664" t="s">
        <v>14</v>
      </c>
      <c r="W11" s="665">
        <f t="shared" si="2"/>
        <v>100</v>
      </c>
      <c r="X11" s="666"/>
      <c r="Y11" s="329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6"/>
      <c r="N12" s="2436"/>
      <c r="O12" s="2436"/>
      <c r="P12" s="3421"/>
      <c r="Q12" s="530">
        <f t="shared" si="6"/>
        <v>111</v>
      </c>
      <c r="R12" s="664" t="s">
        <v>14</v>
      </c>
      <c r="S12" s="665">
        <f t="shared" si="0"/>
        <v>100</v>
      </c>
      <c r="T12" s="664" t="s">
        <v>14</v>
      </c>
      <c r="U12" s="665">
        <f t="shared" si="1"/>
        <v>100</v>
      </c>
      <c r="V12" s="664" t="s">
        <v>14</v>
      </c>
      <c r="W12" s="665">
        <f t="shared" si="2"/>
        <v>100</v>
      </c>
      <c r="X12" s="666"/>
      <c r="Y12" s="329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421"/>
      <c r="Q13" s="530">
        <f t="shared" si="6"/>
        <v>111</v>
      </c>
      <c r="R13" s="664" t="s">
        <v>14</v>
      </c>
      <c r="S13" s="665">
        <f t="shared" si="0"/>
        <v>100</v>
      </c>
      <c r="T13" s="664" t="s">
        <v>14</v>
      </c>
      <c r="U13" s="665">
        <f t="shared" si="1"/>
        <v>100</v>
      </c>
      <c r="V13" s="664" t="s">
        <v>14</v>
      </c>
      <c r="W13" s="665">
        <f t="shared" si="2"/>
        <v>100</v>
      </c>
      <c r="X13" s="666"/>
      <c r="Y13" s="3299"/>
      <c r="Z13" s="50">
        <f t="shared" si="7"/>
        <v>111</v>
      </c>
      <c r="AA13" s="50">
        <f t="shared" si="3"/>
        <v>1</v>
      </c>
      <c r="AB13" s="50">
        <f t="shared" si="4"/>
        <v>1</v>
      </c>
      <c r="AC13" s="50">
        <f t="shared" si="5"/>
        <v>1</v>
      </c>
    </row>
    <row r="14" spans="1:29" ht="15">
      <c r="A14" s="345" t="s">
        <v>1685</v>
      </c>
      <c r="B14" s="554" t="s">
        <v>1828</v>
      </c>
      <c r="C14" s="1816">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428" t="s">
        <v>1686</v>
      </c>
      <c r="Q14" s="1262" t="str">
        <f t="shared" si="6"/>
        <v>交通便捷度</v>
      </c>
      <c r="R14" s="667" t="s">
        <v>14</v>
      </c>
      <c r="S14" s="668">
        <f t="shared" si="0"/>
        <v>100</v>
      </c>
      <c r="T14" s="667" t="s">
        <v>14</v>
      </c>
      <c r="U14" s="668">
        <f t="shared" si="1"/>
        <v>100</v>
      </c>
      <c r="V14" s="667" t="s">
        <v>14</v>
      </c>
      <c r="W14" s="668">
        <f t="shared" si="2"/>
        <v>100</v>
      </c>
      <c r="X14" s="1264"/>
      <c r="Y14" s="3428" t="s">
        <v>1686</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9"/>
      <c r="M15" s="2484"/>
      <c r="N15" s="2484"/>
      <c r="O15" s="2484"/>
      <c r="P15" s="3429"/>
      <c r="Q15" s="1262"/>
      <c r="R15" s="667"/>
      <c r="S15" s="668"/>
      <c r="T15" s="667"/>
      <c r="U15" s="668"/>
      <c r="V15" s="667"/>
      <c r="W15" s="668"/>
      <c r="X15" s="1264"/>
      <c r="Y15" s="3429"/>
      <c r="Z15" s="1263"/>
      <c r="AA15" s="1263">
        <v>1</v>
      </c>
      <c r="AB15" s="1263">
        <v>1</v>
      </c>
      <c r="AC15" s="1263">
        <v>1</v>
      </c>
    </row>
    <row r="16" spans="1:29" ht="15">
      <c r="A16" s="348"/>
      <c r="B16" s="556" t="s">
        <v>1807</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429"/>
      <c r="Q16" s="1262" t="str">
        <f>B16</f>
        <v>公共配套设施</v>
      </c>
      <c r="R16" s="667" t="s">
        <v>14</v>
      </c>
      <c r="S16" s="668">
        <f>F16</f>
        <v>100</v>
      </c>
      <c r="T16" s="667" t="s">
        <v>14</v>
      </c>
      <c r="U16" s="668">
        <f>H16</f>
        <v>100</v>
      </c>
      <c r="V16" s="667" t="s">
        <v>14</v>
      </c>
      <c r="W16" s="668">
        <f>J16</f>
        <v>100</v>
      </c>
      <c r="X16" s="1264"/>
      <c r="Y16" s="3429"/>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89"/>
      <c r="M17" s="2484"/>
      <c r="N17" s="2484"/>
      <c r="O17" s="2484"/>
      <c r="P17" s="3429"/>
      <c r="Q17" s="1262"/>
      <c r="R17" s="667"/>
      <c r="S17" s="668"/>
      <c r="T17" s="667"/>
      <c r="U17" s="668"/>
      <c r="V17" s="667"/>
      <c r="W17" s="668"/>
      <c r="X17" s="1264"/>
      <c r="Y17" s="3429"/>
      <c r="Z17" s="1263"/>
      <c r="AA17" s="1263">
        <v>1</v>
      </c>
      <c r="AB17" s="1263">
        <v>1</v>
      </c>
      <c r="AC17" s="1263">
        <v>1</v>
      </c>
    </row>
    <row r="18" spans="1:29" ht="15">
      <c r="A18" s="348"/>
      <c r="B18" s="557" t="s">
        <v>1808</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429"/>
      <c r="Q18" s="1262" t="str">
        <f>B18</f>
        <v>基础设施水平</v>
      </c>
      <c r="R18" s="667" t="s">
        <v>14</v>
      </c>
      <c r="S18" s="668">
        <f>F18</f>
        <v>100</v>
      </c>
      <c r="T18" s="667" t="s">
        <v>14</v>
      </c>
      <c r="U18" s="668">
        <f>H18</f>
        <v>100</v>
      </c>
      <c r="V18" s="667" t="s">
        <v>14</v>
      </c>
      <c r="W18" s="668">
        <f>J18</f>
        <v>100</v>
      </c>
      <c r="X18" s="1264"/>
      <c r="Y18" s="3429"/>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89"/>
      <c r="M19" s="2484"/>
      <c r="N19" s="2484"/>
      <c r="O19" s="2484"/>
      <c r="P19" s="3429"/>
      <c r="Q19" s="1262"/>
      <c r="R19" s="667"/>
      <c r="S19" s="668"/>
      <c r="T19" s="667"/>
      <c r="U19" s="668"/>
      <c r="V19" s="667"/>
      <c r="W19" s="668"/>
      <c r="X19" s="1264"/>
      <c r="Y19" s="3429"/>
      <c r="Z19" s="1263"/>
      <c r="AA19" s="1263">
        <v>1</v>
      </c>
      <c r="AB19" s="1263">
        <v>1</v>
      </c>
      <c r="AC19" s="1263">
        <v>1</v>
      </c>
    </row>
    <row r="20" spans="1:29" ht="15">
      <c r="A20" s="348"/>
      <c r="B20" s="556" t="s">
        <v>1829</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429"/>
      <c r="Q20" s="1262" t="str">
        <f>B20</f>
        <v>自然及人文环境</v>
      </c>
      <c r="R20" s="667" t="s">
        <v>14</v>
      </c>
      <c r="S20" s="668">
        <f>F20</f>
        <v>100</v>
      </c>
      <c r="T20" s="667" t="s">
        <v>14</v>
      </c>
      <c r="U20" s="668">
        <f>H20</f>
        <v>100</v>
      </c>
      <c r="V20" s="667" t="s">
        <v>14</v>
      </c>
      <c r="W20" s="668">
        <f>J20</f>
        <v>100</v>
      </c>
      <c r="X20" s="1264"/>
      <c r="Y20" s="3429"/>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9"/>
      <c r="M21" s="2484"/>
      <c r="N21" s="2484"/>
      <c r="O21" s="2484"/>
      <c r="P21" s="3429"/>
      <c r="Q21" s="1262"/>
      <c r="R21" s="667"/>
      <c r="S21" s="668"/>
      <c r="T21" s="667"/>
      <c r="U21" s="668"/>
      <c r="V21" s="667"/>
      <c r="W21" s="668"/>
      <c r="X21" s="1264"/>
      <c r="Y21" s="3429"/>
      <c r="Z21" s="1263"/>
      <c r="AA21" s="1263">
        <v>1</v>
      </c>
      <c r="AB21" s="1263">
        <v>1</v>
      </c>
      <c r="AC21" s="1263">
        <v>1</v>
      </c>
    </row>
    <row r="22" spans="1:29" ht="15">
      <c r="A22" s="348"/>
      <c r="B22" s="556" t="s">
        <v>1830</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429"/>
      <c r="Q22" s="1262" t="str">
        <f>B22</f>
        <v>楼层</v>
      </c>
      <c r="R22" s="667" t="s">
        <v>14</v>
      </c>
      <c r="S22" s="668">
        <f>F22</f>
        <v>100</v>
      </c>
      <c r="T22" s="667" t="s">
        <v>14</v>
      </c>
      <c r="U22" s="668">
        <f>H22</f>
        <v>100</v>
      </c>
      <c r="V22" s="667" t="s">
        <v>14</v>
      </c>
      <c r="W22" s="668">
        <f>J22</f>
        <v>100</v>
      </c>
      <c r="X22" s="1264"/>
      <c r="Y22" s="3429"/>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429"/>
      <c r="Q23" s="1262">
        <f>B23</f>
        <v>111</v>
      </c>
      <c r="R23" s="667" t="s">
        <v>14</v>
      </c>
      <c r="S23" s="668">
        <f>F23</f>
        <v>100</v>
      </c>
      <c r="T23" s="667" t="s">
        <v>14</v>
      </c>
      <c r="U23" s="668">
        <f>H23</f>
        <v>100</v>
      </c>
      <c r="V23" s="667" t="s">
        <v>14</v>
      </c>
      <c r="W23" s="668">
        <f>J23</f>
        <v>100</v>
      </c>
      <c r="X23" s="1264"/>
      <c r="Y23" s="3429"/>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429"/>
      <c r="Q24" s="1262">
        <f t="shared" ref="Q24:Q36" si="11">B24</f>
        <v>111</v>
      </c>
      <c r="R24" s="667" t="s">
        <v>14</v>
      </c>
      <c r="S24" s="668">
        <f>F24</f>
        <v>100</v>
      </c>
      <c r="T24" s="667" t="s">
        <v>14</v>
      </c>
      <c r="U24" s="668">
        <f>H24</f>
        <v>100</v>
      </c>
      <c r="V24" s="667" t="s">
        <v>14</v>
      </c>
      <c r="W24" s="668">
        <f>J24</f>
        <v>100</v>
      </c>
      <c r="X24" s="1264"/>
      <c r="Y24" s="3429"/>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6"/>
      <c r="N25" s="2436"/>
      <c r="O25" s="2436"/>
      <c r="P25" s="3429"/>
      <c r="Q25" s="530">
        <f t="shared" si="11"/>
        <v>111</v>
      </c>
      <c r="R25" s="664" t="s">
        <v>14</v>
      </c>
      <c r="S25" s="665">
        <f>F25</f>
        <v>100</v>
      </c>
      <c r="T25" s="664" t="s">
        <v>14</v>
      </c>
      <c r="U25" s="665">
        <f>H25</f>
        <v>100</v>
      </c>
      <c r="V25" s="664" t="s">
        <v>14</v>
      </c>
      <c r="W25" s="665">
        <f>J25</f>
        <v>100</v>
      </c>
      <c r="X25" s="666"/>
      <c r="Y25" s="3429"/>
      <c r="Z25" s="50">
        <f>Q25</f>
        <v>111</v>
      </c>
      <c r="AA25" s="1263">
        <f>D25/F25</f>
        <v>1</v>
      </c>
      <c r="AB25" s="1263">
        <f>D25/H25</f>
        <v>1</v>
      </c>
      <c r="AC25" s="1263">
        <f>D25/J25</f>
        <v>1</v>
      </c>
    </row>
    <row r="26" spans="1:29" ht="28.5">
      <c r="A26" s="574" t="s">
        <v>1689</v>
      </c>
      <c r="B26" s="59" t="s">
        <v>1831</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81" t="s">
        <v>1691</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33" t="s">
        <v>1691</v>
      </c>
      <c r="Z26" s="1263" t="str">
        <f t="shared" ref="Z26:Z36" si="15">Q26</f>
        <v>配套类型</v>
      </c>
      <c r="AA26" s="1263" t="e">
        <f t="shared" si="3"/>
        <v>#DIV/0!</v>
      </c>
      <c r="AB26" s="1263" t="e">
        <f t="shared" si="4"/>
        <v>#DIV/0!</v>
      </c>
      <c r="AC26" s="1263" t="e">
        <f t="shared" si="5"/>
        <v>#DIV/0!</v>
      </c>
    </row>
    <row r="27" spans="1:29" s="408" customFormat="1" ht="15">
      <c r="A27" s="575"/>
      <c r="B27" s="119" t="s">
        <v>1832</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433"/>
      <c r="Q27" s="531" t="str">
        <f t="shared" si="11"/>
        <v>项目停车位配比</v>
      </c>
      <c r="R27" s="669" t="s">
        <v>14</v>
      </c>
      <c r="S27" s="670">
        <f t="shared" si="12"/>
        <v>100</v>
      </c>
      <c r="T27" s="669" t="s">
        <v>14</v>
      </c>
      <c r="U27" s="670">
        <f t="shared" si="13"/>
        <v>100</v>
      </c>
      <c r="V27" s="669" t="s">
        <v>14</v>
      </c>
      <c r="W27" s="670">
        <f t="shared" si="14"/>
        <v>100</v>
      </c>
      <c r="X27" s="671"/>
      <c r="Y27" s="3433"/>
      <c r="Z27" s="672" t="str">
        <f t="shared" si="15"/>
        <v>项目停车位配比</v>
      </c>
      <c r="AA27" s="1263">
        <f t="shared" si="3"/>
        <v>1</v>
      </c>
      <c r="AB27" s="1263">
        <f t="shared" si="4"/>
        <v>1</v>
      </c>
      <c r="AC27" s="1263">
        <f t="shared" si="5"/>
        <v>1</v>
      </c>
    </row>
    <row r="28" spans="1:29" ht="15">
      <c r="A28" s="577"/>
      <c r="B28" s="119" t="s">
        <v>1833</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433"/>
      <c r="Q28" s="1262" t="str">
        <f t="shared" si="11"/>
        <v>公共部分装修</v>
      </c>
      <c r="R28" s="667" t="s">
        <v>14</v>
      </c>
      <c r="S28" s="668">
        <f t="shared" si="12"/>
        <v>100</v>
      </c>
      <c r="T28" s="667" t="s">
        <v>14</v>
      </c>
      <c r="U28" s="668">
        <f t="shared" si="13"/>
        <v>100</v>
      </c>
      <c r="V28" s="667" t="s">
        <v>14</v>
      </c>
      <c r="W28" s="668">
        <f t="shared" si="14"/>
        <v>100</v>
      </c>
      <c r="X28" s="1264"/>
      <c r="Y28" s="3433"/>
      <c r="Z28" s="1263" t="str">
        <f t="shared" si="15"/>
        <v>公共部分装修</v>
      </c>
      <c r="AA28" s="1263">
        <f t="shared" si="3"/>
        <v>1</v>
      </c>
      <c r="AB28" s="1263">
        <f t="shared" si="4"/>
        <v>1</v>
      </c>
      <c r="AC28" s="1263">
        <f t="shared" si="5"/>
        <v>1</v>
      </c>
    </row>
    <row r="29" spans="1:29" ht="15">
      <c r="A29" s="577"/>
      <c r="B29" s="119" t="s">
        <v>1834</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433"/>
      <c r="Q29" s="1262" t="str">
        <f t="shared" si="11"/>
        <v>成新率</v>
      </c>
      <c r="R29" s="667" t="s">
        <v>14</v>
      </c>
      <c r="S29" s="668" t="e">
        <f t="shared" si="12"/>
        <v>#N/A</v>
      </c>
      <c r="T29" s="667" t="s">
        <v>14</v>
      </c>
      <c r="U29" s="668" t="e">
        <f t="shared" si="13"/>
        <v>#N/A</v>
      </c>
      <c r="V29" s="667" t="s">
        <v>14</v>
      </c>
      <c r="W29" s="668" t="e">
        <f t="shared" si="14"/>
        <v>#N/A</v>
      </c>
      <c r="X29" s="1264"/>
      <c r="Y29" s="3433"/>
      <c r="Z29" s="1263" t="str">
        <f t="shared" si="15"/>
        <v>成新率</v>
      </c>
      <c r="AA29" s="1263" t="e">
        <f t="shared" si="3"/>
        <v>#N/A</v>
      </c>
      <c r="AB29" s="1263" t="e">
        <f t="shared" si="4"/>
        <v>#N/A</v>
      </c>
      <c r="AC29" s="1263" t="e">
        <f t="shared" si="5"/>
        <v>#N/A</v>
      </c>
    </row>
    <row r="30" spans="1:29" ht="15">
      <c r="A30" s="577"/>
      <c r="B30" s="119" t="s">
        <v>1835</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433"/>
      <c r="Q30" s="1262" t="str">
        <f t="shared" si="11"/>
        <v>物业等级</v>
      </c>
      <c r="R30" s="667" t="s">
        <v>14</v>
      </c>
      <c r="S30" s="668">
        <f t="shared" si="12"/>
        <v>100</v>
      </c>
      <c r="T30" s="667" t="s">
        <v>14</v>
      </c>
      <c r="U30" s="668">
        <f t="shared" si="13"/>
        <v>100</v>
      </c>
      <c r="V30" s="667" t="s">
        <v>14</v>
      </c>
      <c r="W30" s="668">
        <f t="shared" si="14"/>
        <v>100</v>
      </c>
      <c r="X30" s="1264"/>
      <c r="Y30" s="3433"/>
      <c r="Z30" s="1263" t="str">
        <f t="shared" si="15"/>
        <v>物业等级</v>
      </c>
      <c r="AA30" s="1263">
        <f t="shared" si="3"/>
        <v>1</v>
      </c>
      <c r="AB30" s="1263">
        <f t="shared" si="4"/>
        <v>1</v>
      </c>
      <c r="AC30" s="1263">
        <f t="shared" si="5"/>
        <v>1</v>
      </c>
    </row>
    <row r="31" spans="1:29" s="102" customFormat="1" ht="15">
      <c r="A31" s="579"/>
      <c r="B31" s="119" t="s">
        <v>1836</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6"/>
      <c r="N31" s="2436"/>
      <c r="O31" s="2436"/>
      <c r="P31" s="3433"/>
      <c r="Q31" s="530" t="str">
        <f t="shared" si="11"/>
        <v>停车位面积</v>
      </c>
      <c r="R31" s="664" t="s">
        <v>14</v>
      </c>
      <c r="S31" s="665" t="e">
        <f t="shared" si="12"/>
        <v>#N/A</v>
      </c>
      <c r="T31" s="664" t="s">
        <v>14</v>
      </c>
      <c r="U31" s="665" t="e">
        <f t="shared" si="13"/>
        <v>#N/A</v>
      </c>
      <c r="V31" s="664" t="s">
        <v>14</v>
      </c>
      <c r="W31" s="665" t="e">
        <f t="shared" si="14"/>
        <v>#N/A</v>
      </c>
      <c r="X31" s="666"/>
      <c r="Y31" s="3433"/>
      <c r="Z31" s="50" t="str">
        <f t="shared" si="15"/>
        <v>停车位面积</v>
      </c>
      <c r="AA31" s="50" t="e">
        <f t="shared" si="3"/>
        <v>#N/A</v>
      </c>
      <c r="AB31" s="50" t="e">
        <f t="shared" si="4"/>
        <v>#N/A</v>
      </c>
      <c r="AC31" s="50" t="e">
        <f t="shared" si="5"/>
        <v>#N/A</v>
      </c>
    </row>
    <row r="32" spans="1:29" ht="15">
      <c r="A32" s="577"/>
      <c r="B32" s="119" t="s">
        <v>1837</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433" t="s">
        <v>1691</v>
      </c>
      <c r="Q32" s="1262" t="str">
        <f t="shared" si="11"/>
        <v>车位类型</v>
      </c>
      <c r="R32" s="667" t="s">
        <v>14</v>
      </c>
      <c r="S32" s="668">
        <f t="shared" si="12"/>
        <v>100</v>
      </c>
      <c r="T32" s="667" t="s">
        <v>14</v>
      </c>
      <c r="U32" s="668">
        <f t="shared" si="13"/>
        <v>100</v>
      </c>
      <c r="V32" s="667" t="s">
        <v>14</v>
      </c>
      <c r="W32" s="668">
        <f t="shared" si="14"/>
        <v>100</v>
      </c>
      <c r="X32" s="1264"/>
      <c r="Y32" s="3433" t="s">
        <v>1691</v>
      </c>
      <c r="Z32" s="1263" t="str">
        <f t="shared" si="15"/>
        <v>车位类型</v>
      </c>
      <c r="AA32" s="1263">
        <f t="shared" si="3"/>
        <v>1</v>
      </c>
      <c r="AB32" s="1263">
        <f t="shared" si="4"/>
        <v>1</v>
      </c>
      <c r="AC32" s="1263">
        <f t="shared" si="5"/>
        <v>1</v>
      </c>
    </row>
    <row r="33" spans="1:29" ht="15">
      <c r="A33" s="577"/>
      <c r="B33" s="119" t="s">
        <v>1838</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433"/>
      <c r="Q33" s="1262" t="str">
        <f t="shared" si="11"/>
        <v>是否直接入户</v>
      </c>
      <c r="R33" s="667" t="s">
        <v>14</v>
      </c>
      <c r="S33" s="668">
        <f t="shared" si="12"/>
        <v>100</v>
      </c>
      <c r="T33" s="667" t="s">
        <v>14</v>
      </c>
      <c r="U33" s="668">
        <f t="shared" si="13"/>
        <v>100</v>
      </c>
      <c r="V33" s="667" t="s">
        <v>14</v>
      </c>
      <c r="W33" s="668">
        <f t="shared" si="14"/>
        <v>100</v>
      </c>
      <c r="X33" s="1264"/>
      <c r="Y33" s="3433"/>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433"/>
      <c r="Q34" s="1262">
        <f t="shared" si="11"/>
        <v>111</v>
      </c>
      <c r="R34" s="667" t="s">
        <v>14</v>
      </c>
      <c r="S34" s="668">
        <f t="shared" si="12"/>
        <v>100</v>
      </c>
      <c r="T34" s="667" t="s">
        <v>14</v>
      </c>
      <c r="U34" s="668">
        <f t="shared" si="13"/>
        <v>100</v>
      </c>
      <c r="V34" s="667" t="s">
        <v>14</v>
      </c>
      <c r="W34" s="668">
        <f t="shared" si="14"/>
        <v>100</v>
      </c>
      <c r="X34" s="1264"/>
      <c r="Y34" s="3433"/>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433"/>
      <c r="Q35" s="531">
        <f t="shared" si="11"/>
        <v>111</v>
      </c>
      <c r="R35" s="669" t="s">
        <v>14</v>
      </c>
      <c r="S35" s="670">
        <f t="shared" si="12"/>
        <v>100</v>
      </c>
      <c r="T35" s="669" t="s">
        <v>14</v>
      </c>
      <c r="U35" s="670">
        <f t="shared" si="13"/>
        <v>100</v>
      </c>
      <c r="V35" s="669" t="s">
        <v>14</v>
      </c>
      <c r="W35" s="670">
        <f t="shared" si="14"/>
        <v>100</v>
      </c>
      <c r="X35" s="671"/>
      <c r="Y35" s="3433"/>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433"/>
      <c r="Q36" s="1262">
        <f t="shared" si="11"/>
        <v>111</v>
      </c>
      <c r="R36" s="667" t="s">
        <v>14</v>
      </c>
      <c r="S36" s="668">
        <f t="shared" si="12"/>
        <v>100</v>
      </c>
      <c r="T36" s="667" t="s">
        <v>14</v>
      </c>
      <c r="U36" s="668">
        <f t="shared" si="13"/>
        <v>100</v>
      </c>
      <c r="V36" s="667" t="s">
        <v>14</v>
      </c>
      <c r="W36" s="668">
        <f t="shared" si="14"/>
        <v>100</v>
      </c>
      <c r="X36" s="1264"/>
      <c r="Y36" s="3433"/>
      <c r="Z36" s="1263">
        <f t="shared" si="15"/>
        <v>111</v>
      </c>
      <c r="AA36" s="1263">
        <f t="shared" si="3"/>
        <v>1</v>
      </c>
      <c r="AB36" s="1263">
        <f t="shared" si="4"/>
        <v>1</v>
      </c>
      <c r="AC36" s="1263">
        <f t="shared" si="5"/>
        <v>1</v>
      </c>
    </row>
    <row r="37" spans="1:29" ht="15">
      <c r="A37" s="416" t="s">
        <v>1839</v>
      </c>
      <c r="B37" s="1818" t="s">
        <v>3340</v>
      </c>
      <c r="C37" s="1081" t="s">
        <v>0</v>
      </c>
      <c r="D37" s="418"/>
      <c r="E37" s="419"/>
      <c r="F37" s="420"/>
      <c r="G37" s="421"/>
      <c r="H37" s="422"/>
      <c r="I37" s="419"/>
      <c r="J37" s="422"/>
      <c r="K37" s="545"/>
      <c r="L37" s="2491"/>
      <c r="M37" s="2484"/>
      <c r="N37" s="2484"/>
      <c r="O37" s="2484"/>
      <c r="P37" s="3421" t="str">
        <f>A37</f>
        <v>成交单价</v>
      </c>
      <c r="Q37" s="3421"/>
      <c r="R37" s="3422">
        <f>E37</f>
        <v>0</v>
      </c>
      <c r="S37" s="3422"/>
      <c r="T37" s="3422">
        <f>G37</f>
        <v>0</v>
      </c>
      <c r="U37" s="3422"/>
      <c r="V37" s="3422">
        <f>I37</f>
        <v>0</v>
      </c>
      <c r="W37" s="3422"/>
      <c r="X37" s="385"/>
      <c r="Y37" s="673"/>
      <c r="Z37" s="385"/>
      <c r="AA37" s="385"/>
      <c r="AB37" s="385"/>
      <c r="AC37" s="385"/>
    </row>
    <row r="38" spans="1:29" ht="15.75" thickBot="1">
      <c r="A38" s="423" t="s">
        <v>1840</v>
      </c>
      <c r="B38" s="424" t="str">
        <f>B37</f>
        <v>元/平方米</v>
      </c>
      <c r="C38" s="1082" t="e">
        <f>R39</f>
        <v>#DIV/0!</v>
      </c>
      <c r="D38" s="2138" t="s">
        <v>2132</v>
      </c>
      <c r="E38" s="1083" t="e">
        <f>R38</f>
        <v>#DIV/0!</v>
      </c>
      <c r="F38" s="2139"/>
      <c r="G38" s="1082" t="e">
        <f>T38</f>
        <v>#DIV/0!</v>
      </c>
      <c r="H38" s="2139"/>
      <c r="I38" s="1083" t="e">
        <f>V38</f>
        <v>#DIV/0!</v>
      </c>
      <c r="J38" s="2139"/>
      <c r="K38" s="2141">
        <f>F38+H38+J38</f>
        <v>0</v>
      </c>
      <c r="L38" s="2491"/>
      <c r="M38" s="2484"/>
      <c r="N38" s="2484"/>
      <c r="O38" s="2484"/>
      <c r="P38" s="3421" t="str">
        <f>A38</f>
        <v>比较价值（元/平方米）</v>
      </c>
      <c r="Q38" s="3421"/>
      <c r="R38" s="3422" t="e">
        <f>IF(F1="售价",ROUND(PRODUCT(R37,AA7:AA36),0),ROUND(PRODUCT(R37,AA7:AA36),1))</f>
        <v>#DIV/0!</v>
      </c>
      <c r="S38" s="3422"/>
      <c r="T38" s="3422" t="e">
        <f>IF(F1="售价",ROUND(PRODUCT(T37,AB7:AB36),0),ROUND(PRODUCT(T37,AB7:AB36),1))</f>
        <v>#DIV/0!</v>
      </c>
      <c r="U38" s="3422"/>
      <c r="V38" s="3422" t="e">
        <f>IF(F1="售价",ROUND(PRODUCT(V37,AC7:AC36),0),ROUND(PRODUCT(V37,AC7:AC36),1))</f>
        <v>#DIV/0!</v>
      </c>
      <c r="W38" s="3422"/>
      <c r="X38" s="385"/>
      <c r="Y38" s="385"/>
      <c r="Z38" s="385"/>
      <c r="AA38" s="385"/>
      <c r="AB38" s="385"/>
      <c r="AC38" s="385"/>
    </row>
    <row r="39" spans="1:29" ht="15.75" thickBot="1">
      <c r="A39" s="427" t="s">
        <v>1841</v>
      </c>
      <c r="B39" s="428"/>
      <c r="C39" s="351" t="e">
        <f>R39</f>
        <v>#DIV/0!</v>
      </c>
      <c r="D39" s="351"/>
      <c r="E39" s="351"/>
      <c r="F39" s="351"/>
      <c r="G39" s="351"/>
      <c r="H39" s="351"/>
      <c r="I39" s="351"/>
      <c r="J39" s="351"/>
      <c r="K39" s="546"/>
      <c r="L39" s="2491"/>
      <c r="M39" s="2484"/>
      <c r="N39" s="2484"/>
      <c r="O39" s="2484"/>
      <c r="P39" s="3423" t="str">
        <f>A39</f>
        <v>估价对象XX用房的比较价值（楼面单价，元/平方米）</v>
      </c>
      <c r="Q39" s="3424"/>
      <c r="R39" s="3482" t="e">
        <f>IF(F1="售价",ROUND(IF(D38="简单平均",AVERAGE(R38:W38),R38*F38+T38*H38+V38*J38),0),ROUND(IF(D38="简单平均",AVERAGE(R38:V38),R38*F38+T38*H38+V38*J38),1))</f>
        <v>#DIV/0!</v>
      </c>
      <c r="S39" s="3482"/>
      <c r="T39" s="3482"/>
      <c r="U39" s="3482"/>
      <c r="V39" s="3482"/>
      <c r="W39" s="3482"/>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1842</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1843</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1844</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7" t="s">
        <v>1845</v>
      </c>
      <c r="B47" s="861"/>
      <c r="C47" s="886"/>
      <c r="D47" s="886"/>
      <c r="E47" s="886"/>
      <c r="F47" s="1088"/>
      <c r="G47" s="1088"/>
      <c r="H47" s="886"/>
      <c r="I47" s="886"/>
      <c r="J47" s="886"/>
      <c r="K47" s="887"/>
      <c r="L47" s="888"/>
      <c r="M47" s="886"/>
      <c r="N47" s="2534"/>
      <c r="O47" s="2534"/>
      <c r="P47" s="2523"/>
      <c r="Q47" s="2505"/>
      <c r="R47" s="2484"/>
      <c r="S47" s="2484"/>
      <c r="T47" s="2484"/>
      <c r="U47" s="2484"/>
      <c r="V47" s="2484"/>
      <c r="W47" s="2484"/>
      <c r="X47" s="2484"/>
      <c r="Y47" s="2484"/>
      <c r="Z47" s="2484"/>
      <c r="AA47" s="2484"/>
      <c r="AB47" s="2484"/>
      <c r="AC47" s="2484"/>
    </row>
    <row r="48" spans="1:29" s="442" customFormat="1" ht="15">
      <c r="A48" s="440" t="s">
        <v>1846</v>
      </c>
      <c r="B48" s="441"/>
      <c r="C48" s="1102" t="str">
        <f>YEAR(C7)&amp;"-"&amp;MONTH(C7)</f>
        <v>2024-4</v>
      </c>
      <c r="D48" s="1103">
        <f>EDATE(C48,-1)</f>
        <v>45352</v>
      </c>
      <c r="E48" s="1103">
        <f t="shared" ref="E48:O48" si="16">EDATE(D48,-1)</f>
        <v>45323</v>
      </c>
      <c r="F48" s="1103">
        <f t="shared" si="16"/>
        <v>45292</v>
      </c>
      <c r="G48" s="1103">
        <f t="shared" si="16"/>
        <v>45261</v>
      </c>
      <c r="H48" s="1103">
        <f t="shared" si="16"/>
        <v>45231</v>
      </c>
      <c r="I48" s="1103">
        <f t="shared" si="16"/>
        <v>45200</v>
      </c>
      <c r="J48" s="1103">
        <f t="shared" si="16"/>
        <v>45170</v>
      </c>
      <c r="K48" s="1103">
        <f t="shared" si="16"/>
        <v>45139</v>
      </c>
      <c r="L48" s="1103">
        <f t="shared" si="16"/>
        <v>45108</v>
      </c>
      <c r="M48" s="1103">
        <f t="shared" si="16"/>
        <v>45078</v>
      </c>
      <c r="N48" s="1103">
        <f t="shared" si="16"/>
        <v>45047</v>
      </c>
      <c r="O48" s="1103">
        <f t="shared" si="16"/>
        <v>45017</v>
      </c>
      <c r="P48" s="2524"/>
      <c r="Q48" s="2507"/>
      <c r="R48" s="2507"/>
      <c r="S48" s="2507"/>
      <c r="T48" s="2507"/>
      <c r="U48" s="2507"/>
      <c r="V48" s="2507"/>
      <c r="W48" s="2507"/>
      <c r="X48" s="2507"/>
      <c r="Y48" s="2507"/>
      <c r="Z48" s="2507"/>
      <c r="AA48" s="2507"/>
      <c r="AB48" s="2507"/>
      <c r="AC48" s="2507"/>
    </row>
    <row r="49" spans="1:29" s="102" customFormat="1" ht="15">
      <c r="A49" s="443"/>
      <c r="B49" s="444"/>
      <c r="C49" s="1097">
        <v>100</v>
      </c>
      <c r="D49" s="446"/>
      <c r="E49" s="446"/>
      <c r="F49" s="446"/>
      <c r="G49" s="446"/>
      <c r="H49" s="446"/>
      <c r="I49" s="446"/>
      <c r="J49" s="446"/>
      <c r="K49" s="446"/>
      <c r="L49" s="446"/>
      <c r="M49" s="447"/>
      <c r="N49" s="446"/>
      <c r="O49" s="447"/>
      <c r="P49" s="2525"/>
      <c r="Q49" s="2436"/>
      <c r="R49" s="2436"/>
      <c r="S49" s="2436"/>
      <c r="T49" s="2436"/>
      <c r="U49" s="2436"/>
      <c r="V49" s="2436"/>
      <c r="W49" s="2436"/>
      <c r="X49" s="2436"/>
      <c r="Y49" s="2436"/>
      <c r="Z49" s="2436"/>
      <c r="AA49" s="2436"/>
      <c r="AB49" s="2436"/>
      <c r="AC49" s="2436"/>
    </row>
    <row r="50" spans="1:29" s="102" customFormat="1" ht="15.75" thickBot="1">
      <c r="A50" s="449" t="s">
        <v>1711</v>
      </c>
      <c r="B50" s="450"/>
      <c r="C50" s="451"/>
      <c r="D50" s="452"/>
      <c r="E50" s="452"/>
      <c r="F50" s="452"/>
      <c r="G50" s="452"/>
      <c r="H50" s="452"/>
      <c r="I50" s="452"/>
      <c r="J50" s="452"/>
      <c r="K50" s="452"/>
      <c r="L50" s="452"/>
      <c r="M50" s="453"/>
      <c r="N50" s="452"/>
      <c r="O50" s="453"/>
      <c r="P50" s="2525"/>
      <c r="Q50" s="2505"/>
      <c r="R50" s="2436"/>
      <c r="S50" s="2436"/>
      <c r="T50" s="2436"/>
      <c r="U50" s="2436"/>
      <c r="V50" s="2436"/>
      <c r="W50" s="2436"/>
      <c r="X50" s="2436"/>
      <c r="Y50" s="2436"/>
      <c r="Z50" s="2436"/>
      <c r="AA50" s="2436"/>
      <c r="AB50" s="2436"/>
      <c r="AC50" s="2436"/>
    </row>
    <row r="51" spans="1:29" s="102" customFormat="1" ht="15">
      <c r="A51" s="455" t="s">
        <v>1676</v>
      </c>
      <c r="B51" s="444"/>
      <c r="C51" s="456" t="s">
        <v>1771</v>
      </c>
      <c r="D51" s="31"/>
      <c r="E51" s="31"/>
      <c r="F51" s="31"/>
      <c r="G51" s="31"/>
      <c r="H51" s="31"/>
      <c r="I51" s="31"/>
      <c r="J51" s="31"/>
      <c r="K51" s="31"/>
      <c r="L51" s="457"/>
      <c r="M51" s="458"/>
      <c r="N51" s="2517"/>
      <c r="O51" s="2517"/>
      <c r="P51" s="2526"/>
      <c r="Q51" s="2505"/>
      <c r="R51" s="2436"/>
      <c r="S51" s="2436"/>
      <c r="T51" s="2436"/>
      <c r="U51" s="2436"/>
      <c r="V51" s="2436"/>
      <c r="W51" s="2436"/>
      <c r="X51" s="2436"/>
      <c r="Y51" s="2436"/>
      <c r="Z51" s="2436"/>
      <c r="AA51" s="2436"/>
      <c r="AB51" s="2436"/>
      <c r="AC51" s="2436"/>
    </row>
    <row r="52" spans="1:29" s="102" customFormat="1" ht="15.75" thickBot="1">
      <c r="A52" s="455"/>
      <c r="B52" s="444"/>
      <c r="C52" s="563">
        <v>100</v>
      </c>
      <c r="D52" s="446"/>
      <c r="E52" s="446"/>
      <c r="F52" s="446"/>
      <c r="G52" s="446"/>
      <c r="H52" s="446"/>
      <c r="I52" s="446"/>
      <c r="J52" s="446"/>
      <c r="K52" s="446"/>
      <c r="L52" s="446"/>
      <c r="M52" s="448"/>
      <c r="N52" s="2517"/>
      <c r="O52" s="2517"/>
      <c r="P52" s="2525"/>
      <c r="Q52" s="2505"/>
      <c r="R52" s="2436"/>
      <c r="S52" s="2436"/>
      <c r="T52" s="2436"/>
      <c r="U52" s="2436"/>
      <c r="V52" s="2436"/>
      <c r="W52" s="2436"/>
      <c r="X52" s="2436"/>
      <c r="Y52" s="2436"/>
      <c r="Z52" s="2436"/>
      <c r="AA52" s="2436"/>
      <c r="AB52" s="2436"/>
      <c r="AC52" s="2436"/>
    </row>
    <row r="53" spans="1:29">
      <c r="A53" s="379" t="s">
        <v>1714</v>
      </c>
      <c r="B53" s="460" t="s">
        <v>1680</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5.75"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7.75" thickTop="1">
      <c r="A55" s="367"/>
      <c r="B55" s="469" t="s">
        <v>1683</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5.75"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5.75"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5.75"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5.75"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5.75"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5.75"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5.75"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1685</v>
      </c>
      <c r="B63" s="460" t="s">
        <v>1721</v>
      </c>
      <c r="C63" s="504" t="s">
        <v>1716</v>
      </c>
      <c r="D63" s="504" t="s">
        <v>1717</v>
      </c>
      <c r="E63" s="504" t="s">
        <v>1718</v>
      </c>
      <c r="F63" s="504" t="s">
        <v>1719</v>
      </c>
      <c r="G63" s="504" t="s">
        <v>1720</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75" thickTop="1">
      <c r="A65" s="367"/>
      <c r="B65" s="469" t="s">
        <v>1722</v>
      </c>
      <c r="C65" s="509" t="s">
        <v>1716</v>
      </c>
      <c r="D65" s="509" t="s">
        <v>1717</v>
      </c>
      <c r="E65" s="509" t="s">
        <v>1718</v>
      </c>
      <c r="F65" s="509" t="s">
        <v>1719</v>
      </c>
      <c r="G65" s="509" t="s">
        <v>1720</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75" thickTop="1">
      <c r="A67" s="367"/>
      <c r="B67" s="477" t="s">
        <v>1808</v>
      </c>
      <c r="C67" s="581" t="s">
        <v>1794</v>
      </c>
      <c r="D67" s="581" t="s">
        <v>1795</v>
      </c>
      <c r="E67" s="581" t="s">
        <v>1796</v>
      </c>
      <c r="F67" s="581" t="s">
        <v>1797</v>
      </c>
      <c r="G67" s="581" t="s">
        <v>1798</v>
      </c>
      <c r="H67" s="470"/>
      <c r="I67" s="470"/>
      <c r="J67" s="470"/>
      <c r="K67" s="470"/>
      <c r="L67" s="470"/>
      <c r="M67" s="1063"/>
      <c r="N67" s="2519"/>
      <c r="O67" s="2519"/>
      <c r="P67" s="2527"/>
      <c r="Q67" s="2505"/>
      <c r="R67" s="2484"/>
      <c r="S67" s="2484"/>
      <c r="T67" s="2484"/>
      <c r="U67" s="2484"/>
      <c r="V67" s="2484"/>
      <c r="W67" s="2484"/>
      <c r="X67" s="2484"/>
      <c r="Y67" s="2484"/>
      <c r="Z67" s="2484"/>
      <c r="AA67" s="2484"/>
      <c r="AB67" s="2484"/>
      <c r="AC67" s="2484"/>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75" thickTop="1">
      <c r="A69" s="367"/>
      <c r="B69" s="469" t="s">
        <v>1728</v>
      </c>
      <c r="C69" s="509" t="s">
        <v>1716</v>
      </c>
      <c r="D69" s="509" t="s">
        <v>1717</v>
      </c>
      <c r="E69" s="509" t="s">
        <v>1718</v>
      </c>
      <c r="F69" s="509" t="s">
        <v>1719</v>
      </c>
      <c r="G69" s="509" t="s">
        <v>1720</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75" thickTop="1">
      <c r="A71" s="367"/>
      <c r="B71" s="469" t="s">
        <v>1847</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5.75" thickTop="1">
      <c r="A73" s="370"/>
      <c r="B73" s="469">
        <f>B23</f>
        <v>111</v>
      </c>
      <c r="C73" s="480"/>
      <c r="D73" s="480"/>
      <c r="E73" s="480"/>
      <c r="F73" s="480"/>
      <c r="G73" s="485"/>
      <c r="H73" s="485"/>
      <c r="I73" s="485"/>
      <c r="J73" s="485"/>
      <c r="K73" s="485"/>
      <c r="L73" s="510"/>
      <c r="M73" s="511"/>
      <c r="N73" s="2517"/>
      <c r="O73" s="2517"/>
      <c r="P73" s="2527"/>
      <c r="Q73" s="2505"/>
      <c r="R73" s="2436"/>
      <c r="S73" s="2436"/>
      <c r="T73" s="2436"/>
      <c r="U73" s="2436"/>
      <c r="V73" s="2436"/>
      <c r="W73" s="2436"/>
      <c r="X73" s="2436"/>
      <c r="Y73" s="2436"/>
      <c r="Z73" s="2436"/>
      <c r="AA73" s="2436"/>
      <c r="AB73" s="2436"/>
      <c r="AC73" s="2436"/>
    </row>
    <row r="74" spans="1:29" s="102" customFormat="1" ht="15.75" thickBot="1">
      <c r="A74" s="370"/>
      <c r="B74" s="474"/>
      <c r="C74" s="491"/>
      <c r="D74" s="467"/>
      <c r="E74" s="467"/>
      <c r="F74" s="467"/>
      <c r="G74" s="467"/>
      <c r="H74" s="467"/>
      <c r="I74" s="467"/>
      <c r="J74" s="467"/>
      <c r="K74" s="467"/>
      <c r="L74" s="467"/>
      <c r="M74" s="468"/>
      <c r="N74" s="2519"/>
      <c r="O74" s="2519"/>
      <c r="P74" s="2527"/>
      <c r="Q74" s="2505"/>
      <c r="R74" s="2436"/>
      <c r="S74" s="2436"/>
      <c r="T74" s="2436"/>
      <c r="U74" s="2436"/>
      <c r="V74" s="2436"/>
      <c r="W74" s="2436"/>
      <c r="X74" s="2436"/>
      <c r="Y74" s="2436"/>
      <c r="Z74" s="2436"/>
      <c r="AA74" s="2436"/>
      <c r="AB74" s="2436"/>
      <c r="AC74" s="2436"/>
    </row>
    <row r="75" spans="1:29" s="102" customFormat="1" ht="15.75" thickTop="1">
      <c r="A75" s="370"/>
      <c r="B75" s="469">
        <f>B24</f>
        <v>111</v>
      </c>
      <c r="C75" s="480"/>
      <c r="D75" s="480"/>
      <c r="E75" s="480"/>
      <c r="F75" s="480"/>
      <c r="G75" s="485"/>
      <c r="H75" s="485"/>
      <c r="I75" s="485"/>
      <c r="J75" s="485"/>
      <c r="K75" s="485"/>
      <c r="L75" s="485"/>
      <c r="M75" s="511"/>
      <c r="N75" s="2517"/>
      <c r="O75" s="2517"/>
      <c r="P75" s="2527"/>
      <c r="Q75" s="2505"/>
      <c r="R75" s="2436"/>
      <c r="S75" s="2436"/>
      <c r="T75" s="2436"/>
      <c r="U75" s="2436"/>
      <c r="V75" s="2436"/>
      <c r="W75" s="2436"/>
      <c r="X75" s="2436"/>
      <c r="Y75" s="2436"/>
      <c r="Z75" s="2436"/>
      <c r="AA75" s="2436"/>
      <c r="AB75" s="2436"/>
      <c r="AC75" s="2436"/>
    </row>
    <row r="76" spans="1:29" s="102" customFormat="1" ht="15.75" thickBot="1">
      <c r="A76" s="370"/>
      <c r="B76" s="474"/>
      <c r="C76" s="491"/>
      <c r="D76" s="467"/>
      <c r="E76" s="467"/>
      <c r="F76" s="467"/>
      <c r="G76" s="467"/>
      <c r="H76" s="467"/>
      <c r="I76" s="467"/>
      <c r="J76" s="467"/>
      <c r="K76" s="467"/>
      <c r="L76" s="467"/>
      <c r="M76" s="468"/>
      <c r="N76" s="2519"/>
      <c r="O76" s="2519"/>
      <c r="P76" s="2527"/>
      <c r="Q76" s="2505"/>
      <c r="R76" s="2436"/>
      <c r="S76" s="2436"/>
      <c r="T76" s="2436"/>
      <c r="U76" s="2436"/>
      <c r="V76" s="2436"/>
      <c r="W76" s="2436"/>
      <c r="X76" s="2436"/>
      <c r="Y76" s="2436"/>
      <c r="Z76" s="2436"/>
      <c r="AA76" s="2436"/>
      <c r="AB76" s="2436"/>
      <c r="AC76" s="2436"/>
    </row>
    <row r="77" spans="1:29" s="408" customFormat="1" ht="15.75"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5.75"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7.75" thickTop="1">
      <c r="A79" s="379" t="s">
        <v>1689</v>
      </c>
      <c r="B79" s="460" t="s">
        <v>1848</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7"/>
      <c r="B81" s="469" t="s">
        <v>1849</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5.75"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1735</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1850</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1851</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1852</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1853</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1854</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5"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5.75"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5"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5.75"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5"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1826</v>
      </c>
      <c r="B1" s="1139" t="s">
        <v>3320</v>
      </c>
      <c r="C1" s="1140" t="s">
        <v>1657</v>
      </c>
      <c r="D1" s="1141"/>
      <c r="E1" s="3128"/>
      <c r="F1" s="1734"/>
      <c r="G1" s="1151" t="s">
        <v>1762</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1457</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1458</v>
      </c>
      <c r="F2" s="1738"/>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1459</v>
      </c>
      <c r="B3" s="536" t="e">
        <f>IF(C2="——",C37,ROUND(B2*10000/D3,0))</f>
        <v>#DIV/0!</v>
      </c>
      <c r="C3" s="344" t="s">
        <v>1763</v>
      </c>
      <c r="D3" s="343">
        <f>SUMIF('数据-汇总表'!$C19:$C33,D1,'数据-汇总表'!$E19:$E33)</f>
        <v>0</v>
      </c>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1764</v>
      </c>
      <c r="B4" s="346"/>
      <c r="C4" s="3439" t="s">
        <v>1765</v>
      </c>
      <c r="D4" s="3440"/>
      <c r="E4" s="3441" t="s">
        <v>1766</v>
      </c>
      <c r="F4" s="3442"/>
      <c r="G4" s="3439" t="s">
        <v>1767</v>
      </c>
      <c r="H4" s="3440"/>
      <c r="I4" s="3439" t="s">
        <v>1768</v>
      </c>
      <c r="J4" s="3440"/>
      <c r="K4" s="537" t="s">
        <v>1769</v>
      </c>
      <c r="L4" s="2483"/>
      <c r="M4" s="2484"/>
      <c r="N4" s="2484"/>
      <c r="O4" s="2484"/>
      <c r="P4" s="3443" t="s">
        <v>1770</v>
      </c>
      <c r="Q4" s="3444"/>
      <c r="R4" s="3449" t="s">
        <v>1766</v>
      </c>
      <c r="S4" s="3450"/>
      <c r="T4" s="3449" t="s">
        <v>1767</v>
      </c>
      <c r="U4" s="3450"/>
      <c r="V4" s="3422" t="s">
        <v>1768</v>
      </c>
      <c r="W4" s="3422"/>
      <c r="X4" s="1264"/>
      <c r="Y4" s="3449" t="s">
        <v>1770</v>
      </c>
      <c r="Z4" s="3450"/>
      <c r="AA4" s="3436" t="s">
        <v>1766</v>
      </c>
      <c r="AB4" s="3437" t="s">
        <v>1767</v>
      </c>
      <c r="AC4" s="3436" t="s">
        <v>1768</v>
      </c>
    </row>
    <row r="5" spans="1:29" ht="15">
      <c r="A5" s="348"/>
      <c r="B5" s="349"/>
      <c r="C5" s="3457" t="s">
        <v>1668</v>
      </c>
      <c r="D5" s="3458"/>
      <c r="E5" s="3464" t="s">
        <v>1669</v>
      </c>
      <c r="F5" s="3465"/>
      <c r="G5" s="3457" t="s">
        <v>1670</v>
      </c>
      <c r="H5" s="3458"/>
      <c r="I5" s="3457" t="s">
        <v>1671</v>
      </c>
      <c r="J5" s="3458"/>
      <c r="K5" s="537"/>
      <c r="L5" s="2483"/>
      <c r="M5" s="2484"/>
      <c r="N5" s="2484"/>
      <c r="O5" s="2484"/>
      <c r="P5" s="3445"/>
      <c r="Q5" s="3446"/>
      <c r="R5" s="3451"/>
      <c r="S5" s="3452"/>
      <c r="T5" s="3451"/>
      <c r="U5" s="3452"/>
      <c r="V5" s="3422"/>
      <c r="W5" s="3422"/>
      <c r="X5" s="1264"/>
      <c r="Y5" s="3451"/>
      <c r="Z5" s="3452"/>
      <c r="AA5" s="3437"/>
      <c r="AB5" s="3437"/>
      <c r="AC5" s="3437"/>
    </row>
    <row r="6" spans="1:29" ht="15.75" thickBot="1">
      <c r="A6" s="350"/>
      <c r="B6" s="351"/>
      <c r="C6" s="3455" t="s">
        <v>1672</v>
      </c>
      <c r="D6" s="3456"/>
      <c r="E6" s="3462" t="s">
        <v>1672</v>
      </c>
      <c r="F6" s="3463"/>
      <c r="G6" s="3455" t="s">
        <v>1672</v>
      </c>
      <c r="H6" s="3456"/>
      <c r="I6" s="3455" t="s">
        <v>1672</v>
      </c>
      <c r="J6" s="3456"/>
      <c r="K6" s="537" t="s">
        <v>1673</v>
      </c>
      <c r="L6" s="2483"/>
      <c r="M6" s="2484"/>
      <c r="N6" s="2484"/>
      <c r="O6" s="2484"/>
      <c r="P6" s="3447"/>
      <c r="Q6" s="3448"/>
      <c r="R6" s="3451"/>
      <c r="S6" s="3452"/>
      <c r="T6" s="3453"/>
      <c r="U6" s="3454"/>
      <c r="V6" s="3422"/>
      <c r="W6" s="3422"/>
      <c r="X6" s="1264"/>
      <c r="Y6" s="3453"/>
      <c r="Z6" s="3454"/>
      <c r="AA6" s="3438"/>
      <c r="AB6" s="3438"/>
      <c r="AC6" s="3438"/>
    </row>
    <row r="7" spans="1:29" s="102" customFormat="1" ht="15.75" thickBot="1">
      <c r="A7" s="352" t="s">
        <v>1674</v>
      </c>
      <c r="B7" s="353"/>
      <c r="C7" s="354">
        <f>'数据-取费表'!B2</f>
        <v>45383</v>
      </c>
      <c r="D7" s="355">
        <v>100</v>
      </c>
      <c r="E7" s="356"/>
      <c r="F7" s="357">
        <f>SUMIF(46:46,YEAR(E7)&amp;"-"&amp;MONTH(E7),47:47)</f>
        <v>0</v>
      </c>
      <c r="G7" s="1819"/>
      <c r="H7" s="355">
        <f>SUMIF(46:46,YEAR(G7)&amp;"-"&amp;MONTH(G7),47:47)</f>
        <v>0</v>
      </c>
      <c r="I7" s="356"/>
      <c r="J7" s="355">
        <f>SUMIF(46:46,YEAR(I7)&amp;"-"&amp;MONTH(I7),47:47)</f>
        <v>0</v>
      </c>
      <c r="K7" s="38"/>
      <c r="L7" s="2485"/>
      <c r="M7" s="2436"/>
      <c r="N7" s="2436"/>
      <c r="O7" s="2436"/>
      <c r="P7" s="3459" t="s">
        <v>1675</v>
      </c>
      <c r="Q7" s="3461"/>
      <c r="R7" s="664" t="s">
        <v>14</v>
      </c>
      <c r="S7" s="665">
        <f t="shared" ref="S7:S14" si="0">F7</f>
        <v>0</v>
      </c>
      <c r="T7" s="664" t="s">
        <v>14</v>
      </c>
      <c r="U7" s="665">
        <f t="shared" ref="U7:U14" si="1">H7</f>
        <v>0</v>
      </c>
      <c r="V7" s="664" t="s">
        <v>14</v>
      </c>
      <c r="W7" s="665">
        <f t="shared" ref="W7:W14" si="2">J7</f>
        <v>0</v>
      </c>
      <c r="X7" s="666"/>
      <c r="Y7" s="3459" t="s">
        <v>1675</v>
      </c>
      <c r="Z7" s="3460"/>
      <c r="AA7" s="50" t="e">
        <f>D7/F7</f>
        <v>#DIV/0!</v>
      </c>
      <c r="AB7" s="50" t="e">
        <f>D7/H7</f>
        <v>#DIV/0!</v>
      </c>
      <c r="AC7" s="50" t="e">
        <f>D7/J7</f>
        <v>#DIV/0!</v>
      </c>
    </row>
    <row r="8" spans="1:29" s="102" customFormat="1" ht="15.75" thickBot="1">
      <c r="A8" s="352" t="s">
        <v>1676</v>
      </c>
      <c r="B8" s="353"/>
      <c r="C8" s="358"/>
      <c r="D8" s="355">
        <v>100</v>
      </c>
      <c r="E8" s="358"/>
      <c r="F8" s="357">
        <f>SUMIF(49:49,E8,50:50)-SUMIF(49:49,C8,50:50)+100</f>
        <v>100</v>
      </c>
      <c r="G8" s="358"/>
      <c r="H8" s="355">
        <f>SUMIF(49:49,G8,50:50)-SUMIF(49:49,C8,50:50)+100</f>
        <v>100</v>
      </c>
      <c r="I8" s="358"/>
      <c r="J8" s="355">
        <f>SUMIF(49:49,I8,50:50)-SUMIF(49:49,C8,50:50)+100</f>
        <v>100</v>
      </c>
      <c r="K8" s="38"/>
      <c r="L8" s="2485"/>
      <c r="M8" s="2436"/>
      <c r="N8" s="2436"/>
      <c r="O8" s="2436"/>
      <c r="P8" s="3459" t="s">
        <v>1678</v>
      </c>
      <c r="Q8" s="3460"/>
      <c r="R8" s="664" t="s">
        <v>14</v>
      </c>
      <c r="S8" s="665">
        <f t="shared" si="0"/>
        <v>100</v>
      </c>
      <c r="T8" s="664" t="s">
        <v>14</v>
      </c>
      <c r="U8" s="665">
        <f t="shared" si="1"/>
        <v>100</v>
      </c>
      <c r="V8" s="664" t="s">
        <v>14</v>
      </c>
      <c r="W8" s="665">
        <f t="shared" si="2"/>
        <v>100</v>
      </c>
      <c r="X8" s="666"/>
      <c r="Y8" s="3459" t="s">
        <v>1678</v>
      </c>
      <c r="Z8" s="3460"/>
      <c r="AA8" s="50">
        <f t="shared" ref="AA8:AA34" si="3">D8/F8</f>
        <v>1</v>
      </c>
      <c r="AB8" s="50">
        <f t="shared" ref="AB8:AB34" si="4">D8/H8</f>
        <v>1</v>
      </c>
      <c r="AC8" s="50">
        <f t="shared" ref="AC8:AC34" si="5">D8/J8</f>
        <v>1</v>
      </c>
    </row>
    <row r="9" spans="1:29" s="102" customFormat="1">
      <c r="A9" s="359" t="s">
        <v>1679</v>
      </c>
      <c r="B9" s="60" t="s">
        <v>1680</v>
      </c>
      <c r="C9" s="360"/>
      <c r="D9" s="59">
        <v>100</v>
      </c>
      <c r="E9" s="362"/>
      <c r="F9" s="60">
        <f>SUMIF(51:51,E9,52:52)-SUMIF(51:51,C9,52:52)+100</f>
        <v>100</v>
      </c>
      <c r="G9" s="362"/>
      <c r="H9" s="59">
        <f>SUMIF(51:51,G9,52:52)-SUMIF(51:51,C9,52:52)+100</f>
        <v>100</v>
      </c>
      <c r="I9" s="362"/>
      <c r="J9" s="59">
        <f>SUMIF(51:51,I9,52:52)-SUMIF(51:51,C9,52:52)+100</f>
        <v>100</v>
      </c>
      <c r="K9" s="38"/>
      <c r="L9" s="2485"/>
      <c r="M9" s="2436"/>
      <c r="N9" s="2436"/>
      <c r="O9" s="2537"/>
      <c r="P9" s="3421" t="s">
        <v>1681</v>
      </c>
      <c r="Q9" s="530" t="str">
        <f t="shared" ref="Q9:Q14" si="6">B9</f>
        <v>用途</v>
      </c>
      <c r="R9" s="664" t="s">
        <v>14</v>
      </c>
      <c r="S9" s="665">
        <f t="shared" si="0"/>
        <v>100</v>
      </c>
      <c r="T9" s="664" t="s">
        <v>14</v>
      </c>
      <c r="U9" s="665">
        <f t="shared" si="1"/>
        <v>100</v>
      </c>
      <c r="V9" s="664" t="s">
        <v>14</v>
      </c>
      <c r="W9" s="665">
        <f t="shared" si="2"/>
        <v>100</v>
      </c>
      <c r="X9" s="666"/>
      <c r="Y9" s="3299" t="s">
        <v>1682</v>
      </c>
      <c r="Z9" s="50" t="str">
        <f t="shared" ref="Z9:Z14" si="7">Q9</f>
        <v>用途</v>
      </c>
      <c r="AA9" s="50">
        <f t="shared" si="3"/>
        <v>1</v>
      </c>
      <c r="AB9" s="50">
        <f t="shared" si="4"/>
        <v>1</v>
      </c>
      <c r="AC9" s="50">
        <f t="shared" si="5"/>
        <v>1</v>
      </c>
    </row>
    <row r="10" spans="1:29" s="366" customFormat="1" ht="27">
      <c r="A10" s="363"/>
      <c r="B10" s="364" t="s">
        <v>1683</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421"/>
      <c r="Q10" s="530" t="str">
        <f t="shared" si="6"/>
        <v>土地使用年限（年）</v>
      </c>
      <c r="R10" s="664" t="s">
        <v>14</v>
      </c>
      <c r="S10" s="665">
        <f t="shared" si="0"/>
        <v>100</v>
      </c>
      <c r="T10" s="664" t="s">
        <v>14</v>
      </c>
      <c r="U10" s="665">
        <f t="shared" si="1"/>
        <v>100</v>
      </c>
      <c r="V10" s="664" t="s">
        <v>14</v>
      </c>
      <c r="W10" s="665">
        <f t="shared" si="2"/>
        <v>100</v>
      </c>
      <c r="X10" s="666"/>
      <c r="Y10" s="329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421"/>
      <c r="Q11" s="530">
        <f t="shared" si="6"/>
        <v>111</v>
      </c>
      <c r="R11" s="664" t="s">
        <v>14</v>
      </c>
      <c r="S11" s="665">
        <f t="shared" si="0"/>
        <v>100</v>
      </c>
      <c r="T11" s="664" t="s">
        <v>14</v>
      </c>
      <c r="U11" s="665">
        <f t="shared" si="1"/>
        <v>100</v>
      </c>
      <c r="V11" s="664" t="s">
        <v>14</v>
      </c>
      <c r="W11" s="665">
        <f t="shared" si="2"/>
        <v>100</v>
      </c>
      <c r="X11" s="666"/>
      <c r="Y11" s="329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6"/>
      <c r="N12" s="2436"/>
      <c r="O12" s="2537"/>
      <c r="P12" s="3421"/>
      <c r="Q12" s="530">
        <f t="shared" si="6"/>
        <v>111</v>
      </c>
      <c r="R12" s="664" t="s">
        <v>14</v>
      </c>
      <c r="S12" s="665">
        <f t="shared" si="0"/>
        <v>100</v>
      </c>
      <c r="T12" s="664" t="s">
        <v>14</v>
      </c>
      <c r="U12" s="665">
        <f t="shared" si="1"/>
        <v>100</v>
      </c>
      <c r="V12" s="664" t="s">
        <v>14</v>
      </c>
      <c r="W12" s="665">
        <f t="shared" si="2"/>
        <v>100</v>
      </c>
      <c r="X12" s="666"/>
      <c r="Y12" s="329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89"/>
      <c r="M13" s="2484"/>
      <c r="N13" s="2484"/>
      <c r="O13" s="2539"/>
      <c r="P13" s="3421"/>
      <c r="Q13" s="530">
        <f t="shared" si="6"/>
        <v>111</v>
      </c>
      <c r="R13" s="664" t="s">
        <v>14</v>
      </c>
      <c r="S13" s="665">
        <f t="shared" si="0"/>
        <v>100</v>
      </c>
      <c r="T13" s="664" t="s">
        <v>14</v>
      </c>
      <c r="U13" s="665">
        <f t="shared" si="1"/>
        <v>100</v>
      </c>
      <c r="V13" s="664" t="s">
        <v>14</v>
      </c>
      <c r="W13" s="665">
        <f t="shared" si="2"/>
        <v>100</v>
      </c>
      <c r="X13" s="666"/>
      <c r="Y13" s="3299"/>
      <c r="Z13" s="50">
        <f t="shared" si="7"/>
        <v>111</v>
      </c>
      <c r="AA13" s="50">
        <f t="shared" si="3"/>
        <v>1</v>
      </c>
      <c r="AB13" s="50">
        <f t="shared" si="4"/>
        <v>1</v>
      </c>
      <c r="AC13" s="50">
        <f t="shared" si="5"/>
        <v>1</v>
      </c>
    </row>
    <row r="14" spans="1:29" ht="15">
      <c r="A14" s="379" t="s">
        <v>1685</v>
      </c>
      <c r="B14" s="58" t="s">
        <v>1828</v>
      </c>
      <c r="C14" s="1816">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428" t="s">
        <v>1686</v>
      </c>
      <c r="Q14" s="1262" t="str">
        <f t="shared" si="6"/>
        <v>交通便捷度</v>
      </c>
      <c r="R14" s="667" t="s">
        <v>14</v>
      </c>
      <c r="S14" s="668">
        <f t="shared" si="0"/>
        <v>100</v>
      </c>
      <c r="T14" s="667" t="s">
        <v>14</v>
      </c>
      <c r="U14" s="668">
        <f t="shared" si="1"/>
        <v>100</v>
      </c>
      <c r="V14" s="667" t="s">
        <v>14</v>
      </c>
      <c r="W14" s="668">
        <f t="shared" si="2"/>
        <v>100</v>
      </c>
      <c r="X14" s="1264"/>
      <c r="Y14" s="3428" t="s">
        <v>1686</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9"/>
      <c r="M15" s="2484"/>
      <c r="N15" s="2484"/>
      <c r="O15" s="2539"/>
      <c r="P15" s="3429"/>
      <c r="Q15" s="1262"/>
      <c r="R15" s="667"/>
      <c r="S15" s="668"/>
      <c r="T15" s="667"/>
      <c r="U15" s="668"/>
      <c r="V15" s="667"/>
      <c r="W15" s="668"/>
      <c r="X15" s="1264"/>
      <c r="Y15" s="3429"/>
      <c r="Z15" s="1263"/>
      <c r="AA15" s="1263">
        <v>1</v>
      </c>
      <c r="AB15" s="1263">
        <v>1</v>
      </c>
      <c r="AC15" s="1263">
        <v>1</v>
      </c>
    </row>
    <row r="16" spans="1:29" ht="15">
      <c r="A16" s="367"/>
      <c r="B16" s="390" t="s">
        <v>1807</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429"/>
      <c r="Q16" s="1262" t="str">
        <f>B16</f>
        <v>公共配套设施</v>
      </c>
      <c r="R16" s="667" t="s">
        <v>14</v>
      </c>
      <c r="S16" s="668">
        <f>F16</f>
        <v>100</v>
      </c>
      <c r="T16" s="667" t="s">
        <v>14</v>
      </c>
      <c r="U16" s="668">
        <f>H16</f>
        <v>100</v>
      </c>
      <c r="V16" s="667" t="s">
        <v>14</v>
      </c>
      <c r="W16" s="668">
        <f>J16</f>
        <v>100</v>
      </c>
      <c r="X16" s="1264"/>
      <c r="Y16" s="3429"/>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9"/>
      <c r="M17" s="2484"/>
      <c r="N17" s="2484"/>
      <c r="O17" s="2539"/>
      <c r="P17" s="3429"/>
      <c r="Q17" s="1262"/>
      <c r="R17" s="667"/>
      <c r="S17" s="668"/>
      <c r="T17" s="667"/>
      <c r="U17" s="668"/>
      <c r="V17" s="667"/>
      <c r="W17" s="668"/>
      <c r="X17" s="1264"/>
      <c r="Y17" s="3429"/>
      <c r="Z17" s="1263"/>
      <c r="AA17" s="1263">
        <v>1</v>
      </c>
      <c r="AB17" s="1263">
        <v>1</v>
      </c>
      <c r="AC17" s="1263">
        <v>1</v>
      </c>
    </row>
    <row r="18" spans="1:29" ht="15">
      <c r="A18" s="367"/>
      <c r="B18" s="586" t="s">
        <v>1808</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429"/>
      <c r="Q18" s="1262" t="str">
        <f>B18</f>
        <v>基础设施水平</v>
      </c>
      <c r="R18" s="667" t="s">
        <v>14</v>
      </c>
      <c r="S18" s="668">
        <f>F18</f>
        <v>100</v>
      </c>
      <c r="T18" s="667" t="s">
        <v>14</v>
      </c>
      <c r="U18" s="668">
        <f>H18</f>
        <v>100</v>
      </c>
      <c r="V18" s="667" t="s">
        <v>14</v>
      </c>
      <c r="W18" s="668">
        <f>J18</f>
        <v>100</v>
      </c>
      <c r="X18" s="1264"/>
      <c r="Y18" s="3429"/>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89"/>
      <c r="M19" s="2484"/>
      <c r="N19" s="2484"/>
      <c r="O19" s="2539"/>
      <c r="P19" s="3429"/>
      <c r="Q19" s="1262"/>
      <c r="R19" s="667"/>
      <c r="S19" s="668"/>
      <c r="T19" s="667"/>
      <c r="U19" s="668"/>
      <c r="V19" s="667"/>
      <c r="W19" s="668"/>
      <c r="X19" s="1264"/>
      <c r="Y19" s="3429"/>
      <c r="Z19" s="1263"/>
      <c r="AA19" s="1263">
        <v>1</v>
      </c>
      <c r="AB19" s="1263">
        <v>1</v>
      </c>
      <c r="AC19" s="1263">
        <v>1</v>
      </c>
    </row>
    <row r="20" spans="1:29" ht="15">
      <c r="A20" s="367"/>
      <c r="B20" s="390" t="s">
        <v>1829</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429"/>
      <c r="Q20" s="1262" t="str">
        <f>B20</f>
        <v>自然及人文环境</v>
      </c>
      <c r="R20" s="667" t="s">
        <v>14</v>
      </c>
      <c r="S20" s="668">
        <f>F20</f>
        <v>100</v>
      </c>
      <c r="T20" s="667" t="s">
        <v>14</v>
      </c>
      <c r="U20" s="668">
        <f>H20</f>
        <v>100</v>
      </c>
      <c r="V20" s="667" t="s">
        <v>14</v>
      </c>
      <c r="W20" s="668">
        <f>J20</f>
        <v>100</v>
      </c>
      <c r="X20" s="1264"/>
      <c r="Y20" s="3429"/>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9"/>
      <c r="M21" s="2484"/>
      <c r="N21" s="2484"/>
      <c r="O21" s="2539"/>
      <c r="P21" s="3429"/>
      <c r="Q21" s="1262"/>
      <c r="R21" s="667"/>
      <c r="S21" s="668"/>
      <c r="T21" s="667"/>
      <c r="U21" s="668"/>
      <c r="V21" s="667"/>
      <c r="W21" s="668"/>
      <c r="X21" s="1264"/>
      <c r="Y21" s="3429"/>
      <c r="Z21" s="1263"/>
      <c r="AA21" s="1263">
        <v>1</v>
      </c>
      <c r="AB21" s="1263">
        <v>1</v>
      </c>
      <c r="AC21" s="1263">
        <v>1</v>
      </c>
    </row>
    <row r="22" spans="1:29" ht="15">
      <c r="A22" s="367"/>
      <c r="B22" s="390" t="s">
        <v>1830</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429"/>
      <c r="Q22" s="1262" t="str">
        <f>B22</f>
        <v>楼层</v>
      </c>
      <c r="R22" s="667" t="s">
        <v>14</v>
      </c>
      <c r="S22" s="668">
        <f>F22</f>
        <v>100</v>
      </c>
      <c r="T22" s="667" t="s">
        <v>14</v>
      </c>
      <c r="U22" s="668">
        <f>H22</f>
        <v>100</v>
      </c>
      <c r="V22" s="667" t="s">
        <v>14</v>
      </c>
      <c r="W22" s="668">
        <f>J22</f>
        <v>100</v>
      </c>
      <c r="X22" s="1264"/>
      <c r="Y22" s="3429"/>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429"/>
      <c r="Q23" s="1262">
        <f>B23</f>
        <v>111</v>
      </c>
      <c r="R23" s="667" t="s">
        <v>14</v>
      </c>
      <c r="S23" s="668">
        <f>F23</f>
        <v>100</v>
      </c>
      <c r="T23" s="667" t="s">
        <v>14</v>
      </c>
      <c r="U23" s="668">
        <f>H23</f>
        <v>100</v>
      </c>
      <c r="V23" s="667" t="s">
        <v>14</v>
      </c>
      <c r="W23" s="668">
        <f>J23</f>
        <v>100</v>
      </c>
      <c r="X23" s="1264"/>
      <c r="Y23" s="3429"/>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429"/>
      <c r="Q24" s="1262">
        <f t="shared" ref="Q24:Q34" si="11">B24</f>
        <v>111</v>
      </c>
      <c r="R24" s="667" t="s">
        <v>14</v>
      </c>
      <c r="S24" s="668">
        <f>F24</f>
        <v>100</v>
      </c>
      <c r="T24" s="667" t="s">
        <v>14</v>
      </c>
      <c r="U24" s="668">
        <f>H24</f>
        <v>100</v>
      </c>
      <c r="V24" s="667" t="s">
        <v>14</v>
      </c>
      <c r="W24" s="668">
        <f>J24</f>
        <v>100</v>
      </c>
      <c r="X24" s="1264"/>
      <c r="Y24" s="3429"/>
      <c r="Z24" s="1263">
        <f>Q24</f>
        <v>111</v>
      </c>
      <c r="AA24" s="1263">
        <f t="shared" si="3"/>
        <v>1</v>
      </c>
      <c r="AB24" s="1263">
        <f t="shared" si="4"/>
        <v>1</v>
      </c>
      <c r="AC24" s="1263">
        <f t="shared" si="5"/>
        <v>1</v>
      </c>
    </row>
    <row r="25" spans="1:29" s="102" customFormat="1" ht="15.75"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5"/>
      <c r="M25" s="2436"/>
      <c r="N25" s="2436"/>
      <c r="O25" s="2537"/>
      <c r="P25" s="3429"/>
      <c r="Q25" s="530">
        <f t="shared" si="11"/>
        <v>111</v>
      </c>
      <c r="R25" s="664" t="s">
        <v>14</v>
      </c>
      <c r="S25" s="665">
        <f>F25</f>
        <v>100</v>
      </c>
      <c r="T25" s="664" t="s">
        <v>14</v>
      </c>
      <c r="U25" s="665">
        <f>H25</f>
        <v>100</v>
      </c>
      <c r="V25" s="664" t="s">
        <v>14</v>
      </c>
      <c r="W25" s="665">
        <f>J25</f>
        <v>100</v>
      </c>
      <c r="X25" s="666"/>
      <c r="Y25" s="3429"/>
      <c r="Z25" s="50">
        <f>Q25</f>
        <v>111</v>
      </c>
      <c r="AA25" s="1263">
        <f>D25/F25</f>
        <v>1</v>
      </c>
      <c r="AB25" s="1263">
        <f>D25/H25</f>
        <v>1</v>
      </c>
      <c r="AC25" s="1263">
        <f>D25/J25</f>
        <v>1</v>
      </c>
    </row>
    <row r="26" spans="1:29" ht="28.5">
      <c r="A26" s="404" t="s">
        <v>1689</v>
      </c>
      <c r="B26" s="60" t="s">
        <v>1833</v>
      </c>
      <c r="C26" s="1763"/>
      <c r="D26" s="405">
        <v>100</v>
      </c>
      <c r="E26" s="1763"/>
      <c r="F26" s="587">
        <f>SUMIF(77:77,E26,78:78)-SUMIF(77:77,C26,78:78)+100</f>
        <v>100</v>
      </c>
      <c r="G26" s="1763"/>
      <c r="H26" s="405">
        <f>SUMIF(77:77,G26,78:78)-SUMIF(77:77,C26,78:78)+100</f>
        <v>100</v>
      </c>
      <c r="I26" s="1763"/>
      <c r="J26" s="405">
        <f>SUMIF(77:77,I26,78:78)-SUMIF(77:77,C26,78:78)+100</f>
        <v>100</v>
      </c>
      <c r="K26" s="538"/>
      <c r="L26" s="2489"/>
      <c r="M26" s="2484"/>
      <c r="N26" s="2484"/>
      <c r="O26" s="2539"/>
      <c r="P26" s="3481" t="s">
        <v>1691</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33" t="s">
        <v>1691</v>
      </c>
      <c r="Z26" s="1263" t="str">
        <f t="shared" ref="Z26:Z34" si="15">Q26</f>
        <v>公共部分装修</v>
      </c>
      <c r="AA26" s="1263">
        <f t="shared" si="3"/>
        <v>1</v>
      </c>
      <c r="AB26" s="1263">
        <f t="shared" si="4"/>
        <v>1</v>
      </c>
      <c r="AC26" s="1263">
        <f t="shared" si="5"/>
        <v>1</v>
      </c>
    </row>
    <row r="27" spans="1:29" s="408" customFormat="1" ht="15">
      <c r="A27" s="406"/>
      <c r="B27" s="364" t="s">
        <v>1834</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433"/>
      <c r="Q27" s="531" t="str">
        <f t="shared" si="11"/>
        <v>成新率</v>
      </c>
      <c r="R27" s="669" t="s">
        <v>14</v>
      </c>
      <c r="S27" s="670" t="e">
        <f t="shared" si="12"/>
        <v>#N/A</v>
      </c>
      <c r="T27" s="669" t="s">
        <v>14</v>
      </c>
      <c r="U27" s="670" t="e">
        <f t="shared" si="13"/>
        <v>#N/A</v>
      </c>
      <c r="V27" s="669" t="s">
        <v>14</v>
      </c>
      <c r="W27" s="670" t="e">
        <f t="shared" si="14"/>
        <v>#N/A</v>
      </c>
      <c r="X27" s="671"/>
      <c r="Y27" s="3433"/>
      <c r="Z27" s="672" t="str">
        <f t="shared" si="15"/>
        <v>成新率</v>
      </c>
      <c r="AA27" s="1263" t="e">
        <f t="shared" si="3"/>
        <v>#N/A</v>
      </c>
      <c r="AB27" s="1263" t="e">
        <f t="shared" si="4"/>
        <v>#N/A</v>
      </c>
      <c r="AC27" s="1263" t="e">
        <f t="shared" si="5"/>
        <v>#N/A</v>
      </c>
    </row>
    <row r="28" spans="1:29" ht="15">
      <c r="A28" s="409"/>
      <c r="B28" s="364" t="s">
        <v>1835</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433"/>
      <c r="Q28" s="1262" t="str">
        <f t="shared" si="11"/>
        <v>物业等级</v>
      </c>
      <c r="R28" s="667" t="s">
        <v>14</v>
      </c>
      <c r="S28" s="668">
        <f t="shared" si="12"/>
        <v>100</v>
      </c>
      <c r="T28" s="667" t="s">
        <v>14</v>
      </c>
      <c r="U28" s="668">
        <f t="shared" si="13"/>
        <v>100</v>
      </c>
      <c r="V28" s="667" t="s">
        <v>14</v>
      </c>
      <c r="W28" s="668">
        <f t="shared" si="14"/>
        <v>100</v>
      </c>
      <c r="X28" s="1264"/>
      <c r="Y28" s="3433"/>
      <c r="Z28" s="1263" t="str">
        <f t="shared" si="15"/>
        <v>物业等级</v>
      </c>
      <c r="AA28" s="1263">
        <f t="shared" si="3"/>
        <v>1</v>
      </c>
      <c r="AB28" s="1263">
        <f t="shared" si="4"/>
        <v>1</v>
      </c>
      <c r="AC28" s="1263">
        <f t="shared" si="5"/>
        <v>1</v>
      </c>
    </row>
    <row r="29" spans="1:29" ht="15">
      <c r="A29" s="409"/>
      <c r="B29" s="364" t="s">
        <v>1855</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433"/>
      <c r="Q29" s="1262" t="str">
        <f t="shared" si="11"/>
        <v>有无电梯</v>
      </c>
      <c r="R29" s="667" t="s">
        <v>14</v>
      </c>
      <c r="S29" s="668">
        <f t="shared" si="12"/>
        <v>100</v>
      </c>
      <c r="T29" s="667" t="s">
        <v>14</v>
      </c>
      <c r="U29" s="668">
        <f t="shared" si="13"/>
        <v>100</v>
      </c>
      <c r="V29" s="667" t="s">
        <v>14</v>
      </c>
      <c r="W29" s="668">
        <f t="shared" si="14"/>
        <v>100</v>
      </c>
      <c r="X29" s="1264"/>
      <c r="Y29" s="3433"/>
      <c r="Z29" s="1263" t="str">
        <f t="shared" si="15"/>
        <v>有无电梯</v>
      </c>
      <c r="AA29" s="1263">
        <f t="shared" si="3"/>
        <v>1</v>
      </c>
      <c r="AB29" s="1263">
        <f t="shared" si="4"/>
        <v>1</v>
      </c>
      <c r="AC29" s="1263">
        <f t="shared" si="5"/>
        <v>1</v>
      </c>
    </row>
    <row r="30" spans="1:29" ht="15">
      <c r="A30" s="409"/>
      <c r="B30" s="364" t="s">
        <v>1856</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433"/>
      <c r="Q30" s="1262" t="str">
        <f t="shared" si="11"/>
        <v>建筑面积</v>
      </c>
      <c r="R30" s="667" t="s">
        <v>14</v>
      </c>
      <c r="S30" s="668" t="e">
        <f t="shared" si="12"/>
        <v>#N/A</v>
      </c>
      <c r="T30" s="667" t="s">
        <v>14</v>
      </c>
      <c r="U30" s="668" t="e">
        <f t="shared" si="13"/>
        <v>#N/A</v>
      </c>
      <c r="V30" s="667" t="s">
        <v>14</v>
      </c>
      <c r="W30" s="668" t="e">
        <f t="shared" si="14"/>
        <v>#N/A</v>
      </c>
      <c r="X30" s="1264"/>
      <c r="Y30" s="3433"/>
      <c r="Z30" s="1263" t="str">
        <f t="shared" si="15"/>
        <v>建筑面积</v>
      </c>
      <c r="AA30" s="1263" t="e">
        <f t="shared" si="3"/>
        <v>#N/A</v>
      </c>
      <c r="AB30" s="1263" t="e">
        <f t="shared" si="4"/>
        <v>#N/A</v>
      </c>
      <c r="AC30" s="1263" t="e">
        <f t="shared" si="5"/>
        <v>#N/A</v>
      </c>
    </row>
    <row r="31" spans="1:29" s="102" customFormat="1" ht="15">
      <c r="A31" s="410"/>
      <c r="B31" s="364" t="s">
        <v>1857</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6"/>
      <c r="N31" s="2436"/>
      <c r="O31" s="2537"/>
      <c r="P31" s="3433"/>
      <c r="Q31" s="530" t="str">
        <f t="shared" si="11"/>
        <v>是否封闭</v>
      </c>
      <c r="R31" s="664" t="s">
        <v>14</v>
      </c>
      <c r="S31" s="665">
        <f t="shared" si="12"/>
        <v>100</v>
      </c>
      <c r="T31" s="664" t="s">
        <v>14</v>
      </c>
      <c r="U31" s="665">
        <f t="shared" si="13"/>
        <v>100</v>
      </c>
      <c r="V31" s="664" t="s">
        <v>14</v>
      </c>
      <c r="W31" s="665">
        <f t="shared" si="14"/>
        <v>100</v>
      </c>
      <c r="X31" s="666"/>
      <c r="Y31" s="343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433" t="s">
        <v>1691</v>
      </c>
      <c r="Q32" s="1262">
        <f t="shared" si="11"/>
        <v>111</v>
      </c>
      <c r="R32" s="667" t="s">
        <v>14</v>
      </c>
      <c r="S32" s="668">
        <f t="shared" si="12"/>
        <v>100</v>
      </c>
      <c r="T32" s="667" t="s">
        <v>14</v>
      </c>
      <c r="U32" s="668">
        <f t="shared" si="13"/>
        <v>100</v>
      </c>
      <c r="V32" s="667" t="s">
        <v>14</v>
      </c>
      <c r="W32" s="668">
        <f t="shared" si="14"/>
        <v>100</v>
      </c>
      <c r="X32" s="1264"/>
      <c r="Y32" s="3433" t="s">
        <v>1691</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433"/>
      <c r="Q33" s="1262">
        <f t="shared" si="11"/>
        <v>111</v>
      </c>
      <c r="R33" s="667" t="s">
        <v>14</v>
      </c>
      <c r="S33" s="668">
        <f t="shared" si="12"/>
        <v>100</v>
      </c>
      <c r="T33" s="667" t="s">
        <v>14</v>
      </c>
      <c r="U33" s="668">
        <f t="shared" si="13"/>
        <v>100</v>
      </c>
      <c r="V33" s="667" t="s">
        <v>14</v>
      </c>
      <c r="W33" s="668">
        <f t="shared" si="14"/>
        <v>100</v>
      </c>
      <c r="X33" s="1264"/>
      <c r="Y33" s="3433"/>
      <c r="Z33" s="1263">
        <f t="shared" si="15"/>
        <v>111</v>
      </c>
      <c r="AA33" s="1263">
        <f t="shared" si="3"/>
        <v>1</v>
      </c>
      <c r="AB33" s="1263">
        <f t="shared" si="4"/>
        <v>1</v>
      </c>
      <c r="AC33" s="1263">
        <f t="shared" si="5"/>
        <v>1</v>
      </c>
    </row>
    <row r="34" spans="1:30" ht="15.75" thickBot="1">
      <c r="A34" s="415"/>
      <c r="B34" s="1748">
        <v>111</v>
      </c>
      <c r="C34" s="376"/>
      <c r="D34" s="377">
        <v>100</v>
      </c>
      <c r="E34" s="1820"/>
      <c r="F34" s="378">
        <f>SUMIF(95:95,E34,96:96)-SUMIF(95:95,C34,96:96)+100</f>
        <v>100</v>
      </c>
      <c r="G34" s="1820"/>
      <c r="H34" s="377">
        <f>SUMIF(95:95,G34,96:96)-SUMIF(95:95,C34,96:96)+100</f>
        <v>100</v>
      </c>
      <c r="I34" s="1820"/>
      <c r="J34" s="377">
        <f>SUMIF(95:95,I34,96:96)-SUMIF(95:95,C34,96:96)+100</f>
        <v>100</v>
      </c>
      <c r="K34" s="539"/>
      <c r="L34" s="2489"/>
      <c r="M34" s="2484"/>
      <c r="N34" s="2484"/>
      <c r="O34" s="2539"/>
      <c r="P34" s="3433"/>
      <c r="Q34" s="1262">
        <f t="shared" si="11"/>
        <v>111</v>
      </c>
      <c r="R34" s="667" t="s">
        <v>14</v>
      </c>
      <c r="S34" s="668">
        <f t="shared" si="12"/>
        <v>100</v>
      </c>
      <c r="T34" s="667" t="s">
        <v>14</v>
      </c>
      <c r="U34" s="668">
        <f t="shared" si="13"/>
        <v>100</v>
      </c>
      <c r="V34" s="667" t="s">
        <v>14</v>
      </c>
      <c r="W34" s="668">
        <f t="shared" si="14"/>
        <v>100</v>
      </c>
      <c r="X34" s="1264"/>
      <c r="Y34" s="3433"/>
      <c r="Z34" s="1263">
        <f t="shared" si="15"/>
        <v>111</v>
      </c>
      <c r="AA34" s="1263">
        <f t="shared" si="3"/>
        <v>1</v>
      </c>
      <c r="AB34" s="1263">
        <f t="shared" si="4"/>
        <v>1</v>
      </c>
      <c r="AC34" s="1263">
        <f t="shared" si="5"/>
        <v>1</v>
      </c>
    </row>
    <row r="35" spans="1:30" ht="15">
      <c r="A35" s="416" t="s">
        <v>1703</v>
      </c>
      <c r="B35" s="417"/>
      <c r="C35" s="1081" t="s">
        <v>0</v>
      </c>
      <c r="D35" s="418"/>
      <c r="E35" s="419"/>
      <c r="F35" s="420"/>
      <c r="G35" s="421"/>
      <c r="H35" s="422"/>
      <c r="I35" s="419"/>
      <c r="J35" s="422"/>
      <c r="K35" s="674"/>
      <c r="L35" s="2491"/>
      <c r="M35" s="2484"/>
      <c r="N35" s="2484"/>
      <c r="O35" s="2484"/>
      <c r="P35" s="3421" t="str">
        <f>A35</f>
        <v>成交单价（元/平方米）</v>
      </c>
      <c r="Q35" s="3421"/>
      <c r="R35" s="3422">
        <f>E35</f>
        <v>0</v>
      </c>
      <c r="S35" s="3422"/>
      <c r="T35" s="3422">
        <f>G35</f>
        <v>0</v>
      </c>
      <c r="U35" s="3422"/>
      <c r="V35" s="3422">
        <f>I35</f>
        <v>0</v>
      </c>
      <c r="W35" s="3422"/>
      <c r="X35" s="385"/>
      <c r="Y35" s="673"/>
      <c r="Z35" s="385"/>
      <c r="AA35" s="385"/>
      <c r="AB35" s="385"/>
      <c r="AC35" s="385"/>
    </row>
    <row r="36" spans="1:30" ht="15.75" thickBot="1">
      <c r="A36" s="423" t="s">
        <v>1788</v>
      </c>
      <c r="B36" s="424"/>
      <c r="C36" s="1082" t="e">
        <f>R37</f>
        <v>#DIV/0!</v>
      </c>
      <c r="D36" s="2138" t="s">
        <v>2132</v>
      </c>
      <c r="E36" s="1083" t="e">
        <f>R36</f>
        <v>#DIV/0!</v>
      </c>
      <c r="F36" s="2139"/>
      <c r="G36" s="1082" t="e">
        <f>T36</f>
        <v>#DIV/0!</v>
      </c>
      <c r="H36" s="2139"/>
      <c r="I36" s="1083" t="e">
        <f>V36</f>
        <v>#DIV/0!</v>
      </c>
      <c r="J36" s="2139"/>
      <c r="K36" s="2141">
        <f>F36+H36+J36</f>
        <v>0</v>
      </c>
      <c r="L36" s="2491"/>
      <c r="M36" s="2484"/>
      <c r="N36" s="2484"/>
      <c r="O36" s="2484"/>
      <c r="P36" s="3421" t="str">
        <f>A36</f>
        <v>比较价值（元/平方米）</v>
      </c>
      <c r="Q36" s="3421"/>
      <c r="R36" s="3422" t="e">
        <f>IF(F1="售价",ROUND(PRODUCT(R35,AA7:AA34),0),ROUND(PRODUCT(R35,AA7:AA34),1))</f>
        <v>#DIV/0!</v>
      </c>
      <c r="S36" s="3422"/>
      <c r="T36" s="3422" t="e">
        <f>IF(F1="售价",ROUND(PRODUCT(T35,AB7:AB34),0),ROUND(PRODUCT(T35,AB7:AB34),1))</f>
        <v>#DIV/0!</v>
      </c>
      <c r="U36" s="3422"/>
      <c r="V36" s="3422" t="e">
        <f>IF(F1="售价",ROUND(PRODUCT(V35,AC7:AC34),0),ROUND(PRODUCT(V35,AC7:AC34),1))</f>
        <v>#DIV/0!</v>
      </c>
      <c r="W36" s="3422"/>
      <c r="X36" s="385"/>
      <c r="Y36" s="385"/>
      <c r="Z36" s="385"/>
      <c r="AA36" s="385"/>
      <c r="AB36" s="385"/>
      <c r="AC36" s="385"/>
    </row>
    <row r="37" spans="1:30" ht="15.75" thickBot="1">
      <c r="A37" s="427" t="s">
        <v>1789</v>
      </c>
      <c r="B37" s="428"/>
      <c r="C37" s="351" t="e">
        <f>R37</f>
        <v>#DIV/0!</v>
      </c>
      <c r="D37" s="351"/>
      <c r="E37" s="351"/>
      <c r="F37" s="351"/>
      <c r="G37" s="351"/>
      <c r="H37" s="351"/>
      <c r="I37" s="351"/>
      <c r="J37" s="351"/>
      <c r="K37" s="675"/>
      <c r="L37" s="2491"/>
      <c r="M37" s="2484"/>
      <c r="N37" s="2484"/>
      <c r="O37" s="2484"/>
      <c r="P37" s="3423" t="str">
        <f>A37</f>
        <v>估价对象XX用房的比较价值（楼面单价，元/平方米）</v>
      </c>
      <c r="Q37" s="3424"/>
      <c r="R37" s="3482" t="e">
        <f>IF(F1="售价",ROUND(IF(D36="简单平均",AVERAGE(R36:W36),R36*F36+T36*H36+V36*J36),0),ROUND(IF(D36="简单平均",AVERAGE(R36:V36),R36*F36+T36*H36+V36*J36),1))</f>
        <v>#DIV/0!</v>
      </c>
      <c r="S37" s="3482"/>
      <c r="T37" s="3482"/>
      <c r="U37" s="3482"/>
      <c r="V37" s="3482"/>
      <c r="W37" s="3482"/>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1790</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1791</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1792</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8" t="s">
        <v>1793</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5">
      <c r="A46" s="440" t="s">
        <v>1674</v>
      </c>
      <c r="B46" s="441"/>
      <c r="C46" s="1102" t="str">
        <f>YEAR(C7)&amp;"-"&amp;MONTH(C7)</f>
        <v>2024-4</v>
      </c>
      <c r="D46" s="1103">
        <f>EDATE(C46,-1)</f>
        <v>45352</v>
      </c>
      <c r="E46" s="1103">
        <f t="shared" ref="E46:O46" si="16">EDATE(D46,-1)</f>
        <v>45323</v>
      </c>
      <c r="F46" s="1103">
        <f t="shared" si="16"/>
        <v>45292</v>
      </c>
      <c r="G46" s="1103">
        <f t="shared" si="16"/>
        <v>45261</v>
      </c>
      <c r="H46" s="1103">
        <f t="shared" si="16"/>
        <v>45231</v>
      </c>
      <c r="I46" s="1103">
        <f t="shared" si="16"/>
        <v>45200</v>
      </c>
      <c r="J46" s="1103">
        <f t="shared" si="16"/>
        <v>45170</v>
      </c>
      <c r="K46" s="1103">
        <f t="shared" si="16"/>
        <v>45139</v>
      </c>
      <c r="L46" s="1103">
        <f t="shared" si="16"/>
        <v>45108</v>
      </c>
      <c r="M46" s="1103">
        <f t="shared" si="16"/>
        <v>45078</v>
      </c>
      <c r="N46" s="1103">
        <f t="shared" si="16"/>
        <v>45047</v>
      </c>
      <c r="O46" s="1103">
        <f t="shared" si="16"/>
        <v>45017</v>
      </c>
      <c r="P46" s="2507"/>
      <c r="Q46" s="2507"/>
      <c r="R46" s="2507"/>
      <c r="S46" s="2507"/>
      <c r="T46" s="2507"/>
      <c r="U46" s="2507"/>
      <c r="V46" s="2507"/>
      <c r="W46" s="2507"/>
      <c r="X46" s="2507"/>
      <c r="Y46" s="2507"/>
      <c r="Z46" s="2507"/>
      <c r="AA46" s="2507"/>
      <c r="AB46" s="2507"/>
      <c r="AC46" s="2507"/>
      <c r="AD46" s="2507"/>
    </row>
    <row r="47" spans="1:30" s="102" customFormat="1" ht="15">
      <c r="A47" s="443"/>
      <c r="B47" s="444"/>
      <c r="C47" s="1101">
        <v>100</v>
      </c>
      <c r="D47" s="446"/>
      <c r="E47" s="446"/>
      <c r="F47" s="446"/>
      <c r="G47" s="446"/>
      <c r="H47" s="446"/>
      <c r="I47" s="446"/>
      <c r="J47" s="446"/>
      <c r="K47" s="446"/>
      <c r="L47" s="446"/>
      <c r="M47" s="447"/>
      <c r="N47" s="446"/>
      <c r="O47" s="448"/>
      <c r="P47" s="2505"/>
      <c r="Q47" s="2436"/>
      <c r="R47" s="2436"/>
      <c r="S47" s="2436"/>
      <c r="T47" s="2436"/>
      <c r="U47" s="2436"/>
      <c r="V47" s="2436"/>
      <c r="W47" s="2436"/>
      <c r="X47" s="2436"/>
      <c r="Y47" s="2436"/>
      <c r="Z47" s="2436"/>
      <c r="AA47" s="2436"/>
      <c r="AB47" s="2436"/>
      <c r="AC47" s="2436"/>
      <c r="AD47" s="2436"/>
    </row>
    <row r="48" spans="1:30" s="102" customFormat="1" ht="15.75" thickBot="1">
      <c r="A48" s="449" t="s">
        <v>1711</v>
      </c>
      <c r="B48" s="450"/>
      <c r="C48" s="451"/>
      <c r="D48" s="452"/>
      <c r="E48" s="452"/>
      <c r="F48" s="452"/>
      <c r="G48" s="452"/>
      <c r="H48" s="452"/>
      <c r="I48" s="452"/>
      <c r="J48" s="452"/>
      <c r="K48" s="452"/>
      <c r="L48" s="452"/>
      <c r="M48" s="453"/>
      <c r="N48" s="452"/>
      <c r="O48" s="454"/>
      <c r="P48" s="2505"/>
      <c r="Q48" s="2505"/>
      <c r="R48" s="2436"/>
      <c r="S48" s="2436"/>
      <c r="T48" s="2436"/>
      <c r="U48" s="2436"/>
      <c r="V48" s="2436"/>
      <c r="W48" s="2436"/>
      <c r="X48" s="2436"/>
      <c r="Y48" s="2436"/>
      <c r="Z48" s="2436"/>
      <c r="AA48" s="2436"/>
      <c r="AB48" s="2436"/>
      <c r="AC48" s="2436"/>
      <c r="AD48" s="2436"/>
    </row>
    <row r="49" spans="1:30" s="102" customFormat="1" ht="15">
      <c r="A49" s="455" t="s">
        <v>1676</v>
      </c>
      <c r="B49" s="444"/>
      <c r="C49" s="456" t="s">
        <v>1771</v>
      </c>
      <c r="D49" s="31"/>
      <c r="E49" s="31"/>
      <c r="F49" s="31"/>
      <c r="G49" s="31"/>
      <c r="H49" s="31"/>
      <c r="I49" s="31"/>
      <c r="J49" s="31"/>
      <c r="K49" s="31"/>
      <c r="L49" s="457"/>
      <c r="M49" s="458"/>
      <c r="N49" s="2517"/>
      <c r="O49" s="2517"/>
      <c r="P49" s="2541"/>
      <c r="Q49" s="2505"/>
      <c r="R49" s="2436"/>
      <c r="S49" s="2436"/>
      <c r="T49" s="2436"/>
      <c r="U49" s="2436"/>
      <c r="V49" s="2436"/>
      <c r="W49" s="2436"/>
      <c r="X49" s="2436"/>
      <c r="Y49" s="2436"/>
      <c r="Z49" s="2436"/>
      <c r="AA49" s="2436"/>
      <c r="AB49" s="2436"/>
      <c r="AC49" s="2436"/>
      <c r="AD49" s="2436"/>
    </row>
    <row r="50" spans="1:30" s="102" customFormat="1" ht="15.75" thickBot="1">
      <c r="A50" s="455"/>
      <c r="B50" s="444"/>
      <c r="C50" s="563">
        <v>100</v>
      </c>
      <c r="D50" s="446"/>
      <c r="E50" s="446"/>
      <c r="F50" s="446"/>
      <c r="G50" s="446"/>
      <c r="H50" s="446"/>
      <c r="I50" s="446"/>
      <c r="J50" s="446"/>
      <c r="K50" s="446"/>
      <c r="L50" s="446"/>
      <c r="M50" s="448"/>
      <c r="N50" s="2517"/>
      <c r="O50" s="2517"/>
      <c r="P50" s="2505"/>
      <c r="Q50" s="2505"/>
      <c r="R50" s="2436"/>
      <c r="S50" s="2436"/>
      <c r="T50" s="2436"/>
      <c r="U50" s="2436"/>
      <c r="V50" s="2436"/>
      <c r="W50" s="2436"/>
      <c r="X50" s="2436"/>
      <c r="Y50" s="2436"/>
      <c r="Z50" s="2436"/>
      <c r="AA50" s="2436"/>
      <c r="AB50" s="2436"/>
      <c r="AC50" s="2436"/>
      <c r="AD50" s="2436"/>
    </row>
    <row r="51" spans="1:30">
      <c r="A51" s="379" t="s">
        <v>1714</v>
      </c>
      <c r="B51" s="460" t="s">
        <v>1680</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5.75"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7.75" thickTop="1">
      <c r="A53" s="367"/>
      <c r="B53" s="469" t="s">
        <v>1683</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5.75"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5.75"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5.75"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5.75"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5.75"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5.75"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5.75"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1685</v>
      </c>
      <c r="B61" s="460" t="s">
        <v>1721</v>
      </c>
      <c r="C61" s="504" t="s">
        <v>1716</v>
      </c>
      <c r="D61" s="504" t="s">
        <v>1717</v>
      </c>
      <c r="E61" s="504" t="s">
        <v>1718</v>
      </c>
      <c r="F61" s="504" t="s">
        <v>1719</v>
      </c>
      <c r="G61" s="504" t="s">
        <v>1720</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7.75" thickTop="1">
      <c r="A63" s="367"/>
      <c r="B63" s="469" t="s">
        <v>1858</v>
      </c>
      <c r="C63" s="509" t="s">
        <v>1716</v>
      </c>
      <c r="D63" s="509" t="s">
        <v>1717</v>
      </c>
      <c r="E63" s="509" t="s">
        <v>1718</v>
      </c>
      <c r="F63" s="509" t="s">
        <v>1719</v>
      </c>
      <c r="G63" s="509" t="s">
        <v>1720</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75" thickTop="1">
      <c r="A65" s="367"/>
      <c r="B65" s="477" t="s">
        <v>1808</v>
      </c>
      <c r="C65" s="581" t="s">
        <v>1794</v>
      </c>
      <c r="D65" s="581" t="s">
        <v>1795</v>
      </c>
      <c r="E65" s="581" t="s">
        <v>1796</v>
      </c>
      <c r="F65" s="581" t="s">
        <v>1797</v>
      </c>
      <c r="G65" s="581" t="s">
        <v>1798</v>
      </c>
      <c r="H65" s="470"/>
      <c r="I65" s="470"/>
      <c r="J65" s="470"/>
      <c r="K65" s="470"/>
      <c r="L65" s="470"/>
      <c r="M65" s="1063"/>
      <c r="N65" s="2519"/>
      <c r="O65" s="2519"/>
      <c r="P65" s="2517"/>
      <c r="Q65" s="2505"/>
      <c r="R65" s="2484"/>
      <c r="S65" s="2484"/>
      <c r="T65" s="2484"/>
      <c r="U65" s="2484"/>
      <c r="V65" s="2484"/>
      <c r="W65" s="2484"/>
      <c r="X65" s="2484"/>
      <c r="Y65" s="2484"/>
      <c r="Z65" s="2484"/>
      <c r="AA65" s="2484"/>
      <c r="AB65" s="2484"/>
      <c r="AC65" s="2484"/>
      <c r="AD65" s="2484"/>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75" thickTop="1">
      <c r="A67" s="367"/>
      <c r="B67" s="469" t="s">
        <v>1728</v>
      </c>
      <c r="C67" s="509" t="s">
        <v>1716</v>
      </c>
      <c r="D67" s="509" t="s">
        <v>1717</v>
      </c>
      <c r="E67" s="509" t="s">
        <v>1718</v>
      </c>
      <c r="F67" s="509" t="s">
        <v>1719</v>
      </c>
      <c r="G67" s="509" t="s">
        <v>1720</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75" thickTop="1">
      <c r="A69" s="367"/>
      <c r="B69" s="469" t="s">
        <v>1847</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5.75"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70"/>
      <c r="B71" s="469">
        <f>B23</f>
        <v>111</v>
      </c>
      <c r="C71" s="480"/>
      <c r="D71" s="480"/>
      <c r="E71" s="480"/>
      <c r="F71" s="480"/>
      <c r="G71" s="485"/>
      <c r="H71" s="485"/>
      <c r="I71" s="485"/>
      <c r="J71" s="485"/>
      <c r="K71" s="485"/>
      <c r="L71" s="510"/>
      <c r="M71" s="511"/>
      <c r="N71" s="2517"/>
      <c r="O71" s="2517"/>
      <c r="P71" s="2517"/>
      <c r="Q71" s="2505"/>
      <c r="R71" s="2436"/>
      <c r="S71" s="2436"/>
      <c r="T71" s="2436"/>
      <c r="U71" s="2436"/>
      <c r="V71" s="2436"/>
      <c r="W71" s="2436"/>
      <c r="X71" s="2436"/>
      <c r="Y71" s="2436"/>
      <c r="Z71" s="2436"/>
      <c r="AA71" s="2436"/>
      <c r="AB71" s="2436"/>
      <c r="AC71" s="2436"/>
      <c r="AD71" s="2436"/>
    </row>
    <row r="72" spans="1:30" s="102" customFormat="1" ht="15.75" thickBot="1">
      <c r="A72" s="370"/>
      <c r="B72" s="474"/>
      <c r="C72" s="491"/>
      <c r="D72" s="467"/>
      <c r="E72" s="467"/>
      <c r="F72" s="467"/>
      <c r="G72" s="467"/>
      <c r="H72" s="467"/>
      <c r="I72" s="467"/>
      <c r="J72" s="467"/>
      <c r="K72" s="467"/>
      <c r="L72" s="467"/>
      <c r="M72" s="468"/>
      <c r="N72" s="2519"/>
      <c r="O72" s="2519"/>
      <c r="P72" s="2517"/>
      <c r="Q72" s="2505"/>
      <c r="R72" s="2436"/>
      <c r="S72" s="2436"/>
      <c r="T72" s="2436"/>
      <c r="U72" s="2436"/>
      <c r="V72" s="2436"/>
      <c r="W72" s="2436"/>
      <c r="X72" s="2436"/>
      <c r="Y72" s="2436"/>
      <c r="Z72" s="2436"/>
      <c r="AA72" s="2436"/>
      <c r="AB72" s="2436"/>
      <c r="AC72" s="2436"/>
      <c r="AD72" s="2436"/>
    </row>
    <row r="73" spans="1:30" s="102" customFormat="1" ht="15.75" thickTop="1">
      <c r="A73" s="370"/>
      <c r="B73" s="469">
        <f>B24</f>
        <v>111</v>
      </c>
      <c r="C73" s="480"/>
      <c r="D73" s="480"/>
      <c r="E73" s="480"/>
      <c r="F73" s="480"/>
      <c r="G73" s="485"/>
      <c r="H73" s="485"/>
      <c r="I73" s="485"/>
      <c r="J73" s="485"/>
      <c r="K73" s="485"/>
      <c r="L73" s="485"/>
      <c r="M73" s="511"/>
      <c r="N73" s="2517"/>
      <c r="O73" s="2517"/>
      <c r="P73" s="2517"/>
      <c r="Q73" s="2505"/>
      <c r="R73" s="2436"/>
      <c r="S73" s="2436"/>
      <c r="T73" s="2436"/>
      <c r="U73" s="2436"/>
      <c r="V73" s="2436"/>
      <c r="W73" s="2436"/>
      <c r="X73" s="2436"/>
      <c r="Y73" s="2436"/>
      <c r="Z73" s="2436"/>
      <c r="AA73" s="2436"/>
      <c r="AB73" s="2436"/>
      <c r="AC73" s="2436"/>
      <c r="AD73" s="2436"/>
    </row>
    <row r="74" spans="1:30" s="102" customFormat="1" ht="15.75" thickBot="1">
      <c r="A74" s="370"/>
      <c r="B74" s="474"/>
      <c r="C74" s="491"/>
      <c r="D74" s="467"/>
      <c r="E74" s="467"/>
      <c r="F74" s="467"/>
      <c r="G74" s="467"/>
      <c r="H74" s="467"/>
      <c r="I74" s="467"/>
      <c r="J74" s="467"/>
      <c r="K74" s="467"/>
      <c r="L74" s="467"/>
      <c r="M74" s="468"/>
      <c r="N74" s="2519"/>
      <c r="O74" s="2519"/>
      <c r="P74" s="2517"/>
      <c r="Q74" s="2505"/>
      <c r="R74" s="2436"/>
      <c r="S74" s="2436"/>
      <c r="T74" s="2436"/>
      <c r="U74" s="2436"/>
      <c r="V74" s="2436"/>
      <c r="W74" s="2436"/>
      <c r="X74" s="2436"/>
      <c r="Y74" s="2436"/>
      <c r="Z74" s="2436"/>
      <c r="AA74" s="2436"/>
      <c r="AB74" s="2436"/>
      <c r="AC74" s="2436"/>
      <c r="AD74" s="2436"/>
    </row>
    <row r="75" spans="1:30" s="408" customFormat="1" ht="15.75"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5.75"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1689</v>
      </c>
      <c r="B77" s="460" t="s">
        <v>1735</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7"/>
      <c r="B79" s="469" t="s">
        <v>1850</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ht="15">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1851</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1859</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1860</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5.75"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1861</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5.75"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5"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5.75"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5"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5.75"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5"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5.75"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2"/>
      <c r="B98" s="882"/>
      <c r="C98" s="882"/>
      <c r="D98" s="882"/>
      <c r="E98" s="882"/>
      <c r="F98" s="882"/>
      <c r="G98" s="882"/>
      <c r="H98" s="882"/>
      <c r="I98" s="882"/>
      <c r="J98" s="882"/>
      <c r="K98" s="883"/>
      <c r="L98" s="884"/>
      <c r="M98" s="882"/>
      <c r="N98" s="2484"/>
      <c r="O98" s="2484"/>
      <c r="P98" s="2484"/>
      <c r="Q98" s="2484"/>
      <c r="R98" s="2484"/>
      <c r="S98" s="2484"/>
      <c r="T98" s="2484"/>
      <c r="U98" s="2484"/>
      <c r="V98" s="2484"/>
      <c r="W98" s="2484"/>
      <c r="X98" s="2484"/>
      <c r="Y98" s="2484"/>
      <c r="Z98" s="2484"/>
      <c r="AA98" s="2484"/>
      <c r="AB98" s="2484"/>
      <c r="AC98" s="2484"/>
      <c r="AD98" s="2484"/>
    </row>
    <row r="99" spans="1:30">
      <c r="A99" s="882"/>
      <c r="B99" s="882"/>
      <c r="C99" s="882"/>
      <c r="D99" s="882"/>
      <c r="E99" s="882"/>
      <c r="F99" s="882"/>
      <c r="G99" s="882"/>
      <c r="H99" s="882"/>
      <c r="I99" s="882"/>
      <c r="J99" s="882"/>
      <c r="K99" s="883"/>
      <c r="L99" s="884"/>
      <c r="M99" s="882"/>
      <c r="N99" s="2484"/>
      <c r="O99" s="2484"/>
      <c r="P99" s="2484"/>
      <c r="Q99" s="2484"/>
      <c r="R99" s="2484"/>
      <c r="S99" s="2484"/>
      <c r="T99" s="2484"/>
      <c r="U99" s="2484"/>
      <c r="V99" s="2484"/>
      <c r="W99" s="2484"/>
      <c r="X99" s="2484"/>
      <c r="Y99" s="2484"/>
      <c r="Z99" s="2484"/>
      <c r="AA99" s="2484"/>
      <c r="AB99" s="2484"/>
      <c r="AC99" s="2484"/>
      <c r="AD99" s="2484"/>
    </row>
    <row r="100" spans="1:30">
      <c r="A100" s="882"/>
      <c r="B100" s="882"/>
      <c r="C100" s="882"/>
      <c r="D100" s="882"/>
      <c r="E100" s="882"/>
      <c r="F100" s="882"/>
      <c r="G100" s="882"/>
      <c r="H100" s="882"/>
      <c r="I100" s="882"/>
      <c r="J100" s="882"/>
      <c r="K100" s="883"/>
      <c r="L100" s="884"/>
      <c r="M100" s="882"/>
      <c r="N100" s="2484"/>
      <c r="O100" s="2484"/>
      <c r="P100" s="2484"/>
      <c r="Q100" s="2484"/>
      <c r="R100" s="2484"/>
      <c r="S100" s="2484"/>
      <c r="T100" s="2484"/>
      <c r="U100" s="2484"/>
      <c r="V100" s="2484"/>
      <c r="W100" s="2484"/>
      <c r="X100" s="2484"/>
      <c r="Y100" s="2484"/>
      <c r="Z100" s="2484"/>
      <c r="AA100" s="2484"/>
      <c r="AB100" s="2484"/>
      <c r="AC100" s="2484"/>
      <c r="AD100" s="2484"/>
    </row>
    <row r="101" spans="1:30">
      <c r="A101" s="882"/>
      <c r="B101" s="882"/>
      <c r="C101" s="882"/>
      <c r="D101" s="882"/>
      <c r="E101" s="882"/>
      <c r="F101" s="882"/>
      <c r="G101" s="882"/>
      <c r="H101" s="882"/>
      <c r="I101" s="882"/>
      <c r="J101" s="882"/>
      <c r="K101" s="883"/>
      <c r="L101" s="884"/>
      <c r="M101" s="882"/>
      <c r="N101" s="2484"/>
      <c r="O101" s="2484"/>
      <c r="P101" s="2484"/>
      <c r="Q101" s="2484"/>
      <c r="R101" s="2484"/>
      <c r="S101" s="2484"/>
      <c r="T101" s="2484"/>
      <c r="U101" s="2484"/>
      <c r="V101" s="2484"/>
      <c r="W101" s="2484"/>
      <c r="X101" s="2484"/>
      <c r="Y101" s="2484"/>
      <c r="Z101" s="2484"/>
      <c r="AA101" s="2484"/>
      <c r="AB101" s="2484"/>
      <c r="AC101" s="2484"/>
      <c r="AD101" s="2484"/>
    </row>
    <row r="102" spans="1:30">
      <c r="A102" s="882"/>
      <c r="B102" s="882"/>
      <c r="C102" s="882"/>
      <c r="D102" s="882"/>
      <c r="E102" s="882"/>
      <c r="F102" s="882"/>
      <c r="G102" s="882"/>
      <c r="H102" s="882"/>
      <c r="I102" s="882"/>
      <c r="J102" s="882"/>
      <c r="K102" s="883"/>
      <c r="L102" s="884"/>
      <c r="M102" s="882"/>
      <c r="N102" s="2484"/>
      <c r="O102" s="2484"/>
      <c r="P102" s="2484"/>
      <c r="Q102" s="2484"/>
      <c r="R102" s="2484"/>
      <c r="S102" s="2484"/>
      <c r="T102" s="2484"/>
      <c r="U102" s="2484"/>
      <c r="V102" s="2484"/>
      <c r="W102" s="2484"/>
      <c r="X102" s="2484"/>
      <c r="Y102" s="2484"/>
      <c r="Z102" s="2484"/>
      <c r="AA102" s="2484"/>
      <c r="AB102" s="2484"/>
      <c r="AC102" s="2484"/>
      <c r="AD102" s="2484"/>
    </row>
    <row r="103" spans="1:30">
      <c r="A103" s="882"/>
      <c r="B103" s="882"/>
      <c r="C103" s="882"/>
      <c r="D103" s="882"/>
      <c r="E103" s="882"/>
      <c r="F103" s="882"/>
      <c r="G103" s="882"/>
      <c r="H103" s="882"/>
      <c r="I103" s="882"/>
      <c r="J103" s="882"/>
      <c r="K103" s="883"/>
      <c r="L103" s="884"/>
      <c r="M103" s="882"/>
      <c r="N103" s="882"/>
      <c r="O103" s="882"/>
      <c r="P103" s="2484"/>
      <c r="Q103" s="2484"/>
      <c r="R103" s="2484"/>
      <c r="S103" s="2484"/>
      <c r="T103" s="2484"/>
      <c r="U103" s="2484"/>
      <c r="V103" s="2484"/>
      <c r="W103" s="2484"/>
      <c r="X103" s="2484"/>
      <c r="Y103" s="2484"/>
      <c r="Z103" s="2484"/>
      <c r="AA103" s="2484"/>
      <c r="AB103" s="2484"/>
      <c r="AC103" s="2484"/>
      <c r="AD103" s="2484"/>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85" zoomScaleNormal="60" zoomScaleSheetLayoutView="85" workbookViewId="0">
      <selection activeCell="J30" sqref="J30"/>
    </sheetView>
  </sheetViews>
  <sheetFormatPr defaultColWidth="9" defaultRowHeight="14.25"/>
  <cols>
    <col min="1" max="1" width="14.375" style="347" customWidth="1"/>
    <col min="2" max="2" width="18.5" style="347" bestFit="1"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1862</v>
      </c>
      <c r="B1" s="340"/>
      <c r="C1" s="341" t="s">
        <v>1863</v>
      </c>
      <c r="D1" s="651"/>
      <c r="E1" s="651"/>
      <c r="F1" s="650" t="s">
        <v>1762</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1457</v>
      </c>
      <c r="B2" s="591">
        <f>F65</f>
        <v>1575</v>
      </c>
      <c r="C2" s="854"/>
      <c r="D2" s="854"/>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1459</v>
      </c>
      <c r="B3" s="536">
        <f>ROUND(IF(D3="",B2*10000/'数据-汇总表'!E3,B2*10000/D3),0)</f>
        <v>12776</v>
      </c>
      <c r="C3" s="195" t="s">
        <v>1864</v>
      </c>
      <c r="D3" s="1110"/>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1764</v>
      </c>
      <c r="B4" s="346"/>
      <c r="C4" s="3439" t="s">
        <v>1765</v>
      </c>
      <c r="D4" s="3440"/>
      <c r="E4" s="3441" t="s">
        <v>1766</v>
      </c>
      <c r="F4" s="3442"/>
      <c r="G4" s="3439" t="s">
        <v>1767</v>
      </c>
      <c r="H4" s="3440"/>
      <c r="I4" s="3439" t="s">
        <v>1768</v>
      </c>
      <c r="J4" s="3440"/>
      <c r="K4" s="537" t="s">
        <v>1769</v>
      </c>
      <c r="L4" s="2483"/>
      <c r="M4" s="2484"/>
      <c r="N4" s="2484"/>
      <c r="O4" s="2484"/>
      <c r="P4" s="3443" t="s">
        <v>1770</v>
      </c>
      <c r="Q4" s="3444"/>
      <c r="R4" s="3449" t="s">
        <v>1766</v>
      </c>
      <c r="S4" s="3450"/>
      <c r="T4" s="3449" t="s">
        <v>1767</v>
      </c>
      <c r="U4" s="3450"/>
      <c r="V4" s="3422" t="s">
        <v>1768</v>
      </c>
      <c r="W4" s="3422"/>
      <c r="X4" s="1264"/>
      <c r="Y4" s="3449" t="s">
        <v>1770</v>
      </c>
      <c r="Z4" s="3450"/>
      <c r="AA4" s="3436" t="s">
        <v>1766</v>
      </c>
      <c r="AB4" s="3437" t="s">
        <v>1767</v>
      </c>
      <c r="AC4" s="3436" t="s">
        <v>1768</v>
      </c>
    </row>
    <row r="5" spans="1:29" ht="15">
      <c r="A5" s="348"/>
      <c r="B5" s="349"/>
      <c r="C5" s="3457" t="s">
        <v>1668</v>
      </c>
      <c r="D5" s="3458"/>
      <c r="E5" s="3464" t="str">
        <f>土地案例!$A$23</f>
        <v>北京市通州经济开发区西区南扩区 三、五、六期棚户区改造项目 FZX-1102-6002地块 F3其他类多功能用地</v>
      </c>
      <c r="F5" s="3465"/>
      <c r="G5" s="3457" t="str">
        <f>土地案例!$A$24</f>
        <v>北京市通州经济开发区西区南扩区三、五、六期棚户区改造项目FZX-1102-6219地块F3其他类多功能用地</v>
      </c>
      <c r="H5" s="3458"/>
      <c r="I5" s="3457" t="str">
        <f>土地案例!$A$36</f>
        <v>北京市通州区张家湾车辆段综合利用供地项目FZX-1202-0079-02(上盖区)、FZX-1202-0079-03(落地区)、FZX-1202-0079-04(落地区)地块F3其他类多功能用地</v>
      </c>
      <c r="J5" s="3458"/>
      <c r="K5" s="537"/>
      <c r="L5" s="2483"/>
      <c r="M5" s="2484"/>
      <c r="N5" s="2484"/>
      <c r="O5" s="2484"/>
      <c r="P5" s="3445"/>
      <c r="Q5" s="3446"/>
      <c r="R5" s="3451"/>
      <c r="S5" s="3452"/>
      <c r="T5" s="3451"/>
      <c r="U5" s="3452"/>
      <c r="V5" s="3422"/>
      <c r="W5" s="3422"/>
      <c r="X5" s="1264"/>
      <c r="Y5" s="3451"/>
      <c r="Z5" s="3452"/>
      <c r="AA5" s="3437"/>
      <c r="AB5" s="3437"/>
      <c r="AC5" s="3437"/>
    </row>
    <row r="6" spans="1:29" ht="15.75" thickBot="1">
      <c r="A6" s="350"/>
      <c r="B6" s="351"/>
      <c r="C6" s="3455" t="s">
        <v>1672</v>
      </c>
      <c r="D6" s="3456"/>
      <c r="E6" s="3462" t="s">
        <v>1672</v>
      </c>
      <c r="F6" s="3463"/>
      <c r="G6" s="3455" t="s">
        <v>1672</v>
      </c>
      <c r="H6" s="3456"/>
      <c r="I6" s="3455" t="s">
        <v>1672</v>
      </c>
      <c r="J6" s="3456"/>
      <c r="K6" s="537" t="s">
        <v>1673</v>
      </c>
      <c r="L6" s="2483"/>
      <c r="M6" s="2484"/>
      <c r="N6" s="2484"/>
      <c r="O6" s="2484"/>
      <c r="P6" s="3447"/>
      <c r="Q6" s="3448"/>
      <c r="R6" s="3451"/>
      <c r="S6" s="3452"/>
      <c r="T6" s="3453"/>
      <c r="U6" s="3454"/>
      <c r="V6" s="3422"/>
      <c r="W6" s="3422"/>
      <c r="X6" s="1264"/>
      <c r="Y6" s="3453"/>
      <c r="Z6" s="3454"/>
      <c r="AA6" s="3438"/>
      <c r="AB6" s="3438"/>
      <c r="AC6" s="3438"/>
    </row>
    <row r="7" spans="1:29" s="102" customFormat="1" ht="15.75" thickBot="1">
      <c r="A7" s="352" t="s">
        <v>1674</v>
      </c>
      <c r="B7" s="353"/>
      <c r="C7" s="354">
        <f>'数据-取费表'!B2</f>
        <v>45383</v>
      </c>
      <c r="D7" s="355">
        <v>100</v>
      </c>
      <c r="E7" s="356">
        <f>土地案例!L23</f>
        <v>44795.000497685185</v>
      </c>
      <c r="F7" s="357">
        <f>SUMIF(69:69,YEAR(E7)&amp;"-"&amp;INT((MONTH(E7)+2)/3),70:70)</f>
        <v>99.30000000000004</v>
      </c>
      <c r="G7" s="1819">
        <f>土地案例!L24</f>
        <v>44796.000497685185</v>
      </c>
      <c r="H7" s="355">
        <f>SUMIF(69:69,YEAR(G7)&amp;"-"&amp;INT((MONTH(G7)+2)/3),70:70)</f>
        <v>99.30000000000004</v>
      </c>
      <c r="I7" s="1819">
        <f>土地案例!L36</f>
        <v>44495.000497685185</v>
      </c>
      <c r="J7" s="355">
        <f>SUMIF(69:69,YEAR(I7)&amp;"-"&amp;INT((MONTH(I7)+2)/3),70:70)</f>
        <v>99.000000000000057</v>
      </c>
      <c r="K7" s="38"/>
      <c r="L7" s="2485"/>
      <c r="M7" s="2436"/>
      <c r="N7" s="2436"/>
      <c r="O7" s="2436"/>
      <c r="P7" s="3459" t="s">
        <v>1675</v>
      </c>
      <c r="Q7" s="3461"/>
      <c r="R7" s="664" t="s">
        <v>14</v>
      </c>
      <c r="S7" s="665">
        <f t="shared" ref="S7:S15" si="0">F7</f>
        <v>99.30000000000004</v>
      </c>
      <c r="T7" s="664" t="s">
        <v>14</v>
      </c>
      <c r="U7" s="665">
        <f t="shared" ref="U7:U15" si="1">H7</f>
        <v>99.30000000000004</v>
      </c>
      <c r="V7" s="664" t="s">
        <v>14</v>
      </c>
      <c r="W7" s="665">
        <f t="shared" ref="W7:W15" si="2">J7</f>
        <v>99.000000000000057</v>
      </c>
      <c r="X7" s="666"/>
      <c r="Y7" s="3459" t="s">
        <v>1675</v>
      </c>
      <c r="Z7" s="3460"/>
      <c r="AA7" s="50">
        <f>D7/F7</f>
        <v>1.007049345417925</v>
      </c>
      <c r="AB7" s="50">
        <f>D7/H7</f>
        <v>1.007049345417925</v>
      </c>
      <c r="AC7" s="50">
        <f>D7/J7</f>
        <v>1.0101010101010095</v>
      </c>
    </row>
    <row r="8" spans="1:29" s="102" customFormat="1" ht="15.75" thickBot="1">
      <c r="A8" s="352" t="s">
        <v>1676</v>
      </c>
      <c r="B8" s="353"/>
      <c r="C8" s="358" t="s">
        <v>1677</v>
      </c>
      <c r="D8" s="355">
        <v>100</v>
      </c>
      <c r="E8" s="358" t="s">
        <v>3802</v>
      </c>
      <c r="F8" s="357">
        <f>SUMIF(72:72,E8,73:73)-SUMIF(72:72,C8,73:73)+100</f>
        <v>100</v>
      </c>
      <c r="G8" s="358" t="s">
        <v>3802</v>
      </c>
      <c r="H8" s="355">
        <f>SUMIF(72:72,G8,73:73)-SUMIF(72:72,C8,73:73)+100</f>
        <v>100</v>
      </c>
      <c r="I8" s="358" t="s">
        <v>3802</v>
      </c>
      <c r="J8" s="355">
        <f>SUMIF(72:72,I8,73:73)-SUMIF(72:72,C8,73:73)+100</f>
        <v>100</v>
      </c>
      <c r="K8" s="38"/>
      <c r="L8" s="2485"/>
      <c r="M8" s="2436"/>
      <c r="N8" s="2436"/>
      <c r="O8" s="2436"/>
      <c r="P8" s="3459" t="s">
        <v>1678</v>
      </c>
      <c r="Q8" s="3460"/>
      <c r="R8" s="664" t="s">
        <v>14</v>
      </c>
      <c r="S8" s="665">
        <f t="shared" si="0"/>
        <v>100</v>
      </c>
      <c r="T8" s="664" t="s">
        <v>14</v>
      </c>
      <c r="U8" s="665">
        <f t="shared" si="1"/>
        <v>100</v>
      </c>
      <c r="V8" s="664" t="s">
        <v>14</v>
      </c>
      <c r="W8" s="665">
        <f t="shared" si="2"/>
        <v>100</v>
      </c>
      <c r="X8" s="666"/>
      <c r="Y8" s="3459" t="s">
        <v>1678</v>
      </c>
      <c r="Z8" s="3460"/>
      <c r="AA8" s="50">
        <f t="shared" ref="AA8:AA45" si="3">D8/F8</f>
        <v>1</v>
      </c>
      <c r="AB8" s="50">
        <f t="shared" ref="AB8:AB45" si="4">D8/H8</f>
        <v>1</v>
      </c>
      <c r="AC8" s="50">
        <f t="shared" ref="AC8:AC45" si="5">D8/J8</f>
        <v>1</v>
      </c>
    </row>
    <row r="9" spans="1:29" s="102" customFormat="1" ht="28.5">
      <c r="A9" s="359" t="s">
        <v>1679</v>
      </c>
      <c r="B9" s="60" t="s">
        <v>1680</v>
      </c>
      <c r="C9" s="1822" t="s">
        <v>3814</v>
      </c>
      <c r="D9" s="59">
        <v>100</v>
      </c>
      <c r="E9" s="1822" t="s">
        <v>3815</v>
      </c>
      <c r="F9" s="59">
        <f>SUMIF(74:74,E9,75:75)-SUMIF(74:74,C9,75:75)+100</f>
        <v>100</v>
      </c>
      <c r="G9" s="1822" t="s">
        <v>3815</v>
      </c>
      <c r="H9" s="59">
        <f>SUMIF(74:74,G9,75:75)-SUMIF(74:74,C9,75:75)+100</f>
        <v>100</v>
      </c>
      <c r="I9" s="1822" t="s">
        <v>3815</v>
      </c>
      <c r="J9" s="59">
        <f>SUMIF(74:74,I9,75:75)-SUMIF(74:74,C9,75:75)+100</f>
        <v>100</v>
      </c>
      <c r="K9" s="38"/>
      <c r="L9" s="2485"/>
      <c r="M9" s="2436"/>
      <c r="N9" s="2436"/>
      <c r="O9" s="2537"/>
      <c r="P9" s="3421" t="s">
        <v>1681</v>
      </c>
      <c r="Q9" s="530" t="str">
        <f t="shared" ref="Q9:Q15" si="6">B9</f>
        <v>用途</v>
      </c>
      <c r="R9" s="664" t="s">
        <v>14</v>
      </c>
      <c r="S9" s="665">
        <f t="shared" si="0"/>
        <v>100</v>
      </c>
      <c r="T9" s="664" t="s">
        <v>14</v>
      </c>
      <c r="U9" s="665">
        <f t="shared" si="1"/>
        <v>100</v>
      </c>
      <c r="V9" s="664" t="s">
        <v>14</v>
      </c>
      <c r="W9" s="665">
        <f t="shared" si="2"/>
        <v>100</v>
      </c>
      <c r="X9" s="666"/>
      <c r="Y9" s="3299" t="s">
        <v>1682</v>
      </c>
      <c r="Z9" s="50" t="str">
        <f t="shared" ref="Z9:Z15" si="7">Q9</f>
        <v>用途</v>
      </c>
      <c r="AA9" s="50">
        <f t="shared" si="3"/>
        <v>1</v>
      </c>
      <c r="AB9" s="50">
        <f t="shared" si="4"/>
        <v>1</v>
      </c>
      <c r="AC9" s="50">
        <f t="shared" si="5"/>
        <v>1</v>
      </c>
    </row>
    <row r="10" spans="1:29" s="366" customFormat="1" ht="15">
      <c r="A10" s="363"/>
      <c r="B10" s="364" t="s">
        <v>1683</v>
      </c>
      <c r="C10" s="371"/>
      <c r="D10" s="119">
        <v>100</v>
      </c>
      <c r="E10" s="403"/>
      <c r="F10" s="119">
        <f>ROUND(100/'数据-取费表'!G16,0)</f>
        <v>109</v>
      </c>
      <c r="G10" s="402"/>
      <c r="H10" s="119">
        <f>ROUND(100/'数据-取费表'!G16,0)</f>
        <v>109</v>
      </c>
      <c r="I10" s="402"/>
      <c r="J10" s="119">
        <f>ROUND(100/'数据-取费表'!G16,0)</f>
        <v>109</v>
      </c>
      <c r="K10" s="592"/>
      <c r="L10" s="2486"/>
      <c r="M10" s="2487"/>
      <c r="N10" s="2487"/>
      <c r="O10" s="2538"/>
      <c r="P10" s="3421"/>
      <c r="Q10" s="530" t="str">
        <f t="shared" si="6"/>
        <v>土地使用年限（年）</v>
      </c>
      <c r="R10" s="664" t="s">
        <v>14</v>
      </c>
      <c r="S10" s="665">
        <f t="shared" si="0"/>
        <v>109</v>
      </c>
      <c r="T10" s="664" t="s">
        <v>14</v>
      </c>
      <c r="U10" s="665">
        <f t="shared" si="1"/>
        <v>109</v>
      </c>
      <c r="V10" s="664" t="s">
        <v>14</v>
      </c>
      <c r="W10" s="665">
        <f t="shared" si="2"/>
        <v>109</v>
      </c>
      <c r="X10" s="666"/>
      <c r="Y10" s="3299"/>
      <c r="Z10" s="50" t="str">
        <f t="shared" si="7"/>
        <v>土地使用年限（年）</v>
      </c>
      <c r="AA10" s="50">
        <f t="shared" si="3"/>
        <v>0.91743119266055051</v>
      </c>
      <c r="AB10" s="50">
        <f t="shared" si="4"/>
        <v>0.91743119266055051</v>
      </c>
      <c r="AC10" s="50">
        <f t="shared" si="5"/>
        <v>0.91743119266055051</v>
      </c>
    </row>
    <row r="11" spans="1:29" ht="15">
      <c r="A11" s="367"/>
      <c r="B11" s="364" t="s">
        <v>1684</v>
      </c>
      <c r="C11" s="368">
        <f>'数据-汇总表'!I6</f>
        <v>0.83</v>
      </c>
      <c r="D11" s="119">
        <v>100</v>
      </c>
      <c r="E11" s="368">
        <v>2.2000000000000002</v>
      </c>
      <c r="F11" s="119">
        <f>LOOKUP(E11,79:79,80:80)-LOOKUP(C11,79:79,80:80)+100</f>
        <v>100</v>
      </c>
      <c r="G11" s="369">
        <v>2.2000000000000002</v>
      </c>
      <c r="H11" s="119">
        <f>LOOKUP(G11,79:79,80:80)-LOOKUP(C11,79:79,80:80)+100</f>
        <v>100</v>
      </c>
      <c r="I11" s="368">
        <v>1.5</v>
      </c>
      <c r="J11" s="119">
        <f>LOOKUP(I11,79:79,80:80)-LOOKUP(C11,79:79,80:80)+100</f>
        <v>100</v>
      </c>
      <c r="K11" s="593"/>
      <c r="L11" s="2488"/>
      <c r="M11" s="2484"/>
      <c r="N11" s="2484"/>
      <c r="O11" s="2539"/>
      <c r="P11" s="3421"/>
      <c r="Q11" s="530" t="str">
        <f t="shared" si="6"/>
        <v>容积率</v>
      </c>
      <c r="R11" s="664" t="s">
        <v>14</v>
      </c>
      <c r="S11" s="665">
        <f t="shared" si="0"/>
        <v>100</v>
      </c>
      <c r="T11" s="664" t="s">
        <v>14</v>
      </c>
      <c r="U11" s="665">
        <f t="shared" si="1"/>
        <v>100</v>
      </c>
      <c r="V11" s="664" t="s">
        <v>14</v>
      </c>
      <c r="W11" s="665">
        <f t="shared" si="2"/>
        <v>100</v>
      </c>
      <c r="X11" s="666"/>
      <c r="Y11" s="3299"/>
      <c r="Z11" s="50" t="str">
        <f t="shared" si="7"/>
        <v>容积率</v>
      </c>
      <c r="AA11" s="50">
        <f t="shared" si="3"/>
        <v>1</v>
      </c>
      <c r="AB11" s="50">
        <f t="shared" si="4"/>
        <v>1</v>
      </c>
      <c r="AC11" s="50">
        <f t="shared" si="5"/>
        <v>1</v>
      </c>
    </row>
    <row r="12" spans="1:29" s="102" customFormat="1" ht="15" hidden="1">
      <c r="A12" s="370"/>
      <c r="B12" s="447" t="s">
        <v>1865</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6"/>
      <c r="N12" s="2436"/>
      <c r="O12" s="2537"/>
      <c r="P12" s="3421"/>
      <c r="Q12" s="530" t="str">
        <f t="shared" si="6"/>
        <v>配建</v>
      </c>
      <c r="R12" s="664" t="s">
        <v>14</v>
      </c>
      <c r="S12" s="665">
        <f t="shared" si="0"/>
        <v>100</v>
      </c>
      <c r="T12" s="664" t="s">
        <v>14</v>
      </c>
      <c r="U12" s="665">
        <f t="shared" si="1"/>
        <v>100</v>
      </c>
      <c r="V12" s="664" t="s">
        <v>14</v>
      </c>
      <c r="W12" s="665">
        <f t="shared" si="2"/>
        <v>100</v>
      </c>
      <c r="X12" s="666"/>
      <c r="Y12" s="3299"/>
      <c r="Z12" s="50" t="str">
        <f t="shared" si="7"/>
        <v>配建</v>
      </c>
      <c r="AA12" s="50">
        <f>D12/F12</f>
        <v>1</v>
      </c>
      <c r="AB12" s="50">
        <f>D12/H12</f>
        <v>1</v>
      </c>
      <c r="AC12" s="50">
        <f>D12/J12</f>
        <v>1</v>
      </c>
    </row>
    <row r="13" spans="1:29" ht="15" hidden="1">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421"/>
      <c r="Q13" s="530">
        <f t="shared" si="6"/>
        <v>111</v>
      </c>
      <c r="R13" s="664" t="s">
        <v>14</v>
      </c>
      <c r="S13" s="665">
        <f t="shared" si="0"/>
        <v>100</v>
      </c>
      <c r="T13" s="664" t="s">
        <v>14</v>
      </c>
      <c r="U13" s="665">
        <f t="shared" si="1"/>
        <v>100</v>
      </c>
      <c r="V13" s="664" t="s">
        <v>14</v>
      </c>
      <c r="W13" s="665">
        <f t="shared" si="2"/>
        <v>100</v>
      </c>
      <c r="X13" s="666"/>
      <c r="Y13" s="3299"/>
      <c r="Z13" s="50">
        <f t="shared" si="7"/>
        <v>111</v>
      </c>
      <c r="AA13" s="50">
        <f>D13/F13</f>
        <v>1</v>
      </c>
      <c r="AB13" s="50">
        <f>D13/H13</f>
        <v>1</v>
      </c>
      <c r="AC13" s="50">
        <f>D13/J13</f>
        <v>1</v>
      </c>
    </row>
    <row r="14" spans="1:29" ht="15.75" hidden="1"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421"/>
      <c r="Q14" s="530">
        <f t="shared" si="6"/>
        <v>111</v>
      </c>
      <c r="R14" s="664" t="s">
        <v>14</v>
      </c>
      <c r="S14" s="665">
        <f t="shared" si="0"/>
        <v>100</v>
      </c>
      <c r="T14" s="664" t="s">
        <v>14</v>
      </c>
      <c r="U14" s="665">
        <f t="shared" si="1"/>
        <v>100</v>
      </c>
      <c r="V14" s="664" t="s">
        <v>14</v>
      </c>
      <c r="W14" s="665">
        <f t="shared" si="2"/>
        <v>100</v>
      </c>
      <c r="X14" s="666"/>
      <c r="Y14" s="3299"/>
      <c r="Z14" s="50">
        <f t="shared" si="7"/>
        <v>111</v>
      </c>
      <c r="AA14" s="50">
        <f>D14/F14</f>
        <v>1</v>
      </c>
      <c r="AB14" s="50">
        <f>D14/H14</f>
        <v>1</v>
      </c>
      <c r="AC14" s="50">
        <f>D14/J14</f>
        <v>1</v>
      </c>
    </row>
    <row r="15" spans="1:29" ht="15" hidden="1">
      <c r="A15" s="379" t="s">
        <v>1685</v>
      </c>
      <c r="B15" s="58" t="s">
        <v>1252</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428" t="s">
        <v>1686</v>
      </c>
      <c r="Q15" s="1262" t="str">
        <f t="shared" si="6"/>
        <v>居住社区成熟度</v>
      </c>
      <c r="R15" s="667" t="s">
        <v>14</v>
      </c>
      <c r="S15" s="668">
        <f t="shared" si="0"/>
        <v>100</v>
      </c>
      <c r="T15" s="667" t="s">
        <v>14</v>
      </c>
      <c r="U15" s="668">
        <f t="shared" si="1"/>
        <v>100</v>
      </c>
      <c r="V15" s="667" t="s">
        <v>14</v>
      </c>
      <c r="W15" s="668">
        <f t="shared" si="2"/>
        <v>100</v>
      </c>
      <c r="X15" s="1264"/>
      <c r="Y15" s="3428" t="s">
        <v>1686</v>
      </c>
      <c r="Z15" s="1263" t="str">
        <f t="shared" si="7"/>
        <v>居住社区成熟度</v>
      </c>
      <c r="AA15" s="1263">
        <f t="shared" si="3"/>
        <v>1</v>
      </c>
      <c r="AB15" s="1263">
        <f t="shared" si="4"/>
        <v>1</v>
      </c>
      <c r="AC15" s="1263">
        <f t="shared" si="5"/>
        <v>1</v>
      </c>
    </row>
    <row r="16" spans="1:29" ht="15" hidden="1">
      <c r="A16" s="367"/>
      <c r="B16" s="385"/>
      <c r="C16" s="386"/>
      <c r="D16" s="387"/>
      <c r="E16" s="1751"/>
      <c r="F16" s="387"/>
      <c r="G16" s="1751"/>
      <c r="H16" s="389"/>
      <c r="I16" s="1750"/>
      <c r="J16" s="387"/>
      <c r="K16" s="592"/>
      <c r="L16" s="2489"/>
      <c r="M16" s="2484"/>
      <c r="N16" s="2484"/>
      <c r="O16" s="2539"/>
      <c r="P16" s="3429"/>
      <c r="Q16" s="1262"/>
      <c r="R16" s="667"/>
      <c r="S16" s="668"/>
      <c r="T16" s="667"/>
      <c r="U16" s="668"/>
      <c r="V16" s="667"/>
      <c r="W16" s="668"/>
      <c r="X16" s="1264"/>
      <c r="Y16" s="3429"/>
      <c r="Z16" s="1263"/>
      <c r="AA16" s="1263">
        <v>1</v>
      </c>
      <c r="AB16" s="1263">
        <v>1</v>
      </c>
      <c r="AC16" s="1263">
        <v>1</v>
      </c>
    </row>
    <row r="17" spans="1:29" ht="15">
      <c r="A17" s="367"/>
      <c r="B17" s="390" t="s">
        <v>1772</v>
      </c>
      <c r="C17" s="1803">
        <f>估价对象房地状况!C16</f>
        <v>0</v>
      </c>
      <c r="D17" s="389">
        <v>100</v>
      </c>
      <c r="E17" s="391"/>
      <c r="F17" s="389">
        <f>SUMIF(89:89,E18,90:90)-SUMIF(89:89,C18,90:90)+100</f>
        <v>100</v>
      </c>
      <c r="G17" s="391"/>
      <c r="H17" s="394">
        <f>SUMIF(89:89,G18,90:90)-SUMIF(89:89,C18,90:90)+100</f>
        <v>100</v>
      </c>
      <c r="I17" s="393"/>
      <c r="J17" s="394">
        <f>SUMIF(89:89,I18,90:90)-SUMIF(89:89,C18,90:90)+100</f>
        <v>100</v>
      </c>
      <c r="K17" s="593">
        <v>2</v>
      </c>
      <c r="L17" s="2489"/>
      <c r="M17" s="2484"/>
      <c r="N17" s="2484"/>
      <c r="O17" s="2539"/>
      <c r="P17" s="3429"/>
      <c r="Q17" s="1262" t="str">
        <f>B17</f>
        <v>商业繁华度</v>
      </c>
      <c r="R17" s="667" t="s">
        <v>14</v>
      </c>
      <c r="S17" s="668">
        <f>F17</f>
        <v>100</v>
      </c>
      <c r="T17" s="667" t="s">
        <v>14</v>
      </c>
      <c r="U17" s="668">
        <f>H17</f>
        <v>100</v>
      </c>
      <c r="V17" s="667" t="s">
        <v>14</v>
      </c>
      <c r="W17" s="668">
        <f>J17</f>
        <v>100</v>
      </c>
      <c r="X17" s="1264"/>
      <c r="Y17" s="3429"/>
      <c r="Z17" s="1263" t="str">
        <f>Q17</f>
        <v>商业繁华度</v>
      </c>
      <c r="AA17" s="1263">
        <f t="shared" si="3"/>
        <v>1</v>
      </c>
      <c r="AB17" s="1263">
        <f t="shared" si="4"/>
        <v>1</v>
      </c>
      <c r="AC17" s="1263">
        <f t="shared" si="5"/>
        <v>1</v>
      </c>
    </row>
    <row r="18" spans="1:29" ht="15">
      <c r="A18" s="367"/>
      <c r="B18" s="395"/>
      <c r="C18" s="1754" t="s">
        <v>3816</v>
      </c>
      <c r="D18" s="389"/>
      <c r="E18" s="1754" t="s">
        <v>3816</v>
      </c>
      <c r="F18" s="389"/>
      <c r="G18" s="1754" t="s">
        <v>3816</v>
      </c>
      <c r="H18" s="387"/>
      <c r="I18" s="1754" t="s">
        <v>3816</v>
      </c>
      <c r="J18" s="387"/>
      <c r="K18" s="592"/>
      <c r="L18" s="2489"/>
      <c r="M18" s="2484"/>
      <c r="N18" s="2484"/>
      <c r="O18" s="2539"/>
      <c r="P18" s="3429"/>
      <c r="Q18" s="1262"/>
      <c r="R18" s="667"/>
      <c r="S18" s="668"/>
      <c r="T18" s="667"/>
      <c r="U18" s="668"/>
      <c r="V18" s="667"/>
      <c r="W18" s="668"/>
      <c r="X18" s="1264"/>
      <c r="Y18" s="3429"/>
      <c r="Z18" s="1263"/>
      <c r="AA18" s="1263">
        <v>1</v>
      </c>
      <c r="AB18" s="1263">
        <v>1</v>
      </c>
      <c r="AC18" s="1263">
        <v>1</v>
      </c>
    </row>
    <row r="19" spans="1:29" ht="15">
      <c r="A19" s="367"/>
      <c r="B19" s="390" t="s">
        <v>1806</v>
      </c>
      <c r="C19" s="1803">
        <f>估价对象房地状况!C17</f>
        <v>0</v>
      </c>
      <c r="D19" s="394">
        <v>100</v>
      </c>
      <c r="E19" s="396"/>
      <c r="F19" s="394">
        <f>SUMIF(91:91,E20,92:92)-SUMIF(91:91,C20,92:92)+100</f>
        <v>100</v>
      </c>
      <c r="G19" s="396"/>
      <c r="H19" s="389">
        <f>SUMIF(91:91,G20,92:92)-SUMIF(91:91,C20,92:92)+100</f>
        <v>100</v>
      </c>
      <c r="I19" s="398"/>
      <c r="J19" s="389">
        <f>SUMIF(91:91,I20,92:92)-SUMIF(91:91,C20,92:92)+100</f>
        <v>100</v>
      </c>
      <c r="K19" s="593">
        <v>2</v>
      </c>
      <c r="L19" s="2489"/>
      <c r="M19" s="2484"/>
      <c r="N19" s="2484"/>
      <c r="O19" s="2539"/>
      <c r="P19" s="3429"/>
      <c r="Q19" s="1262" t="str">
        <f>B19</f>
        <v>办公集聚程度</v>
      </c>
      <c r="R19" s="667" t="s">
        <v>14</v>
      </c>
      <c r="S19" s="668">
        <f>F19</f>
        <v>100</v>
      </c>
      <c r="T19" s="667" t="s">
        <v>14</v>
      </c>
      <c r="U19" s="668">
        <f>H19</f>
        <v>100</v>
      </c>
      <c r="V19" s="667" t="s">
        <v>14</v>
      </c>
      <c r="W19" s="668">
        <f>J19</f>
        <v>100</v>
      </c>
      <c r="X19" s="1264"/>
      <c r="Y19" s="3429"/>
      <c r="Z19" s="1263" t="str">
        <f>Q19</f>
        <v>办公集聚程度</v>
      </c>
      <c r="AA19" s="1263">
        <f t="shared" si="3"/>
        <v>1</v>
      </c>
      <c r="AB19" s="1263">
        <f t="shared" si="4"/>
        <v>1</v>
      </c>
      <c r="AC19" s="1263">
        <f t="shared" si="5"/>
        <v>1</v>
      </c>
    </row>
    <row r="20" spans="1:29" ht="15">
      <c r="A20" s="367"/>
      <c r="B20" s="395"/>
      <c r="C20" s="1754" t="s">
        <v>3816</v>
      </c>
      <c r="D20" s="387"/>
      <c r="E20" s="1754" t="s">
        <v>3816</v>
      </c>
      <c r="F20" s="387"/>
      <c r="G20" s="1754" t="s">
        <v>3816</v>
      </c>
      <c r="H20" s="387"/>
      <c r="I20" s="1754" t="s">
        <v>3816</v>
      </c>
      <c r="J20" s="387"/>
      <c r="K20" s="592"/>
      <c r="L20" s="2489"/>
      <c r="M20" s="2484"/>
      <c r="N20" s="2484"/>
      <c r="O20" s="2539"/>
      <c r="P20" s="3429"/>
      <c r="Q20" s="1262"/>
      <c r="R20" s="667"/>
      <c r="S20" s="668"/>
      <c r="T20" s="667"/>
      <c r="U20" s="668"/>
      <c r="V20" s="667"/>
      <c r="W20" s="668"/>
      <c r="X20" s="1264"/>
      <c r="Y20" s="3429"/>
      <c r="Z20" s="1263"/>
      <c r="AA20" s="1263">
        <v>1</v>
      </c>
      <c r="AB20" s="1263">
        <v>1</v>
      </c>
      <c r="AC20" s="1263">
        <v>1</v>
      </c>
    </row>
    <row r="21" spans="1:29" ht="15">
      <c r="A21" s="367"/>
      <c r="B21" s="390" t="s">
        <v>1828</v>
      </c>
      <c r="C21" s="1753">
        <f>估价对象房地状况!C18</f>
        <v>0</v>
      </c>
      <c r="D21" s="389">
        <v>100</v>
      </c>
      <c r="E21" s="391"/>
      <c r="F21" s="394">
        <f>SUMIF(93:93,E22,94:94)-SUMIF(93:93,C22,94:94)+100</f>
        <v>100</v>
      </c>
      <c r="G21" s="391"/>
      <c r="H21" s="389">
        <f>SUMIF(93:93,G22,94:94)-SUMIF(93:93,C22,94:94)+100</f>
        <v>100</v>
      </c>
      <c r="I21" s="393"/>
      <c r="J21" s="389">
        <f>SUMIF(93:93,I22,94:94)-SUMIF(93:93,C22,94:94)+100</f>
        <v>102</v>
      </c>
      <c r="K21" s="593">
        <v>2</v>
      </c>
      <c r="L21" s="2489"/>
      <c r="M21" s="2484"/>
      <c r="N21" s="2484"/>
      <c r="O21" s="2539"/>
      <c r="P21" s="3429"/>
      <c r="Q21" s="1262" t="str">
        <f>B21</f>
        <v>交通便捷度</v>
      </c>
      <c r="R21" s="667" t="s">
        <v>14</v>
      </c>
      <c r="S21" s="668">
        <f>F21</f>
        <v>100</v>
      </c>
      <c r="T21" s="667" t="s">
        <v>14</v>
      </c>
      <c r="U21" s="668">
        <f>H21</f>
        <v>100</v>
      </c>
      <c r="V21" s="667" t="s">
        <v>14</v>
      </c>
      <c r="W21" s="668">
        <f>J21</f>
        <v>102</v>
      </c>
      <c r="X21" s="1264"/>
      <c r="Y21" s="3429"/>
      <c r="Z21" s="1263" t="str">
        <f>Q21</f>
        <v>交通便捷度</v>
      </c>
      <c r="AA21" s="1263">
        <f t="shared" si="3"/>
        <v>1</v>
      </c>
      <c r="AB21" s="1263">
        <f t="shared" si="4"/>
        <v>1</v>
      </c>
      <c r="AC21" s="1263">
        <f t="shared" si="5"/>
        <v>0.98039215686274506</v>
      </c>
    </row>
    <row r="22" spans="1:29" ht="15">
      <c r="A22" s="367"/>
      <c r="B22" s="586"/>
      <c r="C22" s="1754" t="s">
        <v>3816</v>
      </c>
      <c r="D22" s="389"/>
      <c r="E22" s="1754" t="s">
        <v>3816</v>
      </c>
      <c r="F22" s="387"/>
      <c r="G22" s="1754" t="s">
        <v>3816</v>
      </c>
      <c r="H22" s="387"/>
      <c r="I22" s="1750" t="s">
        <v>3817</v>
      </c>
      <c r="J22" s="387"/>
      <c r="K22" s="592"/>
      <c r="L22" s="2489"/>
      <c r="M22" s="2484"/>
      <c r="N22" s="2484"/>
      <c r="O22" s="2539"/>
      <c r="P22" s="3429"/>
      <c r="Q22" s="1262"/>
      <c r="R22" s="667"/>
      <c r="S22" s="668"/>
      <c r="T22" s="667"/>
      <c r="U22" s="668"/>
      <c r="V22" s="667"/>
      <c r="W22" s="668"/>
      <c r="X22" s="1264"/>
      <c r="Y22" s="3429"/>
      <c r="Z22" s="1263"/>
      <c r="AA22" s="1263">
        <v>1</v>
      </c>
      <c r="AB22" s="1263">
        <v>1</v>
      </c>
      <c r="AC22" s="1263">
        <v>1</v>
      </c>
    </row>
    <row r="23" spans="1:29" ht="28.5" customHeight="1">
      <c r="A23" s="348"/>
      <c r="B23" s="390" t="s">
        <v>1866</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2</v>
      </c>
      <c r="L23" s="2489"/>
      <c r="M23" s="2484"/>
      <c r="N23" s="2484"/>
      <c r="O23" s="2539"/>
      <c r="P23" s="3429"/>
      <c r="Q23" s="1262" t="str">
        <f t="shared" ref="Q23:Q37" si="8">B23</f>
        <v>区域土地利用方向</v>
      </c>
      <c r="R23" s="667" t="s">
        <v>14</v>
      </c>
      <c r="S23" s="668">
        <f>F23</f>
        <v>100</v>
      </c>
      <c r="T23" s="667" t="s">
        <v>14</v>
      </c>
      <c r="U23" s="668">
        <f>H23</f>
        <v>100</v>
      </c>
      <c r="V23" s="667" t="s">
        <v>14</v>
      </c>
      <c r="W23" s="668">
        <f>J23</f>
        <v>100</v>
      </c>
      <c r="X23" s="1264"/>
      <c r="Y23" s="3429"/>
      <c r="Z23" s="1263" t="str">
        <f>Q23</f>
        <v>区域土地利用方向</v>
      </c>
      <c r="AA23" s="1263">
        <f t="shared" si="3"/>
        <v>1</v>
      </c>
      <c r="AB23" s="1263">
        <f t="shared" si="4"/>
        <v>1</v>
      </c>
      <c r="AC23" s="1263">
        <f t="shared" si="5"/>
        <v>1</v>
      </c>
    </row>
    <row r="24" spans="1:29" ht="15">
      <c r="A24" s="348"/>
      <c r="B24" s="395"/>
      <c r="C24" s="542" t="s">
        <v>3817</v>
      </c>
      <c r="D24" s="387"/>
      <c r="E24" s="542" t="s">
        <v>3817</v>
      </c>
      <c r="F24" s="387"/>
      <c r="G24" s="542" t="s">
        <v>3817</v>
      </c>
      <c r="H24" s="387"/>
      <c r="I24" s="542" t="s">
        <v>3817</v>
      </c>
      <c r="J24" s="387"/>
      <c r="K24" s="698"/>
      <c r="L24" s="2489"/>
      <c r="M24" s="2484"/>
      <c r="N24" s="2484"/>
      <c r="O24" s="2539"/>
      <c r="P24" s="3429"/>
      <c r="Q24" s="1262"/>
      <c r="R24" s="667"/>
      <c r="S24" s="668"/>
      <c r="T24" s="667"/>
      <c r="U24" s="668"/>
      <c r="V24" s="667"/>
      <c r="W24" s="668"/>
      <c r="X24" s="1264"/>
      <c r="Y24" s="3429"/>
      <c r="Z24" s="1263"/>
      <c r="AA24" s="1263"/>
      <c r="AB24" s="1263"/>
      <c r="AC24" s="1263"/>
    </row>
    <row r="25" spans="1:29" ht="15">
      <c r="A25" s="348"/>
      <c r="B25" s="586" t="s">
        <v>1867</v>
      </c>
      <c r="C25" s="1803">
        <f>估价对象房地状况!C20</f>
        <v>0</v>
      </c>
      <c r="D25" s="389">
        <v>100</v>
      </c>
      <c r="E25" s="391"/>
      <c r="F25" s="389">
        <f>SUMIF(97:97,E26,98:98)-SUMIF(97:97,C26,98:98)+100</f>
        <v>102</v>
      </c>
      <c r="G25" s="391"/>
      <c r="H25" s="389">
        <f>SUMIF(97:97,G26,98:98)-SUMIF(97:97,C26,98:98)+100</f>
        <v>102</v>
      </c>
      <c r="I25" s="393"/>
      <c r="J25" s="389">
        <f>SUMIF(97:97,I26,98:98)-SUMIF(97:97,C26,98:98)+100</f>
        <v>102</v>
      </c>
      <c r="K25" s="593">
        <v>2</v>
      </c>
      <c r="L25" s="2489"/>
      <c r="M25" s="2484"/>
      <c r="N25" s="2484"/>
      <c r="O25" s="2539"/>
      <c r="P25" s="3429"/>
      <c r="Q25" s="1262" t="str">
        <f t="shared" si="8"/>
        <v>自然及人文环境状况</v>
      </c>
      <c r="R25" s="667" t="s">
        <v>14</v>
      </c>
      <c r="S25" s="668">
        <f>F25</f>
        <v>102</v>
      </c>
      <c r="T25" s="667" t="s">
        <v>14</v>
      </c>
      <c r="U25" s="668">
        <f>H25</f>
        <v>102</v>
      </c>
      <c r="V25" s="667" t="s">
        <v>14</v>
      </c>
      <c r="W25" s="668">
        <f>J25</f>
        <v>102</v>
      </c>
      <c r="X25" s="1264"/>
      <c r="Y25" s="3429"/>
      <c r="Z25" s="1263" t="str">
        <f>Q25</f>
        <v>自然及人文环境状况</v>
      </c>
      <c r="AA25" s="1263">
        <f t="shared" si="3"/>
        <v>0.98039215686274506</v>
      </c>
      <c r="AB25" s="1263">
        <f t="shared" si="4"/>
        <v>0.98039215686274506</v>
      </c>
      <c r="AC25" s="1263">
        <f t="shared" si="5"/>
        <v>0.98039215686274506</v>
      </c>
    </row>
    <row r="26" spans="1:29" ht="15">
      <c r="A26" s="348"/>
      <c r="B26" s="395"/>
      <c r="C26" s="386" t="s">
        <v>3816</v>
      </c>
      <c r="D26" s="387"/>
      <c r="E26" s="1757" t="s">
        <v>3817</v>
      </c>
      <c r="F26" s="387"/>
      <c r="G26" s="1757" t="s">
        <v>3817</v>
      </c>
      <c r="H26" s="387"/>
      <c r="I26" s="1757" t="s">
        <v>3817</v>
      </c>
      <c r="J26" s="387"/>
      <c r="K26" s="592"/>
      <c r="L26" s="2489"/>
      <c r="M26" s="2484"/>
      <c r="N26" s="2484"/>
      <c r="O26" s="2539"/>
      <c r="P26" s="3429"/>
      <c r="Q26" s="1262"/>
      <c r="R26" s="667"/>
      <c r="S26" s="668"/>
      <c r="T26" s="667"/>
      <c r="U26" s="668"/>
      <c r="V26" s="667"/>
      <c r="W26" s="668"/>
      <c r="X26" s="1264"/>
      <c r="Y26" s="3429"/>
      <c r="Z26" s="1263"/>
      <c r="AA26" s="1263">
        <v>1</v>
      </c>
      <c r="AB26" s="1263">
        <v>1</v>
      </c>
      <c r="AC26" s="1263">
        <v>1</v>
      </c>
    </row>
    <row r="27" spans="1:29" s="102" customFormat="1" ht="15">
      <c r="A27" s="443"/>
      <c r="B27" s="586" t="s">
        <v>1773</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v>2</v>
      </c>
      <c r="L27" s="2485"/>
      <c r="M27" s="2436"/>
      <c r="N27" s="2436"/>
      <c r="O27" s="2537"/>
      <c r="P27" s="3429"/>
      <c r="Q27" s="530" t="str">
        <f t="shared" si="8"/>
        <v>公共配套设施</v>
      </c>
      <c r="R27" s="664" t="s">
        <v>14</v>
      </c>
      <c r="S27" s="665">
        <f>F27</f>
        <v>100</v>
      </c>
      <c r="T27" s="664" t="s">
        <v>14</v>
      </c>
      <c r="U27" s="665">
        <f>H27</f>
        <v>100</v>
      </c>
      <c r="V27" s="664" t="s">
        <v>14</v>
      </c>
      <c r="W27" s="665">
        <f>J27</f>
        <v>100</v>
      </c>
      <c r="X27" s="666"/>
      <c r="Y27" s="3429"/>
      <c r="Z27" s="50" t="str">
        <f>Q27</f>
        <v>公共配套设施</v>
      </c>
      <c r="AA27" s="1263">
        <f>D27/F27</f>
        <v>1</v>
      </c>
      <c r="AB27" s="1263">
        <f>D27/H27</f>
        <v>1</v>
      </c>
      <c r="AC27" s="1263">
        <f>D27/J27</f>
        <v>1</v>
      </c>
    </row>
    <row r="28" spans="1:29" s="102" customFormat="1" ht="15">
      <c r="A28" s="443"/>
      <c r="B28" s="395"/>
      <c r="C28" s="1823" t="s">
        <v>3817</v>
      </c>
      <c r="D28" s="387"/>
      <c r="E28" s="1823" t="s">
        <v>3817</v>
      </c>
      <c r="F28" s="387"/>
      <c r="G28" s="1823" t="s">
        <v>3817</v>
      </c>
      <c r="H28" s="387"/>
      <c r="I28" s="1823" t="s">
        <v>3817</v>
      </c>
      <c r="J28" s="387"/>
      <c r="K28" s="592"/>
      <c r="L28" s="2485"/>
      <c r="M28" s="2436"/>
      <c r="N28" s="2436"/>
      <c r="O28" s="2537"/>
      <c r="P28" s="3429"/>
      <c r="Q28" s="530"/>
      <c r="R28" s="664"/>
      <c r="S28" s="665"/>
      <c r="T28" s="664"/>
      <c r="U28" s="665"/>
      <c r="V28" s="664"/>
      <c r="W28" s="665"/>
      <c r="X28" s="666"/>
      <c r="Y28" s="3429"/>
      <c r="Z28" s="50"/>
      <c r="AA28" s="1263">
        <v>1</v>
      </c>
      <c r="AB28" s="1263">
        <v>1</v>
      </c>
      <c r="AC28" s="1263">
        <v>1</v>
      </c>
    </row>
    <row r="29" spans="1:29" s="102" customFormat="1" ht="15">
      <c r="A29" s="443"/>
      <c r="B29" s="586" t="s">
        <v>1774</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v>2</v>
      </c>
      <c r="L29" s="2485"/>
      <c r="M29" s="2436"/>
      <c r="N29" s="2436"/>
      <c r="O29" s="2537"/>
      <c r="P29" s="3429"/>
      <c r="Q29" s="530" t="str">
        <f t="shared" ref="Q29" si="9">B29</f>
        <v>基础设施水平</v>
      </c>
      <c r="R29" s="664" t="s">
        <v>14</v>
      </c>
      <c r="S29" s="665">
        <f>F29</f>
        <v>100</v>
      </c>
      <c r="T29" s="664" t="s">
        <v>14</v>
      </c>
      <c r="U29" s="665">
        <f>H29</f>
        <v>100</v>
      </c>
      <c r="V29" s="664" t="s">
        <v>14</v>
      </c>
      <c r="W29" s="665">
        <f>J29</f>
        <v>100</v>
      </c>
      <c r="X29" s="666"/>
      <c r="Y29" s="3429"/>
      <c r="Z29" s="50" t="str">
        <f>Q29</f>
        <v>基础设施水平</v>
      </c>
      <c r="AA29" s="1263">
        <f>D29/F29</f>
        <v>1</v>
      </c>
      <c r="AB29" s="1263">
        <f>D29/H29</f>
        <v>1</v>
      </c>
      <c r="AC29" s="1263">
        <f>D29/J29</f>
        <v>1</v>
      </c>
    </row>
    <row r="30" spans="1:29" s="102" customFormat="1" ht="15.75" thickBot="1">
      <c r="A30" s="443"/>
      <c r="B30" s="395"/>
      <c r="C30" s="1823" t="s">
        <v>3818</v>
      </c>
      <c r="D30" s="387"/>
      <c r="E30" s="1823" t="s">
        <v>3818</v>
      </c>
      <c r="F30" s="387"/>
      <c r="G30" s="1823" t="s">
        <v>3818</v>
      </c>
      <c r="H30" s="387"/>
      <c r="I30" s="1823" t="s">
        <v>3818</v>
      </c>
      <c r="J30" s="387"/>
      <c r="K30" s="592"/>
      <c r="L30" s="2485"/>
      <c r="M30" s="2436"/>
      <c r="N30" s="2436"/>
      <c r="O30" s="2537"/>
      <c r="P30" s="3429"/>
      <c r="Q30" s="530"/>
      <c r="R30" s="664"/>
      <c r="S30" s="665"/>
      <c r="T30" s="664"/>
      <c r="U30" s="665"/>
      <c r="V30" s="664"/>
      <c r="W30" s="665"/>
      <c r="X30" s="666"/>
      <c r="Y30" s="3429"/>
      <c r="Z30" s="50"/>
      <c r="AA30" s="1263">
        <v>1</v>
      </c>
      <c r="AB30" s="1263">
        <v>1</v>
      </c>
      <c r="AC30" s="1263">
        <v>1</v>
      </c>
    </row>
    <row r="31" spans="1:29" ht="15" hidden="1">
      <c r="A31" s="367"/>
      <c r="B31" s="395" t="s">
        <v>1775</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429"/>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29"/>
      <c r="Z31" s="1263" t="str">
        <f t="shared" ref="Z31:Z45" si="13">Q31</f>
        <v>临街状况</v>
      </c>
      <c r="AA31" s="1263">
        <f t="shared" si="3"/>
        <v>1</v>
      </c>
      <c r="AB31" s="1263">
        <f t="shared" si="4"/>
        <v>1</v>
      </c>
      <c r="AC31" s="1263">
        <f t="shared" si="5"/>
        <v>1</v>
      </c>
    </row>
    <row r="32" spans="1:29" ht="27" hidden="1">
      <c r="A32" s="367"/>
      <c r="B32" s="586" t="s">
        <v>1810</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429"/>
      <c r="Q32" s="1262" t="str">
        <f t="shared" si="8"/>
        <v>毗邻道路的类型与等级</v>
      </c>
      <c r="R32" s="667" t="s">
        <v>14</v>
      </c>
      <c r="S32" s="668">
        <f t="shared" si="10"/>
        <v>100</v>
      </c>
      <c r="T32" s="667" t="s">
        <v>14</v>
      </c>
      <c r="U32" s="668">
        <f t="shared" si="11"/>
        <v>100</v>
      </c>
      <c r="V32" s="667" t="s">
        <v>14</v>
      </c>
      <c r="W32" s="668">
        <f t="shared" si="12"/>
        <v>100</v>
      </c>
      <c r="X32" s="1264"/>
      <c r="Y32" s="3429"/>
      <c r="Z32" s="1263" t="str">
        <f t="shared" si="13"/>
        <v>毗邻道路的类型与等级</v>
      </c>
      <c r="AA32" s="1263">
        <f t="shared" si="3"/>
        <v>1</v>
      </c>
      <c r="AB32" s="1263">
        <f t="shared" si="4"/>
        <v>1</v>
      </c>
      <c r="AC32" s="1263">
        <f t="shared" si="5"/>
        <v>1</v>
      </c>
    </row>
    <row r="33" spans="1:29" ht="15" hidden="1">
      <c r="A33" s="367"/>
      <c r="B33" s="395"/>
      <c r="C33" s="386"/>
      <c r="D33" s="387"/>
      <c r="E33" s="1757"/>
      <c r="F33" s="387"/>
      <c r="G33" s="1757"/>
      <c r="H33" s="387"/>
      <c r="I33" s="386"/>
      <c r="J33" s="387"/>
      <c r="K33" s="539"/>
      <c r="L33" s="2489"/>
      <c r="M33" s="2484"/>
      <c r="N33" s="2484"/>
      <c r="O33" s="2539"/>
      <c r="P33" s="3429"/>
      <c r="Q33" s="1262"/>
      <c r="R33" s="667"/>
      <c r="S33" s="668"/>
      <c r="T33" s="667"/>
      <c r="U33" s="668"/>
      <c r="V33" s="667"/>
      <c r="W33" s="668"/>
      <c r="X33" s="1264"/>
      <c r="Y33" s="3429"/>
      <c r="Z33" s="1263"/>
      <c r="AA33" s="1263">
        <v>1</v>
      </c>
      <c r="AB33" s="1263">
        <v>1</v>
      </c>
      <c r="AC33" s="1263">
        <v>1</v>
      </c>
    </row>
    <row r="34" spans="1:29" ht="15" hidden="1">
      <c r="A34" s="367"/>
      <c r="B34" s="364" t="s">
        <v>1868</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429"/>
      <c r="Q34" s="1262" t="str">
        <f t="shared" si="8"/>
        <v>土地级别</v>
      </c>
      <c r="R34" s="667" t="s">
        <v>14</v>
      </c>
      <c r="S34" s="668">
        <f t="shared" si="10"/>
        <v>100</v>
      </c>
      <c r="T34" s="667" t="s">
        <v>14</v>
      </c>
      <c r="U34" s="668">
        <f t="shared" si="11"/>
        <v>100</v>
      </c>
      <c r="V34" s="667" t="s">
        <v>14</v>
      </c>
      <c r="W34" s="668">
        <f t="shared" si="12"/>
        <v>100</v>
      </c>
      <c r="X34" s="1264"/>
      <c r="Y34" s="3429"/>
      <c r="Z34" s="1263" t="str">
        <f t="shared" si="13"/>
        <v>土地级别</v>
      </c>
      <c r="AA34" s="1263">
        <f t="shared" si="3"/>
        <v>1</v>
      </c>
      <c r="AB34" s="1263">
        <f t="shared" si="4"/>
        <v>1</v>
      </c>
      <c r="AC34" s="1263">
        <f t="shared" si="5"/>
        <v>1</v>
      </c>
    </row>
    <row r="35" spans="1:29" ht="15" hidden="1">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429"/>
      <c r="Q35" s="1262">
        <f t="shared" si="8"/>
        <v>111</v>
      </c>
      <c r="R35" s="667" t="s">
        <v>14</v>
      </c>
      <c r="S35" s="668">
        <f t="shared" si="10"/>
        <v>100</v>
      </c>
      <c r="T35" s="667" t="s">
        <v>14</v>
      </c>
      <c r="U35" s="668">
        <f t="shared" si="11"/>
        <v>100</v>
      </c>
      <c r="V35" s="667" t="s">
        <v>14</v>
      </c>
      <c r="W35" s="668">
        <f t="shared" si="12"/>
        <v>100</v>
      </c>
      <c r="X35" s="1264"/>
      <c r="Y35" s="3429"/>
      <c r="Z35" s="1263">
        <f t="shared" si="13"/>
        <v>111</v>
      </c>
      <c r="AA35" s="1263">
        <f t="shared" si="3"/>
        <v>1</v>
      </c>
      <c r="AB35" s="1263">
        <f t="shared" si="4"/>
        <v>1</v>
      </c>
      <c r="AC35" s="1263">
        <f t="shared" si="5"/>
        <v>1</v>
      </c>
    </row>
    <row r="36" spans="1:29" ht="15" hidden="1">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81" t="s">
        <v>1691</v>
      </c>
      <c r="Q36" s="1262">
        <f t="shared" si="8"/>
        <v>111</v>
      </c>
      <c r="R36" s="667" t="s">
        <v>14</v>
      </c>
      <c r="S36" s="668">
        <f t="shared" si="10"/>
        <v>100</v>
      </c>
      <c r="T36" s="667" t="s">
        <v>14</v>
      </c>
      <c r="U36" s="668">
        <f t="shared" si="11"/>
        <v>100</v>
      </c>
      <c r="V36" s="667" t="s">
        <v>14</v>
      </c>
      <c r="W36" s="668">
        <f t="shared" si="12"/>
        <v>100</v>
      </c>
      <c r="X36" s="1264"/>
      <c r="Y36" s="3433" t="s">
        <v>1691</v>
      </c>
      <c r="Z36" s="1263">
        <f t="shared" si="13"/>
        <v>111</v>
      </c>
      <c r="AA36" s="1263">
        <f t="shared" si="3"/>
        <v>1</v>
      </c>
      <c r="AB36" s="1263">
        <f t="shared" si="4"/>
        <v>1</v>
      </c>
      <c r="AC36" s="1263">
        <f t="shared" si="5"/>
        <v>1</v>
      </c>
    </row>
    <row r="37" spans="1:29" s="408" customFormat="1" ht="15.75" hidden="1"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433"/>
      <c r="Q37" s="1262">
        <f t="shared" si="8"/>
        <v>111</v>
      </c>
      <c r="R37" s="669" t="s">
        <v>14</v>
      </c>
      <c r="S37" s="670">
        <f t="shared" si="10"/>
        <v>100</v>
      </c>
      <c r="T37" s="669" t="s">
        <v>14</v>
      </c>
      <c r="U37" s="670">
        <f t="shared" si="11"/>
        <v>100</v>
      </c>
      <c r="V37" s="669" t="s">
        <v>14</v>
      </c>
      <c r="W37" s="670">
        <f t="shared" si="12"/>
        <v>100</v>
      </c>
      <c r="X37" s="671"/>
      <c r="Y37" s="3433"/>
      <c r="Z37" s="672">
        <f t="shared" si="13"/>
        <v>111</v>
      </c>
      <c r="AA37" s="1263">
        <f t="shared" si="3"/>
        <v>1</v>
      </c>
      <c r="AB37" s="1263">
        <f t="shared" si="4"/>
        <v>1</v>
      </c>
      <c r="AC37" s="1263">
        <f t="shared" si="5"/>
        <v>1</v>
      </c>
    </row>
    <row r="38" spans="1:29" ht="15">
      <c r="A38" s="409" t="s">
        <v>1689</v>
      </c>
      <c r="B38" s="395" t="s">
        <v>1869</v>
      </c>
      <c r="C38" s="599">
        <f>'数据-基础表'!A3</f>
        <v>21560.34</v>
      </c>
      <c r="D38" s="405">
        <v>100</v>
      </c>
      <c r="E38" s="599">
        <f>土地案例!N23</f>
        <v>10000</v>
      </c>
      <c r="F38" s="405">
        <f>LOOKUP(E38,116:116,117:117)-LOOKUP(C38,116:116,117:117)+100</f>
        <v>99.5</v>
      </c>
      <c r="G38" s="599">
        <f>土地案例!N24</f>
        <v>5500</v>
      </c>
      <c r="H38" s="405">
        <f>LOOKUP(G38,116:116,117:117)-LOOKUP(C38,116:116,117:117)+100</f>
        <v>99</v>
      </c>
      <c r="I38" s="462">
        <f>土地案例!N36</f>
        <v>204418.11</v>
      </c>
      <c r="J38" s="405">
        <f>LOOKUP(I38,116:116,117:117)-LOOKUP(C38,116:116,117:117)+100</f>
        <v>103</v>
      </c>
      <c r="K38" s="539"/>
      <c r="L38" s="2489"/>
      <c r="M38" s="2484"/>
      <c r="N38" s="2484"/>
      <c r="O38" s="2539"/>
      <c r="P38" s="3433"/>
      <c r="Q38" s="1262" t="str">
        <f>B38</f>
        <v>宗地面积</v>
      </c>
      <c r="R38" s="667" t="s">
        <v>14</v>
      </c>
      <c r="S38" s="668">
        <f t="shared" si="10"/>
        <v>99.5</v>
      </c>
      <c r="T38" s="667" t="s">
        <v>14</v>
      </c>
      <c r="U38" s="668">
        <f t="shared" si="11"/>
        <v>99</v>
      </c>
      <c r="V38" s="667" t="s">
        <v>14</v>
      </c>
      <c r="W38" s="668">
        <f t="shared" si="12"/>
        <v>103</v>
      </c>
      <c r="X38" s="1264"/>
      <c r="Y38" s="3433"/>
      <c r="Z38" s="1263" t="str">
        <f t="shared" si="13"/>
        <v>宗地面积</v>
      </c>
      <c r="AA38" s="1263">
        <f t="shared" si="3"/>
        <v>1.0050251256281406</v>
      </c>
      <c r="AB38" s="1263">
        <f t="shared" si="4"/>
        <v>1.0101010101010102</v>
      </c>
      <c r="AC38" s="1263">
        <f t="shared" si="5"/>
        <v>0.970873786407767</v>
      </c>
    </row>
    <row r="39" spans="1:29" ht="15">
      <c r="A39" s="409"/>
      <c r="B39" s="364" t="s">
        <v>1870</v>
      </c>
      <c r="C39" s="1759" t="s">
        <v>3819</v>
      </c>
      <c r="D39" s="374">
        <v>100</v>
      </c>
      <c r="E39" s="1759" t="s">
        <v>3819</v>
      </c>
      <c r="F39" s="374">
        <f>SUMIF(118:118,E39,119:119)-SUMIF(118:118,C39,119:119)+100</f>
        <v>100</v>
      </c>
      <c r="G39" s="1759" t="s">
        <v>3819</v>
      </c>
      <c r="H39" s="374">
        <f>SUMIF(118:118,G39,119:119)-SUMIF(118:118,C39,119:119)+100</f>
        <v>100</v>
      </c>
      <c r="I39" s="1759" t="s">
        <v>3819</v>
      </c>
      <c r="J39" s="374">
        <f>SUMIF(118:118,I39,119:119)-SUMIF(118:118,C39,119:119)+100</f>
        <v>100</v>
      </c>
      <c r="K39" s="538">
        <v>1</v>
      </c>
      <c r="L39" s="2489"/>
      <c r="M39" s="2484"/>
      <c r="N39" s="2484"/>
      <c r="O39" s="2539"/>
      <c r="P39" s="3433"/>
      <c r="Q39" s="1262" t="str">
        <f t="shared" ref="Q39:Q45" si="14">B39</f>
        <v>宗地形状</v>
      </c>
      <c r="R39" s="667" t="s">
        <v>14</v>
      </c>
      <c r="S39" s="668">
        <f t="shared" si="10"/>
        <v>100</v>
      </c>
      <c r="T39" s="667" t="s">
        <v>14</v>
      </c>
      <c r="U39" s="668">
        <f t="shared" si="11"/>
        <v>100</v>
      </c>
      <c r="V39" s="667" t="s">
        <v>14</v>
      </c>
      <c r="W39" s="668">
        <f t="shared" si="12"/>
        <v>100</v>
      </c>
      <c r="X39" s="1264"/>
      <c r="Y39" s="3433"/>
      <c r="Z39" s="1263" t="str">
        <f t="shared" si="13"/>
        <v>宗地形状</v>
      </c>
      <c r="AA39" s="1263">
        <f t="shared" si="3"/>
        <v>1</v>
      </c>
      <c r="AB39" s="1263">
        <f t="shared" si="4"/>
        <v>1</v>
      </c>
      <c r="AC39" s="1263">
        <f t="shared" si="5"/>
        <v>1</v>
      </c>
    </row>
    <row r="40" spans="1:29" ht="15">
      <c r="A40" s="409"/>
      <c r="B40" s="364" t="s">
        <v>1871</v>
      </c>
      <c r="C40" s="1759" t="s">
        <v>3820</v>
      </c>
      <c r="D40" s="374">
        <v>100</v>
      </c>
      <c r="E40" s="1759" t="s">
        <v>3820</v>
      </c>
      <c r="F40" s="374">
        <f>SUMIF(120:120,E40,121:121)-SUMIF(120:120,C40,121:121)+100</f>
        <v>100</v>
      </c>
      <c r="G40" s="1759" t="s">
        <v>3820</v>
      </c>
      <c r="H40" s="374">
        <f>SUMIF(120:120,G40,121:121)-SUMIF(120:120,C40,121:121)+100</f>
        <v>100</v>
      </c>
      <c r="I40" s="1759" t="s">
        <v>3820</v>
      </c>
      <c r="J40" s="374">
        <f>SUMIF(120:120,I40,121:121)-SUMIF(120:120,C40,121:121)+100</f>
        <v>100</v>
      </c>
      <c r="K40" s="538">
        <v>1</v>
      </c>
      <c r="L40" s="2489"/>
      <c r="M40" s="2484"/>
      <c r="N40" s="2484"/>
      <c r="O40" s="2539"/>
      <c r="P40" s="3433"/>
      <c r="Q40" s="1262" t="str">
        <f t="shared" si="14"/>
        <v>临街宽度及深度</v>
      </c>
      <c r="R40" s="667" t="s">
        <v>14</v>
      </c>
      <c r="S40" s="668">
        <f t="shared" si="10"/>
        <v>100</v>
      </c>
      <c r="T40" s="667" t="s">
        <v>14</v>
      </c>
      <c r="U40" s="668">
        <f t="shared" si="11"/>
        <v>100</v>
      </c>
      <c r="V40" s="667" t="s">
        <v>14</v>
      </c>
      <c r="W40" s="668">
        <f t="shared" si="12"/>
        <v>100</v>
      </c>
      <c r="X40" s="1264"/>
      <c r="Y40" s="3433"/>
      <c r="Z40" s="1263" t="str">
        <f t="shared" si="13"/>
        <v>临街宽度及深度</v>
      </c>
      <c r="AA40" s="1263">
        <f t="shared" si="3"/>
        <v>1</v>
      </c>
      <c r="AB40" s="1263">
        <f t="shared" si="4"/>
        <v>1</v>
      </c>
      <c r="AC40" s="1263">
        <f t="shared" si="5"/>
        <v>1</v>
      </c>
    </row>
    <row r="41" spans="1:29" s="102" customFormat="1" ht="15">
      <c r="A41" s="410"/>
      <c r="B41" s="364" t="s">
        <v>1872</v>
      </c>
      <c r="C41" s="1825" t="s">
        <v>3818</v>
      </c>
      <c r="D41" s="119">
        <v>100</v>
      </c>
      <c r="E41" s="1825" t="s">
        <v>3822</v>
      </c>
      <c r="F41" s="374">
        <f>SUMIF(122:122,E41,123:123)-SUMIF(122:122,C41,123:123)+100</f>
        <v>99</v>
      </c>
      <c r="G41" s="1825" t="s">
        <v>3822</v>
      </c>
      <c r="H41" s="374">
        <f>SUMIF(122:122,G41,123:123)-SUMIF(122:122,C41,123:123)+100</f>
        <v>99</v>
      </c>
      <c r="I41" s="1825" t="s">
        <v>3823</v>
      </c>
      <c r="J41" s="374">
        <f>SUMIF(122:122,I41,123:123)-SUMIF(122:122,C41,123:123)+100</f>
        <v>96</v>
      </c>
      <c r="K41" s="538">
        <v>1</v>
      </c>
      <c r="L41" s="2485"/>
      <c r="M41" s="2436"/>
      <c r="N41" s="2436"/>
      <c r="O41" s="2537"/>
      <c r="P41" s="3433"/>
      <c r="Q41" s="1262" t="str">
        <f t="shared" si="14"/>
        <v>宗地开发程度</v>
      </c>
      <c r="R41" s="664" t="s">
        <v>14</v>
      </c>
      <c r="S41" s="665">
        <f t="shared" si="10"/>
        <v>99</v>
      </c>
      <c r="T41" s="664" t="s">
        <v>14</v>
      </c>
      <c r="U41" s="665">
        <f t="shared" si="11"/>
        <v>99</v>
      </c>
      <c r="V41" s="664" t="s">
        <v>14</v>
      </c>
      <c r="W41" s="665">
        <f t="shared" si="12"/>
        <v>96</v>
      </c>
      <c r="X41" s="666"/>
      <c r="Y41" s="3433"/>
      <c r="Z41" s="50" t="str">
        <f t="shared" si="13"/>
        <v>宗地开发程度</v>
      </c>
      <c r="AA41" s="50">
        <f t="shared" si="3"/>
        <v>1.0101010101010102</v>
      </c>
      <c r="AB41" s="50">
        <f t="shared" si="4"/>
        <v>1.0101010101010102</v>
      </c>
      <c r="AC41" s="50">
        <f t="shared" si="5"/>
        <v>1.0416666666666667</v>
      </c>
    </row>
    <row r="42" spans="1:29" ht="15.75" thickBot="1">
      <c r="A42" s="409"/>
      <c r="B42" s="364" t="s">
        <v>1873</v>
      </c>
      <c r="C42" s="1759" t="s">
        <v>3821</v>
      </c>
      <c r="D42" s="374">
        <v>100</v>
      </c>
      <c r="E42" s="1759" t="s">
        <v>3821</v>
      </c>
      <c r="F42" s="374">
        <f>SUMIF(124:124,E42,125:125)-SUMIF(124:124,C42,125:125)+100</f>
        <v>100</v>
      </c>
      <c r="G42" s="1759" t="s">
        <v>3821</v>
      </c>
      <c r="H42" s="374">
        <f>SUMIF(124:124,G42,125:125)-SUMIF(124:124,C42,125:125)+100</f>
        <v>100</v>
      </c>
      <c r="I42" s="1759" t="s">
        <v>3821</v>
      </c>
      <c r="J42" s="374">
        <f>SUMIF(124:124,I42,125:125)-SUMIF(124:124,C42,125:125)+100</f>
        <v>100</v>
      </c>
      <c r="K42" s="538">
        <v>1</v>
      </c>
      <c r="L42" s="2489"/>
      <c r="M42" s="2484"/>
      <c r="N42" s="2484"/>
      <c r="O42" s="2539"/>
      <c r="P42" s="3433" t="s">
        <v>1691</v>
      </c>
      <c r="Q42" s="1262" t="str">
        <f t="shared" si="14"/>
        <v>工程地质条件</v>
      </c>
      <c r="R42" s="667" t="s">
        <v>14</v>
      </c>
      <c r="S42" s="668">
        <f t="shared" si="10"/>
        <v>100</v>
      </c>
      <c r="T42" s="667" t="s">
        <v>14</v>
      </c>
      <c r="U42" s="668">
        <f t="shared" si="11"/>
        <v>100</v>
      </c>
      <c r="V42" s="667" t="s">
        <v>14</v>
      </c>
      <c r="W42" s="668">
        <f t="shared" si="12"/>
        <v>100</v>
      </c>
      <c r="X42" s="1264"/>
      <c r="Y42" s="3433" t="s">
        <v>1691</v>
      </c>
      <c r="Z42" s="1263" t="str">
        <f t="shared" si="13"/>
        <v>工程地质条件</v>
      </c>
      <c r="AA42" s="1263">
        <f t="shared" si="3"/>
        <v>1</v>
      </c>
      <c r="AB42" s="1263">
        <f t="shared" si="4"/>
        <v>1</v>
      </c>
      <c r="AC42" s="1263">
        <f t="shared" si="5"/>
        <v>1</v>
      </c>
    </row>
    <row r="43" spans="1:29" ht="15" hidden="1">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433"/>
      <c r="Q43" s="1262">
        <f t="shared" si="14"/>
        <v>111</v>
      </c>
      <c r="R43" s="667" t="s">
        <v>14</v>
      </c>
      <c r="S43" s="668">
        <f t="shared" si="10"/>
        <v>100</v>
      </c>
      <c r="T43" s="667" t="s">
        <v>14</v>
      </c>
      <c r="U43" s="668">
        <f t="shared" si="11"/>
        <v>100</v>
      </c>
      <c r="V43" s="667" t="s">
        <v>14</v>
      </c>
      <c r="W43" s="668">
        <f t="shared" si="12"/>
        <v>100</v>
      </c>
      <c r="X43" s="1264"/>
      <c r="Y43" s="3433"/>
      <c r="Z43" s="1263">
        <f t="shared" si="13"/>
        <v>111</v>
      </c>
      <c r="AA43" s="1263">
        <f t="shared" si="3"/>
        <v>1</v>
      </c>
      <c r="AB43" s="1263">
        <f t="shared" si="4"/>
        <v>1</v>
      </c>
      <c r="AC43" s="1263">
        <f t="shared" si="5"/>
        <v>1</v>
      </c>
    </row>
    <row r="44" spans="1:29" ht="15" hidden="1">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433"/>
      <c r="Q44" s="1262">
        <f t="shared" si="14"/>
        <v>111</v>
      </c>
      <c r="R44" s="667" t="s">
        <v>14</v>
      </c>
      <c r="S44" s="668">
        <f t="shared" si="10"/>
        <v>100</v>
      </c>
      <c r="T44" s="667" t="s">
        <v>14</v>
      </c>
      <c r="U44" s="668">
        <f t="shared" si="11"/>
        <v>100</v>
      </c>
      <c r="V44" s="667" t="s">
        <v>14</v>
      </c>
      <c r="W44" s="668">
        <f t="shared" si="12"/>
        <v>100</v>
      </c>
      <c r="X44" s="1264"/>
      <c r="Y44" s="3433"/>
      <c r="Z44" s="1263">
        <f t="shared" si="13"/>
        <v>111</v>
      </c>
      <c r="AA44" s="1263">
        <f t="shared" si="3"/>
        <v>1</v>
      </c>
      <c r="AB44" s="1263">
        <f t="shared" si="4"/>
        <v>1</v>
      </c>
      <c r="AC44" s="1263">
        <f t="shared" si="5"/>
        <v>1</v>
      </c>
    </row>
    <row r="45" spans="1:29" s="408" customFormat="1" ht="15.75" hidden="1" thickBot="1">
      <c r="A45" s="406"/>
      <c r="B45" s="1067">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433"/>
      <c r="Q45" s="1262">
        <f t="shared" si="14"/>
        <v>111</v>
      </c>
      <c r="R45" s="669" t="s">
        <v>14</v>
      </c>
      <c r="S45" s="670">
        <f t="shared" si="10"/>
        <v>100</v>
      </c>
      <c r="T45" s="669" t="s">
        <v>14</v>
      </c>
      <c r="U45" s="670">
        <f t="shared" si="11"/>
        <v>100</v>
      </c>
      <c r="V45" s="669" t="s">
        <v>14</v>
      </c>
      <c r="W45" s="670">
        <f t="shared" si="12"/>
        <v>100</v>
      </c>
      <c r="X45" s="671"/>
      <c r="Y45" s="3433"/>
      <c r="Z45" s="672">
        <f t="shared" si="13"/>
        <v>111</v>
      </c>
      <c r="AA45" s="1263">
        <f t="shared" si="3"/>
        <v>1</v>
      </c>
      <c r="AB45" s="1263">
        <f t="shared" si="4"/>
        <v>1</v>
      </c>
      <c r="AC45" s="1263">
        <f t="shared" si="5"/>
        <v>1</v>
      </c>
    </row>
    <row r="46" spans="1:29" ht="15">
      <c r="A46" s="416" t="s">
        <v>1839</v>
      </c>
      <c r="B46" s="1827" t="s">
        <v>3833</v>
      </c>
      <c r="C46" s="602" t="s">
        <v>0</v>
      </c>
      <c r="D46" s="418"/>
      <c r="E46" s="419">
        <f>土地案例!Y23</f>
        <v>19784</v>
      </c>
      <c r="F46" s="420"/>
      <c r="G46" s="421">
        <f>土地案例!Y24</f>
        <v>19764</v>
      </c>
      <c r="H46" s="422"/>
      <c r="I46" s="419">
        <f>土地案例!Y36</f>
        <v>18404</v>
      </c>
      <c r="J46" s="422"/>
      <c r="K46" s="674"/>
      <c r="L46" s="2491"/>
      <c r="M46" s="2484"/>
      <c r="N46" s="2484"/>
      <c r="O46" s="2484"/>
      <c r="P46" s="3421" t="str">
        <f>A46</f>
        <v>成交单价</v>
      </c>
      <c r="Q46" s="3421"/>
      <c r="R46" s="3422">
        <f>E46</f>
        <v>19784</v>
      </c>
      <c r="S46" s="3422"/>
      <c r="T46" s="3422">
        <f>G46</f>
        <v>19764</v>
      </c>
      <c r="U46" s="3422"/>
      <c r="V46" s="3422">
        <f>I46</f>
        <v>18404</v>
      </c>
      <c r="W46" s="3422"/>
      <c r="X46" s="385"/>
      <c r="Y46" s="673"/>
      <c r="Z46" s="385"/>
      <c r="AA46" s="385"/>
      <c r="AB46" s="385"/>
      <c r="AC46" s="385"/>
    </row>
    <row r="47" spans="1:29" ht="15.75" thickBot="1">
      <c r="A47" s="423" t="s">
        <v>1788</v>
      </c>
      <c r="B47" s="603"/>
      <c r="C47" s="426">
        <f>R48</f>
        <v>17678</v>
      </c>
      <c r="D47" s="2138" t="s">
        <v>2132</v>
      </c>
      <c r="E47" s="426">
        <f>R47</f>
        <v>18192</v>
      </c>
      <c r="F47" s="2139"/>
      <c r="G47" s="425">
        <f>T47</f>
        <v>18265</v>
      </c>
      <c r="H47" s="2139"/>
      <c r="I47" s="426">
        <f>V47</f>
        <v>16578</v>
      </c>
      <c r="J47" s="2139"/>
      <c r="K47" s="2141">
        <f>F47+H47+J47</f>
        <v>0</v>
      </c>
      <c r="L47" s="2491"/>
      <c r="M47" s="2484"/>
      <c r="N47" s="2484"/>
      <c r="O47" s="2484"/>
      <c r="P47" s="3421" t="str">
        <f>A47</f>
        <v>比较价值（元/平方米）</v>
      </c>
      <c r="Q47" s="3421"/>
      <c r="R47" s="3483">
        <f>ROUND(PRODUCT(R46,AA7:AA45),0)</f>
        <v>18192</v>
      </c>
      <c r="S47" s="3483"/>
      <c r="T47" s="3483">
        <f>ROUND(PRODUCT(T46,AB7:AB45),0)</f>
        <v>18265</v>
      </c>
      <c r="U47" s="3483"/>
      <c r="V47" s="3483">
        <f>ROUND(PRODUCT(V46,AC7:AC45),0)</f>
        <v>16578</v>
      </c>
      <c r="W47" s="3483"/>
      <c r="X47" s="385"/>
      <c r="Y47" s="385"/>
      <c r="Z47" s="385"/>
      <c r="AA47" s="385"/>
      <c r="AB47" s="385"/>
      <c r="AC47" s="385"/>
    </row>
    <row r="48" spans="1:29" ht="15.75" thickBot="1">
      <c r="A48" s="427" t="s">
        <v>1874</v>
      </c>
      <c r="B48" s="428"/>
      <c r="C48" s="429">
        <f>R48</f>
        <v>17678</v>
      </c>
      <c r="D48" s="429"/>
      <c r="E48" s="429"/>
      <c r="F48" s="429"/>
      <c r="G48" s="429"/>
      <c r="H48" s="429"/>
      <c r="I48" s="429"/>
      <c r="J48" s="429"/>
      <c r="K48" s="675"/>
      <c r="L48" s="2491"/>
      <c r="M48" s="2484"/>
      <c r="N48" s="2484"/>
      <c r="O48" s="2484"/>
      <c r="P48" s="3423" t="str">
        <f>A48</f>
        <v>估价对象XX用房的比较价值（楼面单价，元/平方米）</v>
      </c>
      <c r="Q48" s="3424"/>
      <c r="R48" s="3484">
        <f>ROUND(IF(D47="简单平均",AVERAGE(R47:W47),R47*F47+T47*H47+V47*J47),0)</f>
        <v>17678</v>
      </c>
      <c r="S48" s="3484"/>
      <c r="T48" s="3484"/>
      <c r="U48" s="3484"/>
      <c r="V48" s="3484"/>
      <c r="W48" s="3484"/>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1790</v>
      </c>
      <c r="D51" s="433"/>
      <c r="E51" s="434">
        <f>IF(E46&lt;E47,E47/E46-1,E46/E47-1)</f>
        <v>8.7510993843447737E-2</v>
      </c>
      <c r="F51" s="435" t="str">
        <f>IF(OR(E51&gt;=0.3,E51&lt;=-0.3),"超过30%","")</f>
        <v/>
      </c>
      <c r="G51" s="434">
        <f>IF(G46&lt;G47,G47/G46-1,G46/G47-1)</f>
        <v>8.2069531891596048E-2</v>
      </c>
      <c r="H51" s="435" t="str">
        <f>IF(OR(G51&gt;=0.3,G51&lt;=-0.3),"超过30%","")</f>
        <v/>
      </c>
      <c r="I51" s="434">
        <f>IF(I46&lt;I47,I47/I46-1,I46/I47-1)</f>
        <v>0.11014597659548797</v>
      </c>
      <c r="J51" s="435" t="str">
        <f>IF(OR(I51&gt;=0.3,I51&lt;=-0.3),"超过30%","")</f>
        <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1791</v>
      </c>
      <c r="D52" s="436"/>
      <c r="E52" s="434">
        <f>IF(E47&lt;G47,G47/E47-1,E47/G47-1)</f>
        <v>4.0127528583993044E-3</v>
      </c>
      <c r="F52" s="435" t="str">
        <f>IF(OR(E52&gt;=0.2,E52&lt;=-0.2),"超过20%","")</f>
        <v/>
      </c>
      <c r="G52" s="434">
        <f>IF(G47&lt;I47,I47/G47-1,G47/I47-1)</f>
        <v>0.10176137049101208</v>
      </c>
      <c r="H52" s="435" t="str">
        <f>IF(OR(G52&gt;=0.2,G52&lt;=-0.2),"超过20%","")</f>
        <v/>
      </c>
      <c r="I52" s="434">
        <f>IF(I47&lt;E47,E47/I47-1,I47/E47-1)</f>
        <v>9.7357944263481766E-2</v>
      </c>
      <c r="J52" s="435" t="str">
        <f>IF(OR(I52&gt;=0.2,I52&lt;=-0.2),"超过20%","")</f>
        <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1792</v>
      </c>
      <c r="D53" s="436"/>
      <c r="E53" s="434">
        <f>IF(E46&lt;G46,G46/E46-1,E46/G46-1)</f>
        <v>1.0119409026512205E-3</v>
      </c>
      <c r="F53" s="435" t="str">
        <f>IF(OR(E53&gt;=0.3,E53&lt;=-0.3),"超过30%","")</f>
        <v/>
      </c>
      <c r="G53" s="434">
        <f>IF(G46&lt;I46,I46/G46-1,G46/I46-1)</f>
        <v>7.3896978917626699E-2</v>
      </c>
      <c r="H53" s="435" t="str">
        <f>IF(OR(G53&gt;=0.3,G53&lt;=-0.3),"超过30%","")</f>
        <v/>
      </c>
      <c r="I53" s="434">
        <f>IF(I46&lt;E46,E46/I46-1,I46/E46-1)</f>
        <v>7.4983699195827036E-2</v>
      </c>
      <c r="J53" s="435" t="str">
        <f>IF(OR(I53&gt;=0.3,I53&lt;=-0.3),"超过30%","")</f>
        <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5"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1875</v>
      </c>
      <c r="B55" s="605" t="s">
        <v>1876</v>
      </c>
      <c r="C55" s="1828" t="s">
        <v>1877</v>
      </c>
      <c r="D55" s="1829" t="s">
        <v>1878</v>
      </c>
      <c r="E55" s="606" t="s">
        <v>1879</v>
      </c>
      <c r="F55" s="837" t="s">
        <v>1880</v>
      </c>
      <c r="G55" s="3439" t="s">
        <v>1881</v>
      </c>
      <c r="H55" s="3485"/>
      <c r="I55" s="127" t="s">
        <v>1882</v>
      </c>
      <c r="J55" s="1830">
        <f>项目基本情况!F35</f>
        <v>0</v>
      </c>
      <c r="K55" s="1831" t="s">
        <v>1883</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1884</v>
      </c>
      <c r="B56" s="609">
        <f>C48</f>
        <v>17678</v>
      </c>
      <c r="C56" s="610">
        <v>1</v>
      </c>
      <c r="D56" s="890">
        <v>1</v>
      </c>
      <c r="E56" s="610">
        <f>'数据-汇总表'!E8+'数据-汇总表'!E9</f>
        <v>742.75</v>
      </c>
      <c r="F56" s="833">
        <f t="shared" ref="F56:F64" si="15">ROUND(B56*E56/10000,0)</f>
        <v>1313</v>
      </c>
      <c r="G56" s="3435"/>
      <c r="H56" s="3421"/>
      <c r="I56" s="838">
        <v>1</v>
      </c>
      <c r="J56" s="841">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1885</v>
      </c>
      <c r="B57" s="210">
        <f>ROUND($C$48*C57*D57,0)</f>
        <v>0</v>
      </c>
      <c r="C57" s="163">
        <f t="shared" ref="C57:C64" si="16">IF($C$55="北京市系数",I57,J57)</f>
        <v>0</v>
      </c>
      <c r="D57" s="891">
        <v>0.25</v>
      </c>
      <c r="E57" s="614"/>
      <c r="F57" s="833">
        <f t="shared" si="15"/>
        <v>0</v>
      </c>
      <c r="G57" s="2747" t="s">
        <v>1886</v>
      </c>
      <c r="H57" s="834">
        <f>项目基本情况!B37</f>
        <v>0</v>
      </c>
      <c r="I57" s="838">
        <f>SUMIF(修正!A57:A68,H57,修正!B57:B68)</f>
        <v>0</v>
      </c>
      <c r="J57" s="842"/>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1887</v>
      </c>
      <c r="B58" s="210">
        <f t="shared" ref="B58:B64" si="17">ROUND($C$48*C58*D58,0)</f>
        <v>0</v>
      </c>
      <c r="C58" s="163">
        <f t="shared" si="16"/>
        <v>0</v>
      </c>
      <c r="D58" s="891">
        <v>0.25</v>
      </c>
      <c r="E58" s="614"/>
      <c r="F58" s="833">
        <f t="shared" si="15"/>
        <v>0</v>
      </c>
      <c r="G58" s="2748"/>
      <c r="H58" s="834">
        <f>项目基本情况!B37</f>
        <v>0</v>
      </c>
      <c r="I58" s="838">
        <f>SUMIF(修正!A57:A68,H58,修正!C57:C68)</f>
        <v>0</v>
      </c>
      <c r="J58" s="842"/>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1888</v>
      </c>
      <c r="B59" s="210">
        <f t="shared" si="17"/>
        <v>0</v>
      </c>
      <c r="C59" s="163">
        <f t="shared" si="16"/>
        <v>0</v>
      </c>
      <c r="D59" s="891">
        <v>0.25</v>
      </c>
      <c r="E59" s="614"/>
      <c r="F59" s="833">
        <f t="shared" si="15"/>
        <v>0</v>
      </c>
      <c r="G59" s="2748"/>
      <c r="H59" s="834">
        <f>项目基本情况!B37</f>
        <v>0</v>
      </c>
      <c r="I59" s="838">
        <f>SUMIF(修正!A57:A68,H59,修正!D57:D68)</f>
        <v>0</v>
      </c>
      <c r="J59" s="842"/>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1889</v>
      </c>
      <c r="B60" s="210">
        <f t="shared" si="17"/>
        <v>884</v>
      </c>
      <c r="C60" s="163">
        <f t="shared" si="16"/>
        <v>0.2</v>
      </c>
      <c r="D60" s="891">
        <v>0.25</v>
      </c>
      <c r="E60" s="209">
        <f>'数据-汇总表'!E11</f>
        <v>0</v>
      </c>
      <c r="F60" s="833">
        <f t="shared" si="15"/>
        <v>0</v>
      </c>
      <c r="G60" s="1832" t="s">
        <v>1890</v>
      </c>
      <c r="H60" s="834" t="str">
        <f>项目基本情况!C37</f>
        <v>八级</v>
      </c>
      <c r="I60" s="838">
        <f>SUMIF(修正!A57:A68,H60,修正!E57:E68)</f>
        <v>0.2</v>
      </c>
      <c r="J60" s="842"/>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1891</v>
      </c>
      <c r="B61" s="210">
        <f t="shared" si="17"/>
        <v>884</v>
      </c>
      <c r="C61" s="163">
        <f t="shared" si="16"/>
        <v>0.2</v>
      </c>
      <c r="D61" s="891">
        <v>0.25</v>
      </c>
      <c r="E61" s="209">
        <f>'数据-汇总表'!E12</f>
        <v>0</v>
      </c>
      <c r="F61" s="833">
        <f t="shared" si="15"/>
        <v>0</v>
      </c>
      <c r="G61" s="839" t="s">
        <v>1892</v>
      </c>
      <c r="H61" s="834" t="str">
        <f>IF(G61="商业",项目基本情况!B37,IF(G61="办公",项目基本情况!C37,IF(G61="住宅",项目基本情况!D37,项目基本情况!E37)))</f>
        <v>八级</v>
      </c>
      <c r="I61" s="838">
        <f>SUMIF(修正!A57:A68,H61,修正!F57:F68)</f>
        <v>0.2</v>
      </c>
      <c r="J61" s="842"/>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1893</v>
      </c>
      <c r="B62" s="210">
        <f t="shared" si="17"/>
        <v>0</v>
      </c>
      <c r="C62" s="163">
        <f t="shared" si="16"/>
        <v>0</v>
      </c>
      <c r="D62" s="891">
        <v>0.25</v>
      </c>
      <c r="E62" s="209">
        <f>'数据-汇总表'!E13</f>
        <v>0</v>
      </c>
      <c r="F62" s="833">
        <f t="shared" si="15"/>
        <v>0</v>
      </c>
      <c r="G62" s="839" t="s">
        <v>1894</v>
      </c>
      <c r="H62" s="834">
        <f>IF(G62="商业",项目基本情况!B37,IF(G62="办公",项目基本情况!C37,IF(G62="住宅",项目基本情况!D37,项目基本情况!E37)))</f>
        <v>0</v>
      </c>
      <c r="I62" s="838">
        <f>SUMIF(修正!A57:A68,H62,修正!G57:G68)</f>
        <v>0</v>
      </c>
      <c r="J62" s="842"/>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1895</v>
      </c>
      <c r="B63" s="210">
        <f t="shared" si="17"/>
        <v>0</v>
      </c>
      <c r="C63" s="163">
        <f t="shared" si="16"/>
        <v>0</v>
      </c>
      <c r="D63" s="891">
        <v>0.25</v>
      </c>
      <c r="E63" s="209">
        <f>'数据-汇总表'!E14</f>
        <v>0</v>
      </c>
      <c r="F63" s="833">
        <f t="shared" si="15"/>
        <v>0</v>
      </c>
      <c r="G63" s="1832" t="s">
        <v>1886</v>
      </c>
      <c r="H63" s="834">
        <f>项目基本情况!B37</f>
        <v>0</v>
      </c>
      <c r="I63" s="838">
        <f>SUMIF(修正!A57:A68,H63,修正!G57:G68)</f>
        <v>0</v>
      </c>
      <c r="J63" s="842"/>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5" thickBot="1">
      <c r="A64" s="613" t="s">
        <v>1896</v>
      </c>
      <c r="B64" s="210">
        <f t="shared" si="17"/>
        <v>442</v>
      </c>
      <c r="C64" s="163">
        <f t="shared" si="16"/>
        <v>0.1</v>
      </c>
      <c r="D64" s="891">
        <v>0.25</v>
      </c>
      <c r="E64" s="209">
        <f>'数据-汇总表'!E15</f>
        <v>0</v>
      </c>
      <c r="F64" s="833">
        <f t="shared" si="15"/>
        <v>0</v>
      </c>
      <c r="G64" s="1833" t="s">
        <v>1890</v>
      </c>
      <c r="H64" s="844" t="str">
        <f>项目基本情况!C37</f>
        <v>八级</v>
      </c>
      <c r="I64" s="840">
        <f>SUMIF(修正!A57:A68,H64,修正!G57:G68)</f>
        <v>0.1</v>
      </c>
      <c r="J64" s="843"/>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ht="13.5" thickBot="1">
      <c r="A65" s="615" t="s">
        <v>1897</v>
      </c>
      <c r="B65" s="616" t="s">
        <v>22</v>
      </c>
      <c r="C65" s="616" t="s">
        <v>23</v>
      </c>
      <c r="D65" s="616" t="s">
        <v>392</v>
      </c>
      <c r="E65" s="616">
        <f>IF(B46="楼面地价",SUM(E56:E64),'数据-汇总表'!D3)</f>
        <v>891.05</v>
      </c>
      <c r="F65" s="617">
        <f>IF(B46="楼面地价",SUM(F56:F64),ROUND(C48*E65/10000,0))</f>
        <v>1575</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1"/>
      <c r="K66" s="835"/>
      <c r="L66" s="836"/>
      <c r="M66" s="861"/>
      <c r="N66" s="861"/>
      <c r="O66" s="861"/>
      <c r="P66" s="2484"/>
      <c r="Q66" s="2484"/>
      <c r="R66" s="2484"/>
      <c r="S66" s="2484"/>
      <c r="T66" s="2484"/>
      <c r="U66" s="2484"/>
      <c r="V66" s="2484"/>
      <c r="W66" s="2484"/>
      <c r="X66" s="2484"/>
      <c r="Y66" s="2484"/>
      <c r="Z66" s="2484"/>
      <c r="AA66" s="2484"/>
      <c r="AB66" s="2484"/>
      <c r="AC66" s="2484"/>
    </row>
    <row r="67" spans="1:29">
      <c r="A67" s="385"/>
      <c r="B67" s="656"/>
      <c r="C67" s="656" t="str">
        <f>YEAR(C7)&amp;"-"&amp;MONTH(C7)&amp;"-1"</f>
        <v>2024-4-1</v>
      </c>
      <c r="D67" s="656">
        <f>EDATE(C67,-3)</f>
        <v>45292</v>
      </c>
      <c r="E67" s="656">
        <f>EDATE(D67,-3)</f>
        <v>45200</v>
      </c>
      <c r="F67" s="656">
        <f t="shared" ref="F67:O67" si="18">EDATE(E67,-3)</f>
        <v>45108</v>
      </c>
      <c r="G67" s="656">
        <f t="shared" si="18"/>
        <v>45017</v>
      </c>
      <c r="H67" s="656">
        <f t="shared" si="18"/>
        <v>44927</v>
      </c>
      <c r="I67" s="656">
        <f t="shared" si="18"/>
        <v>44835</v>
      </c>
      <c r="J67" s="656">
        <f t="shared" si="18"/>
        <v>44743</v>
      </c>
      <c r="K67" s="656">
        <f t="shared" si="18"/>
        <v>44652</v>
      </c>
      <c r="L67" s="656">
        <f t="shared" si="18"/>
        <v>44562</v>
      </c>
      <c r="M67" s="656">
        <f t="shared" si="18"/>
        <v>44470</v>
      </c>
      <c r="N67" s="656">
        <f t="shared" si="18"/>
        <v>44378</v>
      </c>
      <c r="O67" s="656">
        <f t="shared" si="18"/>
        <v>44287</v>
      </c>
      <c r="P67" s="2484"/>
      <c r="Q67" s="2484"/>
      <c r="R67" s="2484"/>
      <c r="S67" s="2484"/>
      <c r="T67" s="2484"/>
      <c r="U67" s="2484"/>
      <c r="V67" s="2484"/>
      <c r="W67" s="2484"/>
      <c r="X67" s="2484"/>
      <c r="Y67" s="2484"/>
      <c r="Z67" s="2484"/>
      <c r="AA67" s="2484"/>
      <c r="AB67" s="2484"/>
      <c r="AC67" s="2484"/>
    </row>
    <row r="68" spans="1:29" ht="21.75" thickBot="1">
      <c r="A68" s="658" t="s">
        <v>1793</v>
      </c>
      <c r="B68" s="385"/>
      <c r="C68" s="659"/>
      <c r="D68" s="659"/>
      <c r="E68" s="659"/>
      <c r="F68" s="660"/>
      <c r="G68" s="660"/>
      <c r="H68" s="659"/>
      <c r="I68" s="659"/>
      <c r="J68" s="886"/>
      <c r="K68" s="887"/>
      <c r="L68" s="888"/>
      <c r="M68" s="886"/>
      <c r="N68" s="2534"/>
      <c r="O68" s="2534"/>
      <c r="P68" s="2534"/>
      <c r="Q68" s="2505"/>
      <c r="R68" s="2484"/>
      <c r="S68" s="2484"/>
      <c r="T68" s="2484"/>
      <c r="U68" s="2484"/>
      <c r="V68" s="2484"/>
      <c r="W68" s="2484"/>
      <c r="X68" s="2484"/>
      <c r="Y68" s="2484"/>
      <c r="Z68" s="2484"/>
      <c r="AA68" s="2484"/>
      <c r="AB68" s="2484"/>
      <c r="AC68" s="2484"/>
    </row>
    <row r="69" spans="1:29" s="442" customFormat="1" ht="15">
      <c r="A69" s="1629" t="s">
        <v>1898</v>
      </c>
      <c r="B69" s="1046"/>
      <c r="C69" s="1100" t="str">
        <f>YEAR(C67)&amp;"-"&amp;ROUNDUP(MONTH(C67)/3,0)</f>
        <v>2024-2</v>
      </c>
      <c r="D69" s="1100" t="str">
        <f>YEAR(D67)&amp;"-"&amp;ROUNDUP(MONTH(D67)/3,0)</f>
        <v>2024-1</v>
      </c>
      <c r="E69" s="1100" t="str">
        <f t="shared" ref="E69:O69" si="19">YEAR(E67)&amp;"-"&amp;ROUNDUP(MONTH(E67)/3,0)</f>
        <v>2023-4</v>
      </c>
      <c r="F69" s="1100" t="str">
        <f t="shared" si="19"/>
        <v>2023-3</v>
      </c>
      <c r="G69" s="1100" t="str">
        <f t="shared" si="19"/>
        <v>2023-2</v>
      </c>
      <c r="H69" s="1100" t="str">
        <f t="shared" si="19"/>
        <v>2023-1</v>
      </c>
      <c r="I69" s="1100" t="str">
        <f t="shared" si="19"/>
        <v>2022-4</v>
      </c>
      <c r="J69" s="1100" t="str">
        <f t="shared" si="19"/>
        <v>2022-3</v>
      </c>
      <c r="K69" s="1100" t="str">
        <f t="shared" si="19"/>
        <v>2022-2</v>
      </c>
      <c r="L69" s="1100" t="str">
        <f t="shared" si="19"/>
        <v>2022-1</v>
      </c>
      <c r="M69" s="1100" t="str">
        <f t="shared" si="19"/>
        <v>2021-4</v>
      </c>
      <c r="N69" s="1100" t="str">
        <f t="shared" si="19"/>
        <v>2021-3</v>
      </c>
      <c r="O69" s="1100" t="str">
        <f t="shared" si="19"/>
        <v>2021-2</v>
      </c>
      <c r="P69" s="2507"/>
      <c r="Q69" s="2507"/>
      <c r="R69" s="2507"/>
      <c r="S69" s="2507"/>
      <c r="T69" s="2507"/>
      <c r="U69" s="2507"/>
      <c r="V69" s="2507"/>
      <c r="W69" s="2507"/>
      <c r="X69" s="2507"/>
      <c r="Y69" s="2507"/>
      <c r="Z69" s="2507"/>
      <c r="AA69" s="2507"/>
      <c r="AB69" s="2507"/>
      <c r="AC69" s="2507"/>
    </row>
    <row r="70" spans="1:29" s="102" customFormat="1" ht="30" customHeight="1">
      <c r="A70" s="1834" t="s">
        <v>1899</v>
      </c>
      <c r="B70" s="280" t="str">
        <f>"北京市平均增长率"&amp;TEXT(SUMIF(基准地价修正!N25:N29,A70,基准地价修正!P25:P29),"0.00%")</f>
        <v>北京市平均增长率0.00%</v>
      </c>
      <c r="C70" s="530">
        <v>100</v>
      </c>
      <c r="D70" s="6">
        <f>C70-$C$71</f>
        <v>99.9</v>
      </c>
      <c r="E70" s="6">
        <f t="shared" ref="E70:O70" si="20">D70-$C$71</f>
        <v>99.800000000000011</v>
      </c>
      <c r="F70" s="6">
        <f t="shared" si="20"/>
        <v>99.700000000000017</v>
      </c>
      <c r="G70" s="6">
        <f t="shared" si="20"/>
        <v>99.600000000000023</v>
      </c>
      <c r="H70" s="6">
        <f t="shared" si="20"/>
        <v>99.500000000000028</v>
      </c>
      <c r="I70" s="6">
        <f t="shared" si="20"/>
        <v>99.400000000000034</v>
      </c>
      <c r="J70" s="6">
        <f t="shared" si="20"/>
        <v>99.30000000000004</v>
      </c>
      <c r="K70" s="6">
        <f t="shared" si="20"/>
        <v>99.200000000000045</v>
      </c>
      <c r="L70" s="6">
        <f t="shared" si="20"/>
        <v>99.100000000000051</v>
      </c>
      <c r="M70" s="6">
        <f t="shared" si="20"/>
        <v>99.000000000000057</v>
      </c>
      <c r="N70" s="6">
        <f t="shared" si="20"/>
        <v>98.900000000000063</v>
      </c>
      <c r="O70" s="6">
        <f t="shared" si="20"/>
        <v>98.800000000000068</v>
      </c>
      <c r="P70" s="2505"/>
      <c r="Q70" s="2436"/>
      <c r="R70" s="2436"/>
      <c r="S70" s="2436"/>
      <c r="T70" s="2436"/>
      <c r="U70" s="2436"/>
      <c r="V70" s="2436"/>
      <c r="W70" s="2436"/>
      <c r="X70" s="2436"/>
      <c r="Y70" s="2436"/>
      <c r="Z70" s="2436"/>
      <c r="AA70" s="2436"/>
      <c r="AB70" s="2436"/>
      <c r="AC70" s="2436"/>
    </row>
    <row r="71" spans="1:29" s="102" customFormat="1" ht="15.75" thickBot="1">
      <c r="A71" s="449" t="s">
        <v>1711</v>
      </c>
      <c r="B71" s="450"/>
      <c r="C71" s="451">
        <v>0.1</v>
      </c>
      <c r="D71" s="452"/>
      <c r="E71" s="452"/>
      <c r="F71" s="452"/>
      <c r="G71" s="452"/>
      <c r="H71" s="452"/>
      <c r="I71" s="452"/>
      <c r="J71" s="452"/>
      <c r="K71" s="452"/>
      <c r="L71" s="452"/>
      <c r="M71" s="453"/>
      <c r="N71" s="452"/>
      <c r="O71" s="889"/>
      <c r="P71" s="2505"/>
      <c r="Q71" s="2505"/>
      <c r="R71" s="2436"/>
      <c r="S71" s="2436"/>
      <c r="T71" s="2436"/>
      <c r="U71" s="2436"/>
      <c r="V71" s="2436"/>
      <c r="W71" s="2436"/>
      <c r="X71" s="2436"/>
      <c r="Y71" s="2436"/>
      <c r="Z71" s="2436"/>
      <c r="AA71" s="2436"/>
      <c r="AB71" s="2436"/>
      <c r="AC71" s="2436"/>
    </row>
    <row r="72" spans="1:29" s="102" customFormat="1" ht="15">
      <c r="A72" s="455" t="s">
        <v>1676</v>
      </c>
      <c r="B72" s="444"/>
      <c r="C72" s="456" t="s">
        <v>1771</v>
      </c>
      <c r="D72" s="31"/>
      <c r="E72" s="31"/>
      <c r="F72" s="31"/>
      <c r="G72" s="31"/>
      <c r="H72" s="31"/>
      <c r="I72" s="31"/>
      <c r="J72" s="31"/>
      <c r="K72" s="31"/>
      <c r="L72" s="457"/>
      <c r="M72" s="458"/>
      <c r="N72" s="2517"/>
      <c r="O72" s="2517"/>
      <c r="P72" s="2541"/>
      <c r="Q72" s="2505"/>
      <c r="R72" s="2436"/>
      <c r="S72" s="2436"/>
      <c r="T72" s="2436"/>
      <c r="U72" s="2436"/>
      <c r="V72" s="2436"/>
      <c r="W72" s="2436"/>
      <c r="X72" s="2436"/>
      <c r="Y72" s="2436"/>
      <c r="Z72" s="2436"/>
      <c r="AA72" s="2436"/>
      <c r="AB72" s="2436"/>
      <c r="AC72" s="2436"/>
    </row>
    <row r="73" spans="1:29" s="102" customFormat="1" ht="15.75" thickBot="1">
      <c r="A73" s="455"/>
      <c r="B73" s="444"/>
      <c r="C73" s="563">
        <v>100</v>
      </c>
      <c r="D73" s="446"/>
      <c r="E73" s="446"/>
      <c r="F73" s="446"/>
      <c r="G73" s="446"/>
      <c r="H73" s="446"/>
      <c r="I73" s="446"/>
      <c r="J73" s="446"/>
      <c r="K73" s="446"/>
      <c r="L73" s="446"/>
      <c r="M73" s="448"/>
      <c r="N73" s="2517"/>
      <c r="O73" s="2517"/>
      <c r="P73" s="2505"/>
      <c r="Q73" s="2505"/>
      <c r="R73" s="2436"/>
      <c r="S73" s="2436"/>
      <c r="T73" s="2436"/>
      <c r="U73" s="2436"/>
      <c r="V73" s="2436"/>
      <c r="W73" s="2436"/>
      <c r="X73" s="2436"/>
      <c r="Y73" s="2436"/>
      <c r="Z73" s="2436"/>
      <c r="AA73" s="2436"/>
      <c r="AB73" s="2436"/>
      <c r="AC73" s="2436"/>
    </row>
    <row r="74" spans="1:29" ht="27.75">
      <c r="A74" s="379" t="s">
        <v>1714</v>
      </c>
      <c r="B74" s="460" t="s">
        <v>1680</v>
      </c>
      <c r="C74" s="3184" t="s">
        <v>3803</v>
      </c>
      <c r="D74" s="3184" t="s">
        <v>3804</v>
      </c>
      <c r="E74" s="462" t="s">
        <v>3805</v>
      </c>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5.75" thickBot="1">
      <c r="A75" s="367"/>
      <c r="B75" s="466"/>
      <c r="C75" s="467">
        <v>100</v>
      </c>
      <c r="D75" s="467">
        <v>99</v>
      </c>
      <c r="E75" s="467">
        <v>100</v>
      </c>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15.75" thickTop="1">
      <c r="A76" s="367"/>
      <c r="B76" s="469" t="s">
        <v>1683</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5.75"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75" thickTop="1">
      <c r="A78" s="367"/>
      <c r="B78" s="477" t="s">
        <v>1684</v>
      </c>
      <c r="C78" s="478" t="str">
        <f>C79&amp;"（含）"&amp;"-"&amp;D79</f>
        <v>0（含）-1</v>
      </c>
      <c r="D78" s="478" t="str">
        <f t="shared" ref="D78:L78" si="21">D79&amp;"（含）"&amp;"-"&amp;E79</f>
        <v>1（含）-2</v>
      </c>
      <c r="E78" s="478" t="str">
        <f t="shared" si="21"/>
        <v>2（含）-3</v>
      </c>
      <c r="F78" s="478" t="str">
        <f t="shared" si="21"/>
        <v>3（含）-4</v>
      </c>
      <c r="G78" s="478" t="str">
        <f t="shared" si="21"/>
        <v>4（含）-5</v>
      </c>
      <c r="H78" s="478" t="str">
        <f t="shared" si="21"/>
        <v>5（含）-6</v>
      </c>
      <c r="I78" s="478" t="str">
        <f t="shared" si="21"/>
        <v>6（含）-7</v>
      </c>
      <c r="J78" s="478" t="str">
        <f t="shared" si="21"/>
        <v>7（含）-8</v>
      </c>
      <c r="K78" s="478" t="str">
        <f t="shared" si="21"/>
        <v>8（含）-9</v>
      </c>
      <c r="L78" s="478" t="str">
        <f t="shared" si="21"/>
        <v>9（含）-10</v>
      </c>
      <c r="M78" s="387" t="str">
        <f>M79&amp;"（含）"&amp;"-"&amp;P79</f>
        <v>10（含）-</v>
      </c>
      <c r="N78" s="2519"/>
      <c r="O78" s="2519"/>
      <c r="P78" s="2517"/>
      <c r="Q78" s="2505"/>
      <c r="R78" s="2484"/>
      <c r="S78" s="2484"/>
      <c r="T78" s="2484"/>
      <c r="U78" s="2484"/>
      <c r="V78" s="2484"/>
      <c r="W78" s="2484"/>
      <c r="X78" s="2484"/>
      <c r="Y78" s="2484"/>
      <c r="Z78" s="2484"/>
      <c r="AA78" s="2484"/>
      <c r="AB78" s="2484"/>
      <c r="AC78" s="2484"/>
    </row>
    <row r="79" spans="1:29" ht="15">
      <c r="A79" s="367"/>
      <c r="B79" s="479"/>
      <c r="C79" s="480">
        <v>0</v>
      </c>
      <c r="D79" s="480">
        <v>1</v>
      </c>
      <c r="E79" s="480">
        <v>2</v>
      </c>
      <c r="F79" s="480">
        <v>3</v>
      </c>
      <c r="G79" s="480">
        <v>4</v>
      </c>
      <c r="H79" s="480">
        <v>5</v>
      </c>
      <c r="I79" s="480">
        <v>6</v>
      </c>
      <c r="J79" s="480">
        <v>7</v>
      </c>
      <c r="K79" s="480">
        <v>8</v>
      </c>
      <c r="L79" s="480">
        <v>9</v>
      </c>
      <c r="M79" s="480">
        <v>10</v>
      </c>
      <c r="N79" s="2518"/>
      <c r="O79" s="2518"/>
      <c r="P79" s="2517"/>
      <c r="Q79" s="2505"/>
      <c r="R79" s="2484"/>
      <c r="S79" s="2484"/>
      <c r="T79" s="2484"/>
      <c r="U79" s="2484"/>
      <c r="V79" s="2484"/>
      <c r="W79" s="2484"/>
      <c r="X79" s="2484"/>
      <c r="Y79" s="2484"/>
      <c r="Z79" s="2484"/>
      <c r="AA79" s="2484"/>
      <c r="AB79" s="2484"/>
      <c r="AC79" s="2484"/>
    </row>
    <row r="80" spans="1:29" ht="15.75" thickBot="1">
      <c r="A80" s="367"/>
      <c r="B80" s="466"/>
      <c r="C80" s="475">
        <v>100</v>
      </c>
      <c r="D80" s="475">
        <f t="shared" ref="D80:M80" si="22">IF($B$46="单位面积地价",C80+$K11,C80-$K11)</f>
        <v>100</v>
      </c>
      <c r="E80" s="475">
        <f t="shared" si="22"/>
        <v>100</v>
      </c>
      <c r="F80" s="475">
        <f t="shared" si="22"/>
        <v>100</v>
      </c>
      <c r="G80" s="475">
        <f t="shared" si="22"/>
        <v>100</v>
      </c>
      <c r="H80" s="475">
        <f t="shared" si="22"/>
        <v>100</v>
      </c>
      <c r="I80" s="475">
        <f t="shared" si="22"/>
        <v>100</v>
      </c>
      <c r="J80" s="475">
        <f t="shared" si="22"/>
        <v>100</v>
      </c>
      <c r="K80" s="475">
        <f t="shared" si="22"/>
        <v>100</v>
      </c>
      <c r="L80" s="475">
        <f t="shared" si="22"/>
        <v>100</v>
      </c>
      <c r="M80" s="475">
        <f t="shared" si="22"/>
        <v>100</v>
      </c>
      <c r="N80" s="2519"/>
      <c r="O80" s="2519"/>
      <c r="P80" s="2517"/>
      <c r="Q80" s="2505"/>
      <c r="R80" s="2484"/>
      <c r="S80" s="2484"/>
      <c r="T80" s="2484"/>
      <c r="U80" s="2484"/>
      <c r="V80" s="2484"/>
      <c r="W80" s="2484"/>
      <c r="X80" s="2484"/>
      <c r="Y80" s="2484"/>
      <c r="Z80" s="2484"/>
      <c r="AA80" s="2484"/>
      <c r="AB80" s="2484"/>
      <c r="AC80" s="2484"/>
    </row>
    <row r="81" spans="1:29" s="408" customFormat="1" ht="15.75"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5.75"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5.75"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5.75"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5.75"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5.75"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c r="A87" s="379" t="s">
        <v>1685</v>
      </c>
      <c r="B87" s="460" t="s">
        <v>1715</v>
      </c>
      <c r="C87" s="504" t="s">
        <v>1716</v>
      </c>
      <c r="D87" s="504" t="s">
        <v>1717</v>
      </c>
      <c r="E87" s="504" t="s">
        <v>1718</v>
      </c>
      <c r="F87" s="504" t="s">
        <v>1719</v>
      </c>
      <c r="G87" s="504" t="s">
        <v>1720</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75" thickTop="1">
      <c r="A89" s="367"/>
      <c r="B89" s="469" t="s">
        <v>1900</v>
      </c>
      <c r="C89" s="509" t="s">
        <v>1716</v>
      </c>
      <c r="D89" s="509" t="s">
        <v>1717</v>
      </c>
      <c r="E89" s="509" t="s">
        <v>1718</v>
      </c>
      <c r="F89" s="509" t="s">
        <v>1719</v>
      </c>
      <c r="G89" s="509" t="s">
        <v>1720</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5.75" thickBot="1">
      <c r="A90" s="367"/>
      <c r="B90" s="474"/>
      <c r="C90" s="475">
        <v>100</v>
      </c>
      <c r="D90" s="475">
        <f>C90-$K17</f>
        <v>98</v>
      </c>
      <c r="E90" s="475">
        <f>D90-$K17</f>
        <v>96</v>
      </c>
      <c r="F90" s="475">
        <f>E90-$K17</f>
        <v>94</v>
      </c>
      <c r="G90" s="475">
        <f>F90-$K17</f>
        <v>92</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75" thickTop="1">
      <c r="A91" s="367"/>
      <c r="B91" s="469" t="s">
        <v>1816</v>
      </c>
      <c r="C91" s="509" t="s">
        <v>1716</v>
      </c>
      <c r="D91" s="509" t="s">
        <v>1717</v>
      </c>
      <c r="E91" s="509" t="s">
        <v>1718</v>
      </c>
      <c r="F91" s="509" t="s">
        <v>1719</v>
      </c>
      <c r="G91" s="509" t="s">
        <v>1720</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5.75" thickBot="1">
      <c r="A92" s="367"/>
      <c r="B92" s="474"/>
      <c r="C92" s="475">
        <v>100</v>
      </c>
      <c r="D92" s="475">
        <f>C92-$K19</f>
        <v>98</v>
      </c>
      <c r="E92" s="475">
        <f>D92-$K19</f>
        <v>96</v>
      </c>
      <c r="F92" s="475">
        <f>E92-$K19</f>
        <v>94</v>
      </c>
      <c r="G92" s="475">
        <f>F92-$K19</f>
        <v>92</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75" thickTop="1">
      <c r="A93" s="367"/>
      <c r="B93" s="469" t="s">
        <v>1721</v>
      </c>
      <c r="C93" s="509" t="s">
        <v>1716</v>
      </c>
      <c r="D93" s="509" t="s">
        <v>1717</v>
      </c>
      <c r="E93" s="509" t="s">
        <v>1718</v>
      </c>
      <c r="F93" s="509" t="s">
        <v>1719</v>
      </c>
      <c r="G93" s="509" t="s">
        <v>1720</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5.75" thickBot="1">
      <c r="A94" s="367"/>
      <c r="B94" s="474"/>
      <c r="C94" s="475">
        <v>100</v>
      </c>
      <c r="D94" s="475">
        <f>C94-$K21</f>
        <v>98</v>
      </c>
      <c r="E94" s="475">
        <f>D94-$K21</f>
        <v>96</v>
      </c>
      <c r="F94" s="475">
        <f>E94-$K21</f>
        <v>94</v>
      </c>
      <c r="G94" s="475">
        <f>F94-$K21</f>
        <v>92</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15.75" thickTop="1">
      <c r="A95" s="370"/>
      <c r="B95" s="469" t="s">
        <v>1901</v>
      </c>
      <c r="C95" s="509" t="s">
        <v>1716</v>
      </c>
      <c r="D95" s="509" t="s">
        <v>1717</v>
      </c>
      <c r="E95" s="509" t="s">
        <v>1718</v>
      </c>
      <c r="F95" s="509" t="s">
        <v>1719</v>
      </c>
      <c r="G95" s="509" t="s">
        <v>1720</v>
      </c>
      <c r="H95" s="509"/>
      <c r="I95" s="509"/>
      <c r="J95" s="509"/>
      <c r="K95" s="509"/>
      <c r="L95" s="618"/>
      <c r="M95" s="547"/>
      <c r="N95" s="2517"/>
      <c r="O95" s="2517"/>
      <c r="P95" s="2517"/>
      <c r="Q95" s="2505"/>
      <c r="R95" s="2436"/>
      <c r="S95" s="2436"/>
      <c r="T95" s="2436"/>
      <c r="U95" s="2436"/>
      <c r="V95" s="2436"/>
      <c r="W95" s="2436"/>
      <c r="X95" s="2436"/>
      <c r="Y95" s="2436"/>
      <c r="Z95" s="2436"/>
      <c r="AA95" s="2436"/>
      <c r="AB95" s="2436"/>
      <c r="AC95" s="2436"/>
    </row>
    <row r="96" spans="1:29" s="102" customFormat="1" ht="15.75" thickBot="1">
      <c r="A96" s="370"/>
      <c r="B96" s="474"/>
      <c r="C96" s="512">
        <v>100</v>
      </c>
      <c r="D96" s="475">
        <f>C96-$K23</f>
        <v>98</v>
      </c>
      <c r="E96" s="475">
        <f>D96-$K23</f>
        <v>96</v>
      </c>
      <c r="F96" s="475">
        <f>E96-$K23</f>
        <v>94</v>
      </c>
      <c r="G96" s="475">
        <f>F96-$K23</f>
        <v>92</v>
      </c>
      <c r="H96" s="475"/>
      <c r="I96" s="475"/>
      <c r="J96" s="475"/>
      <c r="K96" s="475"/>
      <c r="L96" s="475"/>
      <c r="M96" s="476"/>
      <c r="N96" s="2519"/>
      <c r="O96" s="2519"/>
      <c r="P96" s="2517"/>
      <c r="Q96" s="2505"/>
      <c r="R96" s="2436"/>
      <c r="S96" s="2436"/>
      <c r="T96" s="2436"/>
      <c r="U96" s="2436"/>
      <c r="V96" s="2436"/>
      <c r="W96" s="2436"/>
      <c r="X96" s="2436"/>
      <c r="Y96" s="2436"/>
      <c r="Z96" s="2436"/>
      <c r="AA96" s="2436"/>
      <c r="AB96" s="2436"/>
      <c r="AC96" s="2436"/>
    </row>
    <row r="97" spans="1:29" s="102" customFormat="1" ht="15.75" thickTop="1">
      <c r="A97" s="370"/>
      <c r="B97" s="469" t="s">
        <v>1902</v>
      </c>
      <c r="C97" s="504" t="s">
        <v>1716</v>
      </c>
      <c r="D97" s="504" t="s">
        <v>1717</v>
      </c>
      <c r="E97" s="504" t="s">
        <v>1718</v>
      </c>
      <c r="F97" s="504" t="s">
        <v>1719</v>
      </c>
      <c r="G97" s="504" t="s">
        <v>1720</v>
      </c>
      <c r="H97" s="509"/>
      <c r="I97" s="509"/>
      <c r="J97" s="509"/>
      <c r="K97" s="509"/>
      <c r="L97" s="509"/>
      <c r="M97" s="547"/>
      <c r="N97" s="2517"/>
      <c r="O97" s="2517"/>
      <c r="P97" s="2517"/>
      <c r="Q97" s="2505"/>
      <c r="R97" s="2436"/>
      <c r="S97" s="2436"/>
      <c r="T97" s="2436"/>
      <c r="U97" s="2436"/>
      <c r="V97" s="2436"/>
      <c r="W97" s="2436"/>
      <c r="X97" s="2436"/>
      <c r="Y97" s="2436"/>
      <c r="Z97" s="2436"/>
      <c r="AA97" s="2436"/>
      <c r="AB97" s="2436"/>
      <c r="AC97" s="2436"/>
    </row>
    <row r="98" spans="1:29" s="102" customFormat="1" ht="15.75" thickBot="1">
      <c r="A98" s="370"/>
      <c r="B98" s="474"/>
      <c r="C98" s="475">
        <v>100</v>
      </c>
      <c r="D98" s="475">
        <f>C98-$K25</f>
        <v>98</v>
      </c>
      <c r="E98" s="475">
        <f>D98-$K25</f>
        <v>96</v>
      </c>
      <c r="F98" s="475">
        <f>E98-$K25</f>
        <v>94</v>
      </c>
      <c r="G98" s="475">
        <f>F98-$K25</f>
        <v>92</v>
      </c>
      <c r="H98" s="475"/>
      <c r="I98" s="475"/>
      <c r="J98" s="475"/>
      <c r="K98" s="475"/>
      <c r="L98" s="475"/>
      <c r="M98" s="476"/>
      <c r="N98" s="2519"/>
      <c r="O98" s="2519"/>
      <c r="P98" s="2517"/>
      <c r="Q98" s="2505"/>
      <c r="R98" s="2436"/>
      <c r="S98" s="2436"/>
      <c r="T98" s="2436"/>
      <c r="U98" s="2436"/>
      <c r="V98" s="2436"/>
      <c r="W98" s="2436"/>
      <c r="X98" s="2436"/>
      <c r="Y98" s="2436"/>
      <c r="Z98" s="2436"/>
      <c r="AA98" s="2436"/>
      <c r="AB98" s="2436"/>
      <c r="AC98" s="2436"/>
    </row>
    <row r="99" spans="1:29" s="408" customFormat="1" ht="15.75" thickTop="1">
      <c r="A99" s="484"/>
      <c r="B99" s="469" t="s">
        <v>1773</v>
      </c>
      <c r="C99" s="504" t="s">
        <v>1716</v>
      </c>
      <c r="D99" s="504" t="s">
        <v>1717</v>
      </c>
      <c r="E99" s="504" t="s">
        <v>1718</v>
      </c>
      <c r="F99" s="504" t="s">
        <v>1719</v>
      </c>
      <c r="G99" s="504" t="s">
        <v>1720</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75" thickTop="1">
      <c r="A101" s="484"/>
      <c r="B101" s="477" t="s">
        <v>1774</v>
      </c>
      <c r="C101" s="581" t="s">
        <v>1794</v>
      </c>
      <c r="D101" s="581" t="s">
        <v>1795</v>
      </c>
      <c r="E101" s="581" t="s">
        <v>1796</v>
      </c>
      <c r="F101" s="581" t="s">
        <v>1797</v>
      </c>
      <c r="G101" s="581" t="s">
        <v>1798</v>
      </c>
      <c r="H101" s="527"/>
      <c r="I101" s="527"/>
      <c r="J101" s="527"/>
      <c r="K101" s="527"/>
      <c r="L101" s="527"/>
      <c r="M101" s="1065"/>
      <c r="N101" s="2520"/>
      <c r="O101" s="2520"/>
      <c r="P101" s="2520"/>
      <c r="Q101" s="2512"/>
      <c r="R101" s="2490"/>
      <c r="S101" s="2490"/>
      <c r="T101" s="2490"/>
      <c r="U101" s="2490"/>
      <c r="V101" s="2490"/>
      <c r="W101" s="2490"/>
      <c r="X101" s="2490"/>
      <c r="Y101" s="2490"/>
      <c r="Z101" s="2490"/>
      <c r="AA101" s="2490"/>
      <c r="AB101" s="2490"/>
      <c r="AC101" s="2490"/>
    </row>
    <row r="102" spans="1:29" s="408" customFormat="1" ht="15.75" thickBot="1">
      <c r="A102" s="484"/>
      <c r="B102" s="477"/>
      <c r="C102" s="475">
        <v>100</v>
      </c>
      <c r="D102" s="475">
        <f>C102-$K29</f>
        <v>98</v>
      </c>
      <c r="E102" s="475">
        <f>D102-$K29</f>
        <v>96</v>
      </c>
      <c r="F102" s="475">
        <f>E102-$K29</f>
        <v>94</v>
      </c>
      <c r="G102" s="475">
        <f>F102-$K29</f>
        <v>92</v>
      </c>
      <c r="H102" s="479"/>
      <c r="I102" s="479"/>
      <c r="J102" s="479"/>
      <c r="K102" s="479"/>
      <c r="L102" s="479"/>
      <c r="M102" s="1065"/>
      <c r="N102" s="2520"/>
      <c r="O102" s="2520"/>
      <c r="P102" s="2520"/>
      <c r="Q102" s="2512"/>
      <c r="R102" s="2490"/>
      <c r="S102" s="2490"/>
      <c r="T102" s="2490"/>
      <c r="U102" s="2490"/>
      <c r="V102" s="2490"/>
      <c r="W102" s="2490"/>
      <c r="X102" s="2490"/>
      <c r="Y102" s="2490"/>
      <c r="Z102" s="2490"/>
      <c r="AA102" s="2490"/>
      <c r="AB102" s="2490"/>
      <c r="AC102" s="2490"/>
    </row>
    <row r="103" spans="1:29" ht="15.75" thickTop="1">
      <c r="A103" s="367"/>
      <c r="B103" s="469" t="str">
        <f>B31</f>
        <v>临街状况</v>
      </c>
      <c r="C103" s="470" t="s">
        <v>1903</v>
      </c>
      <c r="D103" s="470" t="s">
        <v>1904</v>
      </c>
      <c r="E103" s="470" t="s">
        <v>1905</v>
      </c>
      <c r="F103" s="470" t="s">
        <v>1906</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7"/>
      <c r="B105" s="469" t="s">
        <v>1810</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4">C106-$K32</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5">
        <f t="shared" si="24"/>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7"/>
      <c r="B107" s="469" t="s">
        <v>1868</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5.75"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5"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5.75"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5"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5.75"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ht="28.5">
      <c r="A115" s="379" t="s">
        <v>1689</v>
      </c>
      <c r="B115" s="460" t="s">
        <v>1907</v>
      </c>
      <c r="C115" s="461" t="str">
        <f>C116&amp;"(含)"&amp;"-"&amp;D116</f>
        <v>0(含)-10000</v>
      </c>
      <c r="D115" s="461" t="str">
        <f t="shared" ref="D115:M115" si="26">D116&amp;"(含)"&amp;"-"&amp;E116</f>
        <v>10000(含)-20000</v>
      </c>
      <c r="E115" s="461" t="str">
        <f t="shared" si="26"/>
        <v>20000(含)-30000</v>
      </c>
      <c r="F115" s="461" t="str">
        <f t="shared" si="26"/>
        <v>30000(含)-50000</v>
      </c>
      <c r="G115" s="461" t="str">
        <f t="shared" si="26"/>
        <v>50000(含)-80000</v>
      </c>
      <c r="H115" s="461" t="str">
        <f t="shared" si="26"/>
        <v>80000(含)-100000</v>
      </c>
      <c r="I115" s="461" t="str">
        <f t="shared" si="26"/>
        <v>100000(含)-150000</v>
      </c>
      <c r="J115" s="461" t="str">
        <f t="shared" si="26"/>
        <v>150000(含)-200000</v>
      </c>
      <c r="K115" s="461" t="str">
        <f t="shared" si="26"/>
        <v>200000(含)-300000</v>
      </c>
      <c r="L115" s="461" t="str">
        <f t="shared" si="26"/>
        <v>300000(含)-500000</v>
      </c>
      <c r="M115" s="461" t="str">
        <f t="shared" si="26"/>
        <v>500000(含)-</v>
      </c>
      <c r="N115" s="2518"/>
      <c r="O115" s="2518"/>
      <c r="P115" s="2517"/>
      <c r="Q115" s="2505"/>
      <c r="R115" s="2484"/>
      <c r="S115" s="2484"/>
      <c r="T115" s="2484"/>
      <c r="U115" s="2484"/>
      <c r="V115" s="2484"/>
      <c r="W115" s="2484"/>
      <c r="X115" s="2484"/>
      <c r="Y115" s="2484"/>
      <c r="Z115" s="2484"/>
      <c r="AA115" s="2484"/>
      <c r="AB115" s="2484"/>
      <c r="AC115" s="2484"/>
    </row>
    <row r="116" spans="1:29" ht="15">
      <c r="A116" s="367"/>
      <c r="B116" s="477"/>
      <c r="C116" s="6">
        <v>0</v>
      </c>
      <c r="D116" s="6">
        <v>10000</v>
      </c>
      <c r="E116" s="6">
        <v>20000</v>
      </c>
      <c r="F116" s="6">
        <v>30000</v>
      </c>
      <c r="G116" s="6">
        <v>50000</v>
      </c>
      <c r="H116" s="6">
        <v>80000</v>
      </c>
      <c r="I116" s="6">
        <v>100000</v>
      </c>
      <c r="J116" s="6">
        <v>150000</v>
      </c>
      <c r="K116" s="6">
        <v>200000</v>
      </c>
      <c r="L116" s="6">
        <v>300000</v>
      </c>
      <c r="M116" s="6">
        <v>500000</v>
      </c>
      <c r="N116" s="2518"/>
      <c r="O116" s="2518"/>
      <c r="P116" s="2517"/>
      <c r="Q116" s="2505"/>
      <c r="R116" s="2484"/>
      <c r="S116" s="2484"/>
      <c r="T116" s="2484"/>
      <c r="U116" s="2484"/>
      <c r="V116" s="2484"/>
      <c r="W116" s="2484"/>
      <c r="X116" s="2484"/>
      <c r="Y116" s="2484"/>
      <c r="Z116" s="2484"/>
      <c r="AA116" s="2484"/>
      <c r="AB116" s="2484"/>
      <c r="AC116" s="2484"/>
    </row>
    <row r="117" spans="1:29" ht="15.75" thickBot="1">
      <c r="A117" s="367"/>
      <c r="B117" s="474"/>
      <c r="C117" s="501">
        <v>100</v>
      </c>
      <c r="D117" s="521">
        <v>100.5</v>
      </c>
      <c r="E117" s="501">
        <v>101</v>
      </c>
      <c r="F117" s="521">
        <v>101.5</v>
      </c>
      <c r="G117" s="501">
        <v>102</v>
      </c>
      <c r="H117" s="521">
        <v>102.5</v>
      </c>
      <c r="I117" s="501">
        <v>103</v>
      </c>
      <c r="J117" s="521">
        <v>103.5</v>
      </c>
      <c r="K117" s="501">
        <v>104</v>
      </c>
      <c r="L117" s="521">
        <v>104.5</v>
      </c>
      <c r="M117" s="501">
        <v>105</v>
      </c>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1908</v>
      </c>
      <c r="C118" s="3185" t="s">
        <v>3806</v>
      </c>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5.75" thickBot="1">
      <c r="A119" s="367"/>
      <c r="B119" s="474"/>
      <c r="C119" s="475">
        <v>100</v>
      </c>
      <c r="D119" s="475">
        <f t="shared" ref="D119:M119" si="27">C119-$K39</f>
        <v>99</v>
      </c>
      <c r="E119" s="475">
        <f t="shared" si="27"/>
        <v>98</v>
      </c>
      <c r="F119" s="475">
        <f t="shared" si="27"/>
        <v>97</v>
      </c>
      <c r="G119" s="475">
        <f t="shared" si="27"/>
        <v>96</v>
      </c>
      <c r="H119" s="475">
        <f t="shared" si="27"/>
        <v>95</v>
      </c>
      <c r="I119" s="475">
        <f t="shared" si="27"/>
        <v>94</v>
      </c>
      <c r="J119" s="475">
        <f t="shared" si="27"/>
        <v>93</v>
      </c>
      <c r="K119" s="475">
        <f t="shared" si="27"/>
        <v>92</v>
      </c>
      <c r="L119" s="475">
        <f t="shared" si="27"/>
        <v>91</v>
      </c>
      <c r="M119" s="476">
        <f t="shared" si="27"/>
        <v>90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1909</v>
      </c>
      <c r="C120" s="3186" t="s">
        <v>3807</v>
      </c>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5.75" thickBot="1">
      <c r="A121" s="367"/>
      <c r="B121" s="474"/>
      <c r="C121" s="475">
        <v>100</v>
      </c>
      <c r="D121" s="475">
        <f t="shared" ref="D121:M121" si="28">C121-$K40</f>
        <v>99</v>
      </c>
      <c r="E121" s="475">
        <f t="shared" si="28"/>
        <v>98</v>
      </c>
      <c r="F121" s="475">
        <f t="shared" si="28"/>
        <v>97</v>
      </c>
      <c r="G121" s="475">
        <f t="shared" si="28"/>
        <v>96</v>
      </c>
      <c r="H121" s="475">
        <f t="shared" si="28"/>
        <v>95</v>
      </c>
      <c r="I121" s="475">
        <f t="shared" si="28"/>
        <v>94</v>
      </c>
      <c r="J121" s="475">
        <f t="shared" si="28"/>
        <v>93</v>
      </c>
      <c r="K121" s="475">
        <f t="shared" si="28"/>
        <v>92</v>
      </c>
      <c r="L121" s="475">
        <f t="shared" si="28"/>
        <v>91</v>
      </c>
      <c r="M121" s="476">
        <f t="shared" si="28"/>
        <v>90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1910</v>
      </c>
      <c r="C122" s="3186" t="s">
        <v>3808</v>
      </c>
      <c r="D122" s="3186" t="s">
        <v>3809</v>
      </c>
      <c r="E122" s="3186" t="s">
        <v>3810</v>
      </c>
      <c r="F122" s="3186" t="s">
        <v>3811</v>
      </c>
      <c r="G122" s="3186" t="s">
        <v>3812</v>
      </c>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5.75"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1911</v>
      </c>
      <c r="C124" s="3186" t="s">
        <v>3813</v>
      </c>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 t="shared" ref="D125:M125" si="30">C125-$K42</f>
        <v>99</v>
      </c>
      <c r="E125" s="475">
        <f t="shared" si="30"/>
        <v>98</v>
      </c>
      <c r="F125" s="475">
        <f t="shared" si="30"/>
        <v>97</v>
      </c>
      <c r="G125" s="475">
        <f t="shared" si="30"/>
        <v>96</v>
      </c>
      <c r="H125" s="475">
        <f t="shared" si="30"/>
        <v>95</v>
      </c>
      <c r="I125" s="475">
        <f t="shared" si="30"/>
        <v>94</v>
      </c>
      <c r="J125" s="475">
        <f t="shared" si="30"/>
        <v>93</v>
      </c>
      <c r="K125" s="475">
        <f t="shared" si="30"/>
        <v>92</v>
      </c>
      <c r="L125" s="475">
        <f t="shared" si="30"/>
        <v>91</v>
      </c>
      <c r="M125" s="476">
        <f t="shared" si="30"/>
        <v>90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5.75"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5"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5.75"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5"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5.75"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1862</v>
      </c>
      <c r="B1" s="340"/>
      <c r="C1" s="341" t="s">
        <v>1912</v>
      </c>
      <c r="D1" s="651"/>
      <c r="E1" s="651"/>
      <c r="F1" s="650" t="s">
        <v>1762</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1457</v>
      </c>
      <c r="B2" s="591" t="e">
        <f>F61</f>
        <v>#DIV/0!</v>
      </c>
      <c r="C2" s="855"/>
      <c r="D2" s="855"/>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1459</v>
      </c>
      <c r="B3" s="536" t="e">
        <f>ROUND(IF(D3="",B2*10000/'数据-汇总表'!E3,B2*10000/D3),0)</f>
        <v>#DIV/0!</v>
      </c>
      <c r="C3" s="195" t="s">
        <v>1864</v>
      </c>
      <c r="D3" s="1110"/>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1764</v>
      </c>
      <c r="B4" s="346"/>
      <c r="C4" s="3439" t="s">
        <v>1765</v>
      </c>
      <c r="D4" s="3440"/>
      <c r="E4" s="3441" t="s">
        <v>1766</v>
      </c>
      <c r="F4" s="3442"/>
      <c r="G4" s="3439" t="s">
        <v>1767</v>
      </c>
      <c r="H4" s="3440"/>
      <c r="I4" s="3439" t="s">
        <v>1768</v>
      </c>
      <c r="J4" s="3440"/>
      <c r="K4" s="537" t="s">
        <v>1769</v>
      </c>
      <c r="L4" s="2483"/>
      <c r="M4" s="2484"/>
      <c r="N4" s="2484"/>
      <c r="O4" s="2484"/>
      <c r="P4" s="3443" t="s">
        <v>1770</v>
      </c>
      <c r="Q4" s="3444"/>
      <c r="R4" s="3449" t="s">
        <v>1766</v>
      </c>
      <c r="S4" s="3450"/>
      <c r="T4" s="3449" t="s">
        <v>1767</v>
      </c>
      <c r="U4" s="3450"/>
      <c r="V4" s="3422" t="s">
        <v>1768</v>
      </c>
      <c r="W4" s="3422"/>
      <c r="X4" s="1264"/>
      <c r="Y4" s="3449" t="s">
        <v>1770</v>
      </c>
      <c r="Z4" s="3450"/>
      <c r="AA4" s="3436" t="s">
        <v>1766</v>
      </c>
      <c r="AB4" s="3437" t="s">
        <v>1767</v>
      </c>
      <c r="AC4" s="3436" t="s">
        <v>1768</v>
      </c>
    </row>
    <row r="5" spans="1:29" ht="15">
      <c r="A5" s="348"/>
      <c r="B5" s="349"/>
      <c r="C5" s="3457" t="s">
        <v>1668</v>
      </c>
      <c r="D5" s="3458"/>
      <c r="E5" s="3464" t="s">
        <v>1669</v>
      </c>
      <c r="F5" s="3465"/>
      <c r="G5" s="3457" t="s">
        <v>1670</v>
      </c>
      <c r="H5" s="3458"/>
      <c r="I5" s="3457" t="s">
        <v>1671</v>
      </c>
      <c r="J5" s="3458"/>
      <c r="K5" s="537"/>
      <c r="L5" s="2483"/>
      <c r="M5" s="2484"/>
      <c r="N5" s="2484"/>
      <c r="O5" s="2484"/>
      <c r="P5" s="3445"/>
      <c r="Q5" s="3446"/>
      <c r="R5" s="3451"/>
      <c r="S5" s="3452"/>
      <c r="T5" s="3451"/>
      <c r="U5" s="3452"/>
      <c r="V5" s="3422"/>
      <c r="W5" s="3422"/>
      <c r="X5" s="1264"/>
      <c r="Y5" s="3451"/>
      <c r="Z5" s="3452"/>
      <c r="AA5" s="3437"/>
      <c r="AB5" s="3437"/>
      <c r="AC5" s="3437"/>
    </row>
    <row r="6" spans="1:29" ht="15.75" thickBot="1">
      <c r="A6" s="350"/>
      <c r="B6" s="351"/>
      <c r="C6" s="3486" t="s">
        <v>1913</v>
      </c>
      <c r="D6" s="3487"/>
      <c r="E6" s="3488" t="s">
        <v>1913</v>
      </c>
      <c r="F6" s="3489"/>
      <c r="G6" s="3486" t="s">
        <v>1913</v>
      </c>
      <c r="H6" s="3487"/>
      <c r="I6" s="3486" t="s">
        <v>1913</v>
      </c>
      <c r="J6" s="3487"/>
      <c r="K6" s="537" t="s">
        <v>1673</v>
      </c>
      <c r="L6" s="2483"/>
      <c r="M6" s="2484"/>
      <c r="N6" s="2484"/>
      <c r="O6" s="2484"/>
      <c r="P6" s="3447"/>
      <c r="Q6" s="3448"/>
      <c r="R6" s="3451"/>
      <c r="S6" s="3452"/>
      <c r="T6" s="3453"/>
      <c r="U6" s="3454"/>
      <c r="V6" s="3422"/>
      <c r="W6" s="3422"/>
      <c r="X6" s="1264"/>
      <c r="Y6" s="3453"/>
      <c r="Z6" s="3454"/>
      <c r="AA6" s="3438"/>
      <c r="AB6" s="3438"/>
      <c r="AC6" s="3438"/>
    </row>
    <row r="7" spans="1:29" s="102" customFormat="1" ht="15.75" thickBot="1">
      <c r="A7" s="352" t="s">
        <v>1674</v>
      </c>
      <c r="B7" s="353"/>
      <c r="C7" s="354">
        <f>'数据-取费表'!B2</f>
        <v>45383</v>
      </c>
      <c r="D7" s="355">
        <v>100</v>
      </c>
      <c r="E7" s="356"/>
      <c r="F7" s="357">
        <f>SUMIF(65:65,YEAR(E7)&amp;"-"&amp;INT((MONTH(E7)+2)/3),66:66)</f>
        <v>0</v>
      </c>
      <c r="G7" s="1819"/>
      <c r="H7" s="355">
        <f>SUMIF(65:65,YEAR(G7)&amp;"-"&amp;INT((MONTH(G7)+2)/3),66:66)</f>
        <v>0</v>
      </c>
      <c r="I7" s="1819"/>
      <c r="J7" s="355">
        <f>SUMIF(65:65,YEAR(I7)&amp;"-"&amp;INT((MONTH(I7)+2)/3),66:66)</f>
        <v>0</v>
      </c>
      <c r="K7" s="38"/>
      <c r="L7" s="2485"/>
      <c r="M7" s="2436"/>
      <c r="N7" s="2436"/>
      <c r="O7" s="2436"/>
      <c r="P7" s="3459" t="s">
        <v>1675</v>
      </c>
      <c r="Q7" s="3461"/>
      <c r="R7" s="664" t="s">
        <v>14</v>
      </c>
      <c r="S7" s="665">
        <f t="shared" ref="S7:S15" si="0">F7</f>
        <v>0</v>
      </c>
      <c r="T7" s="664" t="s">
        <v>14</v>
      </c>
      <c r="U7" s="665">
        <f t="shared" ref="U7:U15" si="1">H7</f>
        <v>0</v>
      </c>
      <c r="V7" s="664" t="s">
        <v>14</v>
      </c>
      <c r="W7" s="665">
        <f t="shared" ref="W7:W15" si="2">J7</f>
        <v>0</v>
      </c>
      <c r="X7" s="666"/>
      <c r="Y7" s="3459" t="s">
        <v>1675</v>
      </c>
      <c r="Z7" s="3460"/>
      <c r="AA7" s="50" t="e">
        <f>D7/F7</f>
        <v>#DIV/0!</v>
      </c>
      <c r="AB7" s="50" t="e">
        <f>D7/H7</f>
        <v>#DIV/0!</v>
      </c>
      <c r="AC7" s="50" t="e">
        <f>D7/J7</f>
        <v>#DIV/0!</v>
      </c>
    </row>
    <row r="8" spans="1:29" s="102" customFormat="1" ht="15.75" thickBot="1">
      <c r="A8" s="352" t="s">
        <v>1676</v>
      </c>
      <c r="B8" s="353"/>
      <c r="C8" s="358" t="s">
        <v>1677</v>
      </c>
      <c r="D8" s="355">
        <v>100</v>
      </c>
      <c r="E8" s="358"/>
      <c r="F8" s="357">
        <f>SUMIF(68:68,E8,69:69)-SUMIF(68:68,C8,69:69)+100</f>
        <v>0</v>
      </c>
      <c r="G8" s="358"/>
      <c r="H8" s="355">
        <f>SUMIF(68:68,G8,69:69)-SUMIF(68:68,C8,69:69)+100</f>
        <v>0</v>
      </c>
      <c r="I8" s="358"/>
      <c r="J8" s="355">
        <f>SUMIF(68:68,I8,69:69)-SUMIF(68:68,C8,69:69)+100</f>
        <v>0</v>
      </c>
      <c r="K8" s="38"/>
      <c r="L8" s="2485"/>
      <c r="M8" s="2436"/>
      <c r="N8" s="2436"/>
      <c r="O8" s="2436"/>
      <c r="P8" s="3459" t="s">
        <v>1678</v>
      </c>
      <c r="Q8" s="3460"/>
      <c r="R8" s="664" t="s">
        <v>14</v>
      </c>
      <c r="S8" s="665">
        <f t="shared" si="0"/>
        <v>0</v>
      </c>
      <c r="T8" s="664" t="s">
        <v>14</v>
      </c>
      <c r="U8" s="665">
        <f t="shared" si="1"/>
        <v>0</v>
      </c>
      <c r="V8" s="664" t="s">
        <v>14</v>
      </c>
      <c r="W8" s="665">
        <f t="shared" si="2"/>
        <v>0</v>
      </c>
      <c r="X8" s="666"/>
      <c r="Y8" s="3459" t="s">
        <v>1678</v>
      </c>
      <c r="Z8" s="3460"/>
      <c r="AA8" s="50" t="e">
        <f t="shared" ref="AA8:AA40" si="3">D8/F8</f>
        <v>#DIV/0!</v>
      </c>
      <c r="AB8" s="50" t="e">
        <f t="shared" ref="AB8:AB40" si="4">D8/H8</f>
        <v>#DIV/0!</v>
      </c>
      <c r="AC8" s="50" t="e">
        <f t="shared" ref="AC8:AC40" si="5">D8/J8</f>
        <v>#DIV/0!</v>
      </c>
    </row>
    <row r="9" spans="1:29" s="102" customFormat="1">
      <c r="A9" s="359" t="s">
        <v>1679</v>
      </c>
      <c r="B9" s="60" t="s">
        <v>1680</v>
      </c>
      <c r="C9" s="1822"/>
      <c r="D9" s="59">
        <v>100</v>
      </c>
      <c r="E9" s="1822"/>
      <c r="F9" s="59">
        <f>SUMIF(70:70,E9,71:71)-SUMIF(70:70,C9,71:71)+100</f>
        <v>100</v>
      </c>
      <c r="G9" s="1822"/>
      <c r="H9" s="59">
        <f>SUMIF(70:70,G9,71:71)-SUMIF(70:70,C9,71:71)+100</f>
        <v>100</v>
      </c>
      <c r="I9" s="1822"/>
      <c r="J9" s="59">
        <f>SUMIF(70:70,I9,71:71)-SUMIF(70:70,C9,71:71)+100</f>
        <v>100</v>
      </c>
      <c r="K9" s="38"/>
      <c r="L9" s="2485"/>
      <c r="M9" s="2436"/>
      <c r="N9" s="2436"/>
      <c r="O9" s="2537"/>
      <c r="P9" s="3421" t="s">
        <v>1681</v>
      </c>
      <c r="Q9" s="530" t="str">
        <f t="shared" ref="Q9:Q15" si="6">B9</f>
        <v>用途</v>
      </c>
      <c r="R9" s="664" t="s">
        <v>14</v>
      </c>
      <c r="S9" s="665">
        <f t="shared" si="0"/>
        <v>100</v>
      </c>
      <c r="T9" s="664" t="s">
        <v>14</v>
      </c>
      <c r="U9" s="665">
        <f t="shared" si="1"/>
        <v>100</v>
      </c>
      <c r="V9" s="664" t="s">
        <v>14</v>
      </c>
      <c r="W9" s="665">
        <f t="shared" si="2"/>
        <v>100</v>
      </c>
      <c r="X9" s="666"/>
      <c r="Y9" s="3299" t="s">
        <v>1682</v>
      </c>
      <c r="Z9" s="50" t="str">
        <f t="shared" ref="Z9:Z15" si="7">Q9</f>
        <v>用途</v>
      </c>
      <c r="AA9" s="50">
        <f t="shared" si="3"/>
        <v>1</v>
      </c>
      <c r="AB9" s="50">
        <f t="shared" si="4"/>
        <v>1</v>
      </c>
      <c r="AC9" s="50">
        <f t="shared" si="5"/>
        <v>1</v>
      </c>
    </row>
    <row r="10" spans="1:29" s="366" customFormat="1" ht="27">
      <c r="A10" s="363"/>
      <c r="B10" s="364" t="s">
        <v>1683</v>
      </c>
      <c r="C10" s="371"/>
      <c r="D10" s="119">
        <v>100</v>
      </c>
      <c r="E10" s="371"/>
      <c r="F10" s="119">
        <f>ROUND(100/'数据-取费表'!G16,0)</f>
        <v>109</v>
      </c>
      <c r="G10" s="371"/>
      <c r="H10" s="119">
        <f>ROUND(100/'数据-取费表'!G16,0)</f>
        <v>109</v>
      </c>
      <c r="I10" s="371"/>
      <c r="J10" s="119">
        <f>ROUND(100/'数据-取费表'!G16,0)</f>
        <v>109</v>
      </c>
      <c r="K10" s="592"/>
      <c r="L10" s="2486"/>
      <c r="M10" s="2487"/>
      <c r="N10" s="2487"/>
      <c r="O10" s="2538"/>
      <c r="P10" s="3421"/>
      <c r="Q10" s="530" t="str">
        <f t="shared" si="6"/>
        <v>土地使用年限（年）</v>
      </c>
      <c r="R10" s="664" t="s">
        <v>14</v>
      </c>
      <c r="S10" s="665">
        <f t="shared" si="0"/>
        <v>109</v>
      </c>
      <c r="T10" s="664" t="s">
        <v>14</v>
      </c>
      <c r="U10" s="665">
        <f t="shared" si="1"/>
        <v>109</v>
      </c>
      <c r="V10" s="664" t="s">
        <v>14</v>
      </c>
      <c r="W10" s="665">
        <f t="shared" si="2"/>
        <v>109</v>
      </c>
      <c r="X10" s="666"/>
      <c r="Y10" s="3299"/>
      <c r="Z10" s="50" t="str">
        <f t="shared" si="7"/>
        <v>土地使用年限（年）</v>
      </c>
      <c r="AA10" s="50">
        <f t="shared" si="3"/>
        <v>0.91743119266055051</v>
      </c>
      <c r="AB10" s="50">
        <f t="shared" si="4"/>
        <v>0.91743119266055051</v>
      </c>
      <c r="AC10" s="50">
        <f t="shared" si="5"/>
        <v>0.91743119266055051</v>
      </c>
    </row>
    <row r="11" spans="1:29" ht="15">
      <c r="A11" s="367"/>
      <c r="B11" s="364" t="s">
        <v>1684</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421"/>
      <c r="Q11" s="530" t="str">
        <f t="shared" si="6"/>
        <v>容积率</v>
      </c>
      <c r="R11" s="664" t="s">
        <v>14</v>
      </c>
      <c r="S11" s="665" t="e">
        <f t="shared" si="0"/>
        <v>#N/A</v>
      </c>
      <c r="T11" s="664" t="s">
        <v>14</v>
      </c>
      <c r="U11" s="665" t="e">
        <f t="shared" si="1"/>
        <v>#N/A</v>
      </c>
      <c r="V11" s="664" t="s">
        <v>14</v>
      </c>
      <c r="W11" s="665" t="e">
        <f t="shared" si="2"/>
        <v>#N/A</v>
      </c>
      <c r="X11" s="666"/>
      <c r="Y11" s="329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6"/>
      <c r="N12" s="2436"/>
      <c r="O12" s="2537"/>
      <c r="P12" s="3421"/>
      <c r="Q12" s="530">
        <f t="shared" si="6"/>
        <v>111</v>
      </c>
      <c r="R12" s="664" t="s">
        <v>14</v>
      </c>
      <c r="S12" s="665">
        <f t="shared" si="0"/>
        <v>100</v>
      </c>
      <c r="T12" s="664" t="s">
        <v>14</v>
      </c>
      <c r="U12" s="665">
        <f t="shared" si="1"/>
        <v>100</v>
      </c>
      <c r="V12" s="664" t="s">
        <v>14</v>
      </c>
      <c r="W12" s="665">
        <f t="shared" si="2"/>
        <v>100</v>
      </c>
      <c r="X12" s="666"/>
      <c r="Y12" s="329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421"/>
      <c r="Q13" s="530">
        <f t="shared" si="6"/>
        <v>111</v>
      </c>
      <c r="R13" s="664" t="s">
        <v>14</v>
      </c>
      <c r="S13" s="665">
        <f t="shared" si="0"/>
        <v>100</v>
      </c>
      <c r="T13" s="664" t="s">
        <v>14</v>
      </c>
      <c r="U13" s="665">
        <f t="shared" si="1"/>
        <v>100</v>
      </c>
      <c r="V13" s="664" t="s">
        <v>14</v>
      </c>
      <c r="W13" s="665">
        <f t="shared" si="2"/>
        <v>100</v>
      </c>
      <c r="X13" s="666"/>
      <c r="Y13" s="3299"/>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421"/>
      <c r="Q14" s="530">
        <f t="shared" si="6"/>
        <v>111</v>
      </c>
      <c r="R14" s="664" t="s">
        <v>14</v>
      </c>
      <c r="S14" s="665">
        <f t="shared" si="0"/>
        <v>100</v>
      </c>
      <c r="T14" s="664" t="s">
        <v>14</v>
      </c>
      <c r="U14" s="665">
        <f t="shared" si="1"/>
        <v>100</v>
      </c>
      <c r="V14" s="664" t="s">
        <v>14</v>
      </c>
      <c r="W14" s="665">
        <f t="shared" si="2"/>
        <v>100</v>
      </c>
      <c r="X14" s="666"/>
      <c r="Y14" s="3299"/>
      <c r="Z14" s="50">
        <f t="shared" si="7"/>
        <v>111</v>
      </c>
      <c r="AA14" s="50">
        <f t="shared" si="3"/>
        <v>1</v>
      </c>
      <c r="AB14" s="50">
        <f t="shared" si="4"/>
        <v>1</v>
      </c>
      <c r="AC14" s="50">
        <f t="shared" si="5"/>
        <v>1</v>
      </c>
    </row>
    <row r="15" spans="1:29" ht="15">
      <c r="A15" s="379" t="s">
        <v>1685</v>
      </c>
      <c r="B15" s="554" t="s">
        <v>1914</v>
      </c>
      <c r="C15" s="1816">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428" t="s">
        <v>1686</v>
      </c>
      <c r="Q15" s="1262" t="str">
        <f t="shared" si="6"/>
        <v>产业集聚程度</v>
      </c>
      <c r="R15" s="667" t="s">
        <v>14</v>
      </c>
      <c r="S15" s="668">
        <f t="shared" si="0"/>
        <v>100</v>
      </c>
      <c r="T15" s="667" t="s">
        <v>14</v>
      </c>
      <c r="U15" s="668">
        <f t="shared" si="1"/>
        <v>100</v>
      </c>
      <c r="V15" s="667" t="s">
        <v>14</v>
      </c>
      <c r="W15" s="668">
        <f t="shared" si="2"/>
        <v>100</v>
      </c>
      <c r="X15" s="1264"/>
      <c r="Y15" s="3428" t="s">
        <v>1686</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89"/>
      <c r="M16" s="2484"/>
      <c r="N16" s="2484"/>
      <c r="O16" s="2539"/>
      <c r="P16" s="3429"/>
      <c r="Q16" s="1262"/>
      <c r="R16" s="667"/>
      <c r="S16" s="668"/>
      <c r="T16" s="667"/>
      <c r="U16" s="668"/>
      <c r="V16" s="667"/>
      <c r="W16" s="668"/>
      <c r="X16" s="1264"/>
      <c r="Y16" s="3429"/>
      <c r="Z16" s="1263"/>
      <c r="AA16" s="1263">
        <v>1</v>
      </c>
      <c r="AB16" s="1263">
        <v>1</v>
      </c>
      <c r="AC16" s="1263">
        <v>1</v>
      </c>
    </row>
    <row r="17" spans="1:29" ht="15">
      <c r="A17" s="367"/>
      <c r="B17" s="556" t="s">
        <v>1828</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429"/>
      <c r="Q17" s="1262" t="str">
        <f>B17</f>
        <v>交通便捷度</v>
      </c>
      <c r="R17" s="667" t="s">
        <v>14</v>
      </c>
      <c r="S17" s="668">
        <f>F17</f>
        <v>100</v>
      </c>
      <c r="T17" s="667" t="s">
        <v>14</v>
      </c>
      <c r="U17" s="668">
        <f>H17</f>
        <v>100</v>
      </c>
      <c r="V17" s="667" t="s">
        <v>14</v>
      </c>
      <c r="W17" s="668">
        <f>J17</f>
        <v>100</v>
      </c>
      <c r="X17" s="1264"/>
      <c r="Y17" s="3429"/>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89"/>
      <c r="M18" s="2484"/>
      <c r="N18" s="2484"/>
      <c r="O18" s="2539"/>
      <c r="P18" s="3429"/>
      <c r="Q18" s="1262"/>
      <c r="R18" s="667"/>
      <c r="S18" s="668"/>
      <c r="T18" s="667"/>
      <c r="U18" s="668"/>
      <c r="V18" s="667"/>
      <c r="W18" s="668"/>
      <c r="X18" s="1264"/>
      <c r="Y18" s="3429"/>
      <c r="Z18" s="1263"/>
      <c r="AA18" s="1263">
        <v>1</v>
      </c>
      <c r="AB18" s="1263">
        <v>1</v>
      </c>
      <c r="AC18" s="1263">
        <v>1</v>
      </c>
    </row>
    <row r="19" spans="1:29" ht="15">
      <c r="A19" s="367"/>
      <c r="B19" s="556" t="s">
        <v>1866</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429"/>
      <c r="Q19" s="1262" t="str">
        <f t="shared" ref="Q19:Q33" si="8">B19</f>
        <v>区域土地利用方向</v>
      </c>
      <c r="R19" s="667" t="s">
        <v>14</v>
      </c>
      <c r="S19" s="668">
        <f>F19</f>
        <v>100</v>
      </c>
      <c r="T19" s="667" t="s">
        <v>14</v>
      </c>
      <c r="U19" s="668">
        <f>H19</f>
        <v>100</v>
      </c>
      <c r="V19" s="667" t="s">
        <v>14</v>
      </c>
      <c r="W19" s="668">
        <f>J19</f>
        <v>100</v>
      </c>
      <c r="X19" s="1264"/>
      <c r="Y19" s="3429"/>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89"/>
      <c r="M20" s="2484"/>
      <c r="N20" s="2484"/>
      <c r="O20" s="2539"/>
      <c r="P20" s="3429"/>
      <c r="Q20" s="1262"/>
      <c r="R20" s="667"/>
      <c r="S20" s="668"/>
      <c r="T20" s="667"/>
      <c r="U20" s="668"/>
      <c r="V20" s="667"/>
      <c r="W20" s="668"/>
      <c r="X20" s="1264"/>
      <c r="Y20" s="3429"/>
      <c r="Z20" s="1263"/>
      <c r="AA20" s="1263"/>
      <c r="AB20" s="1263"/>
      <c r="AC20" s="1263"/>
    </row>
    <row r="21" spans="1:29" ht="15">
      <c r="A21" s="348"/>
      <c r="B21" s="556" t="s">
        <v>1915</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429"/>
      <c r="Q21" s="1262" t="str">
        <f t="shared" si="8"/>
        <v>环境状况</v>
      </c>
      <c r="R21" s="667" t="s">
        <v>14</v>
      </c>
      <c r="S21" s="668">
        <f>F21</f>
        <v>100</v>
      </c>
      <c r="T21" s="667" t="s">
        <v>14</v>
      </c>
      <c r="U21" s="668">
        <f>H21</f>
        <v>100</v>
      </c>
      <c r="V21" s="667" t="s">
        <v>14</v>
      </c>
      <c r="W21" s="668">
        <f>J21</f>
        <v>100</v>
      </c>
      <c r="X21" s="1264"/>
      <c r="Y21" s="3429"/>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89"/>
      <c r="M22" s="2484"/>
      <c r="N22" s="2484"/>
      <c r="O22" s="2539"/>
      <c r="P22" s="3429"/>
      <c r="Q22" s="1262"/>
      <c r="R22" s="667"/>
      <c r="S22" s="668"/>
      <c r="T22" s="667"/>
      <c r="U22" s="668"/>
      <c r="V22" s="667"/>
      <c r="W22" s="668"/>
      <c r="X22" s="1264"/>
      <c r="Y22" s="3429"/>
      <c r="Z22" s="1263"/>
      <c r="AA22" s="1263">
        <v>1</v>
      </c>
      <c r="AB22" s="1263">
        <v>1</v>
      </c>
      <c r="AC22" s="1263">
        <v>1</v>
      </c>
    </row>
    <row r="23" spans="1:29" s="102" customFormat="1" ht="15">
      <c r="A23" s="443"/>
      <c r="B23" s="557" t="s">
        <v>1773</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5"/>
      <c r="M23" s="2436"/>
      <c r="N23" s="2436"/>
      <c r="O23" s="2537"/>
      <c r="P23" s="3429"/>
      <c r="Q23" s="530" t="str">
        <f t="shared" si="8"/>
        <v>公共配套设施</v>
      </c>
      <c r="R23" s="664" t="s">
        <v>14</v>
      </c>
      <c r="S23" s="665">
        <f>F23</f>
        <v>100</v>
      </c>
      <c r="T23" s="664" t="s">
        <v>14</v>
      </c>
      <c r="U23" s="665">
        <f>H23</f>
        <v>100</v>
      </c>
      <c r="V23" s="664" t="s">
        <v>14</v>
      </c>
      <c r="W23" s="665">
        <f>J23</f>
        <v>100</v>
      </c>
      <c r="X23" s="666"/>
      <c r="Y23" s="3429"/>
      <c r="Z23" s="50" t="str">
        <f>Q23</f>
        <v>公共配套设施</v>
      </c>
      <c r="AA23" s="1263">
        <f>D23/F23</f>
        <v>1</v>
      </c>
      <c r="AB23" s="1263">
        <f>D23/H23</f>
        <v>1</v>
      </c>
      <c r="AC23" s="1263">
        <f>D23/J23</f>
        <v>1</v>
      </c>
    </row>
    <row r="24" spans="1:29" s="102" customFormat="1" ht="15">
      <c r="A24" s="443"/>
      <c r="B24" s="401"/>
      <c r="C24" s="1823"/>
      <c r="D24" s="387"/>
      <c r="E24" s="1757"/>
      <c r="F24" s="387"/>
      <c r="G24" s="1757"/>
      <c r="H24" s="387"/>
      <c r="I24" s="386"/>
      <c r="J24" s="387"/>
      <c r="K24" s="592"/>
      <c r="L24" s="2485"/>
      <c r="M24" s="2436"/>
      <c r="N24" s="2436"/>
      <c r="O24" s="2537"/>
      <c r="P24" s="3429"/>
      <c r="Q24" s="530"/>
      <c r="R24" s="664"/>
      <c r="S24" s="665"/>
      <c r="T24" s="664"/>
      <c r="U24" s="665"/>
      <c r="V24" s="664"/>
      <c r="W24" s="665"/>
      <c r="X24" s="666"/>
      <c r="Y24" s="3429"/>
      <c r="Z24" s="50"/>
      <c r="AA24" s="50">
        <v>1</v>
      </c>
      <c r="AB24" s="50">
        <v>1</v>
      </c>
      <c r="AC24" s="50">
        <v>1</v>
      </c>
    </row>
    <row r="25" spans="1:29" s="102" customFormat="1" ht="15">
      <c r="A25" s="443"/>
      <c r="B25" s="557" t="s">
        <v>1774</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5"/>
      <c r="M25" s="2436"/>
      <c r="N25" s="2436"/>
      <c r="O25" s="2537"/>
      <c r="P25" s="3429"/>
      <c r="Q25" s="530" t="str">
        <f t="shared" ref="Q25" si="9">B25</f>
        <v>基础设施水平</v>
      </c>
      <c r="R25" s="664" t="s">
        <v>14</v>
      </c>
      <c r="S25" s="665">
        <f>F25</f>
        <v>100</v>
      </c>
      <c r="T25" s="664" t="s">
        <v>14</v>
      </c>
      <c r="U25" s="665">
        <f>H25</f>
        <v>100</v>
      </c>
      <c r="V25" s="664" t="s">
        <v>14</v>
      </c>
      <c r="W25" s="665">
        <f>J25</f>
        <v>100</v>
      </c>
      <c r="X25" s="666"/>
      <c r="Y25" s="3429"/>
      <c r="Z25" s="50" t="str">
        <f>Q25</f>
        <v>基础设施水平</v>
      </c>
      <c r="AA25" s="1263">
        <f>D25/F25</f>
        <v>1</v>
      </c>
      <c r="AB25" s="1263">
        <f>D25/H25</f>
        <v>1</v>
      </c>
      <c r="AC25" s="1263">
        <f>D25/J25</f>
        <v>1</v>
      </c>
    </row>
    <row r="26" spans="1:29" s="102" customFormat="1" ht="15">
      <c r="A26" s="443"/>
      <c r="B26" s="401"/>
      <c r="C26" s="1823"/>
      <c r="D26" s="387"/>
      <c r="E26" s="1824"/>
      <c r="F26" s="387"/>
      <c r="G26" s="1824"/>
      <c r="H26" s="387"/>
      <c r="I26" s="1824"/>
      <c r="J26" s="387"/>
      <c r="K26" s="592"/>
      <c r="L26" s="2485"/>
      <c r="M26" s="2436"/>
      <c r="N26" s="2436"/>
      <c r="O26" s="2537"/>
      <c r="P26" s="3429"/>
      <c r="Q26" s="530"/>
      <c r="R26" s="664"/>
      <c r="S26" s="665"/>
      <c r="T26" s="664"/>
      <c r="U26" s="665"/>
      <c r="V26" s="664"/>
      <c r="W26" s="665"/>
      <c r="X26" s="666"/>
      <c r="Y26" s="3429"/>
      <c r="Z26" s="50"/>
      <c r="AA26" s="50">
        <v>1</v>
      </c>
      <c r="AB26" s="50">
        <v>1</v>
      </c>
      <c r="AC26" s="50">
        <v>1</v>
      </c>
    </row>
    <row r="27" spans="1:29" ht="15">
      <c r="A27" s="367"/>
      <c r="B27" s="401" t="s">
        <v>1775</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429"/>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29"/>
      <c r="Z27" s="1263" t="str">
        <f t="shared" ref="Z27:Z40" si="13">Q27</f>
        <v>临街状况</v>
      </c>
      <c r="AA27" s="1263">
        <f t="shared" si="3"/>
        <v>1</v>
      </c>
      <c r="AB27" s="1263">
        <f t="shared" si="4"/>
        <v>1</v>
      </c>
      <c r="AC27" s="1263">
        <f t="shared" si="5"/>
        <v>1</v>
      </c>
    </row>
    <row r="28" spans="1:29" ht="27">
      <c r="A28" s="367"/>
      <c r="B28" s="557" t="s">
        <v>1810</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429"/>
      <c r="Q28" s="1262" t="str">
        <f t="shared" si="8"/>
        <v>毗邻道路的类型与等级</v>
      </c>
      <c r="R28" s="667" t="s">
        <v>14</v>
      </c>
      <c r="S28" s="668">
        <f t="shared" si="10"/>
        <v>100</v>
      </c>
      <c r="T28" s="667" t="s">
        <v>14</v>
      </c>
      <c r="U28" s="668">
        <f t="shared" si="11"/>
        <v>100</v>
      </c>
      <c r="V28" s="667" t="s">
        <v>14</v>
      </c>
      <c r="W28" s="668">
        <f t="shared" si="12"/>
        <v>100</v>
      </c>
      <c r="X28" s="1264"/>
      <c r="Y28" s="3429"/>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9"/>
      <c r="M29" s="2484"/>
      <c r="N29" s="2484"/>
      <c r="O29" s="2539"/>
      <c r="P29" s="3429"/>
      <c r="Q29" s="1262"/>
      <c r="R29" s="667"/>
      <c r="S29" s="668"/>
      <c r="T29" s="667"/>
      <c r="U29" s="668"/>
      <c r="V29" s="667"/>
      <c r="W29" s="668"/>
      <c r="X29" s="1264"/>
      <c r="Y29" s="3429"/>
      <c r="Z29" s="1263"/>
      <c r="AA29" s="1263">
        <v>1</v>
      </c>
      <c r="AB29" s="1263">
        <v>1</v>
      </c>
      <c r="AC29" s="1263">
        <v>1</v>
      </c>
    </row>
    <row r="30" spans="1:29" ht="15">
      <c r="A30" s="367"/>
      <c r="B30" s="119" t="s">
        <v>1868</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429"/>
      <c r="Q30" s="1262" t="str">
        <f t="shared" si="8"/>
        <v>土地级别</v>
      </c>
      <c r="R30" s="667" t="s">
        <v>14</v>
      </c>
      <c r="S30" s="668">
        <f t="shared" si="10"/>
        <v>100</v>
      </c>
      <c r="T30" s="667" t="s">
        <v>14</v>
      </c>
      <c r="U30" s="668">
        <f t="shared" si="11"/>
        <v>100</v>
      </c>
      <c r="V30" s="667" t="s">
        <v>14</v>
      </c>
      <c r="W30" s="668">
        <f t="shared" si="12"/>
        <v>100</v>
      </c>
      <c r="X30" s="1264"/>
      <c r="Y30" s="3429"/>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429"/>
      <c r="Q31" s="1262">
        <f t="shared" si="8"/>
        <v>111</v>
      </c>
      <c r="R31" s="667" t="s">
        <v>14</v>
      </c>
      <c r="S31" s="668">
        <f t="shared" si="10"/>
        <v>100</v>
      </c>
      <c r="T31" s="667" t="s">
        <v>14</v>
      </c>
      <c r="U31" s="668">
        <f t="shared" si="11"/>
        <v>100</v>
      </c>
      <c r="V31" s="667" t="s">
        <v>14</v>
      </c>
      <c r="W31" s="668">
        <f t="shared" si="12"/>
        <v>100</v>
      </c>
      <c r="X31" s="1264"/>
      <c r="Y31" s="3429"/>
      <c r="Z31" s="1263">
        <f t="shared" si="13"/>
        <v>111</v>
      </c>
      <c r="AA31" s="1263">
        <f t="shared" si="3"/>
        <v>1</v>
      </c>
      <c r="AB31" s="1263">
        <f t="shared" si="4"/>
        <v>1</v>
      </c>
      <c r="AC31" s="1263">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81" t="s">
        <v>1691</v>
      </c>
      <c r="Q32" s="1262">
        <f t="shared" si="8"/>
        <v>111</v>
      </c>
      <c r="R32" s="667" t="s">
        <v>14</v>
      </c>
      <c r="S32" s="668">
        <f t="shared" si="10"/>
        <v>100</v>
      </c>
      <c r="T32" s="667" t="s">
        <v>14</v>
      </c>
      <c r="U32" s="668">
        <f t="shared" si="11"/>
        <v>100</v>
      </c>
      <c r="V32" s="667" t="s">
        <v>14</v>
      </c>
      <c r="W32" s="668">
        <f t="shared" si="12"/>
        <v>100</v>
      </c>
      <c r="X32" s="1264"/>
      <c r="Y32" s="3433" t="s">
        <v>1691</v>
      </c>
      <c r="Z32" s="1263">
        <f t="shared" si="13"/>
        <v>111</v>
      </c>
      <c r="AA32" s="1263">
        <f t="shared" si="3"/>
        <v>1</v>
      </c>
      <c r="AB32" s="1263">
        <f t="shared" si="4"/>
        <v>1</v>
      </c>
      <c r="AC32" s="1263">
        <f t="shared" si="5"/>
        <v>1</v>
      </c>
    </row>
    <row r="33" spans="1:31" s="408" customFormat="1" ht="15.75"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433"/>
      <c r="Q33" s="1262">
        <f t="shared" si="8"/>
        <v>111</v>
      </c>
      <c r="R33" s="669" t="s">
        <v>14</v>
      </c>
      <c r="S33" s="670">
        <f t="shared" si="10"/>
        <v>100</v>
      </c>
      <c r="T33" s="669" t="s">
        <v>14</v>
      </c>
      <c r="U33" s="670">
        <f t="shared" si="11"/>
        <v>100</v>
      </c>
      <c r="V33" s="669" t="s">
        <v>14</v>
      </c>
      <c r="W33" s="670">
        <f t="shared" si="12"/>
        <v>100</v>
      </c>
      <c r="X33" s="671"/>
      <c r="Y33" s="3433"/>
      <c r="Z33" s="672">
        <f t="shared" si="13"/>
        <v>111</v>
      </c>
      <c r="AA33" s="1263">
        <f t="shared" si="3"/>
        <v>1</v>
      </c>
      <c r="AB33" s="1263">
        <f t="shared" si="4"/>
        <v>1</v>
      </c>
      <c r="AC33" s="1263">
        <f t="shared" si="5"/>
        <v>1</v>
      </c>
    </row>
    <row r="34" spans="1:31" ht="15">
      <c r="A34" s="379" t="s">
        <v>1689</v>
      </c>
      <c r="B34" s="395" t="s">
        <v>1869</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433"/>
      <c r="Q34" s="1262" t="str">
        <f>B34</f>
        <v>宗地面积</v>
      </c>
      <c r="R34" s="667" t="s">
        <v>14</v>
      </c>
      <c r="S34" s="668" t="e">
        <f t="shared" si="10"/>
        <v>#N/A</v>
      </c>
      <c r="T34" s="667" t="s">
        <v>14</v>
      </c>
      <c r="U34" s="668" t="e">
        <f t="shared" si="11"/>
        <v>#N/A</v>
      </c>
      <c r="V34" s="667" t="s">
        <v>14</v>
      </c>
      <c r="W34" s="668" t="e">
        <f t="shared" si="12"/>
        <v>#N/A</v>
      </c>
      <c r="X34" s="1264"/>
      <c r="Y34" s="3433"/>
      <c r="Z34" s="1263" t="str">
        <f t="shared" si="13"/>
        <v>宗地面积</v>
      </c>
      <c r="AA34" s="1263" t="e">
        <f t="shared" si="3"/>
        <v>#N/A</v>
      </c>
      <c r="AB34" s="1263" t="e">
        <f t="shared" si="4"/>
        <v>#N/A</v>
      </c>
      <c r="AC34" s="1263" t="e">
        <f t="shared" si="5"/>
        <v>#N/A</v>
      </c>
    </row>
    <row r="35" spans="1:31" ht="15">
      <c r="A35" s="409"/>
      <c r="B35" s="364" t="s">
        <v>1870</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9"/>
      <c r="M35" s="2484"/>
      <c r="N35" s="2484"/>
      <c r="O35" s="2539"/>
      <c r="P35" s="3433"/>
      <c r="Q35" s="1262" t="str">
        <f t="shared" ref="Q35:Q40" si="14">B35</f>
        <v>宗地形状</v>
      </c>
      <c r="R35" s="667" t="s">
        <v>14</v>
      </c>
      <c r="S35" s="668">
        <f t="shared" si="10"/>
        <v>100</v>
      </c>
      <c r="T35" s="667" t="s">
        <v>14</v>
      </c>
      <c r="U35" s="668">
        <f t="shared" si="11"/>
        <v>100</v>
      </c>
      <c r="V35" s="667" t="s">
        <v>14</v>
      </c>
      <c r="W35" s="668">
        <f t="shared" si="12"/>
        <v>100</v>
      </c>
      <c r="X35" s="1264"/>
      <c r="Y35" s="3433"/>
      <c r="Z35" s="1263" t="str">
        <f t="shared" si="13"/>
        <v>宗地形状</v>
      </c>
      <c r="AA35" s="1263">
        <f t="shared" si="3"/>
        <v>1</v>
      </c>
      <c r="AB35" s="1263">
        <f t="shared" si="4"/>
        <v>1</v>
      </c>
      <c r="AC35" s="1263">
        <f t="shared" si="5"/>
        <v>1</v>
      </c>
    </row>
    <row r="36" spans="1:31" s="102" customFormat="1" ht="15">
      <c r="A36" s="410"/>
      <c r="B36" s="364" t="s">
        <v>1872</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5"/>
      <c r="M36" s="2436"/>
      <c r="N36" s="2436"/>
      <c r="O36" s="2537"/>
      <c r="P36" s="3433"/>
      <c r="Q36" s="1262" t="str">
        <f t="shared" si="14"/>
        <v>宗地开发程度</v>
      </c>
      <c r="R36" s="664" t="s">
        <v>14</v>
      </c>
      <c r="S36" s="665">
        <f t="shared" si="10"/>
        <v>100</v>
      </c>
      <c r="T36" s="664" t="s">
        <v>14</v>
      </c>
      <c r="U36" s="665">
        <f t="shared" si="11"/>
        <v>100</v>
      </c>
      <c r="V36" s="664" t="s">
        <v>14</v>
      </c>
      <c r="W36" s="665">
        <f t="shared" si="12"/>
        <v>100</v>
      </c>
      <c r="X36" s="666"/>
      <c r="Y36" s="3433"/>
      <c r="Z36" s="50" t="str">
        <f t="shared" si="13"/>
        <v>宗地开发程度</v>
      </c>
      <c r="AA36" s="50">
        <f t="shared" si="3"/>
        <v>1</v>
      </c>
      <c r="AB36" s="50">
        <f t="shared" si="4"/>
        <v>1</v>
      </c>
      <c r="AC36" s="50">
        <f t="shared" si="5"/>
        <v>1</v>
      </c>
    </row>
    <row r="37" spans="1:31" ht="15">
      <c r="A37" s="409"/>
      <c r="B37" s="364" t="s">
        <v>1873</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9"/>
      <c r="M37" s="2484"/>
      <c r="N37" s="2484"/>
      <c r="O37" s="2539"/>
      <c r="P37" s="3433" t="s">
        <v>1691</v>
      </c>
      <c r="Q37" s="1262" t="str">
        <f t="shared" si="14"/>
        <v>工程地质条件</v>
      </c>
      <c r="R37" s="667" t="s">
        <v>14</v>
      </c>
      <c r="S37" s="668">
        <f t="shared" si="10"/>
        <v>100</v>
      </c>
      <c r="T37" s="667" t="s">
        <v>14</v>
      </c>
      <c r="U37" s="668">
        <f t="shared" si="11"/>
        <v>100</v>
      </c>
      <c r="V37" s="667" t="s">
        <v>14</v>
      </c>
      <c r="W37" s="668">
        <f t="shared" si="12"/>
        <v>100</v>
      </c>
      <c r="X37" s="1264"/>
      <c r="Y37" s="3433" t="s">
        <v>1691</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433"/>
      <c r="Q38" s="1262">
        <f t="shared" si="14"/>
        <v>111</v>
      </c>
      <c r="R38" s="667" t="s">
        <v>14</v>
      </c>
      <c r="S38" s="668">
        <f t="shared" si="10"/>
        <v>100</v>
      </c>
      <c r="T38" s="667" t="s">
        <v>14</v>
      </c>
      <c r="U38" s="668">
        <f t="shared" si="11"/>
        <v>100</v>
      </c>
      <c r="V38" s="667" t="s">
        <v>14</v>
      </c>
      <c r="W38" s="668">
        <f t="shared" si="12"/>
        <v>100</v>
      </c>
      <c r="X38" s="1264"/>
      <c r="Y38" s="3433"/>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433"/>
      <c r="Q39" s="1262">
        <f t="shared" si="14"/>
        <v>111</v>
      </c>
      <c r="R39" s="667" t="s">
        <v>14</v>
      </c>
      <c r="S39" s="668">
        <f t="shared" si="10"/>
        <v>100</v>
      </c>
      <c r="T39" s="667" t="s">
        <v>14</v>
      </c>
      <c r="U39" s="668">
        <f t="shared" si="11"/>
        <v>100</v>
      </c>
      <c r="V39" s="667" t="s">
        <v>14</v>
      </c>
      <c r="W39" s="668">
        <f t="shared" si="12"/>
        <v>100</v>
      </c>
      <c r="X39" s="1264"/>
      <c r="Y39" s="3433"/>
      <c r="Z39" s="1263">
        <f t="shared" si="13"/>
        <v>111</v>
      </c>
      <c r="AA39" s="1263">
        <f t="shared" si="3"/>
        <v>1</v>
      </c>
      <c r="AB39" s="1263">
        <f t="shared" si="4"/>
        <v>1</v>
      </c>
      <c r="AC39" s="1263">
        <f t="shared" si="5"/>
        <v>1</v>
      </c>
    </row>
    <row r="40" spans="1:31" s="408" customFormat="1" ht="15.75" thickBot="1">
      <c r="A40" s="406"/>
      <c r="B40" s="1067">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433"/>
      <c r="Q40" s="1262">
        <f t="shared" si="14"/>
        <v>111</v>
      </c>
      <c r="R40" s="669" t="s">
        <v>14</v>
      </c>
      <c r="S40" s="670">
        <f t="shared" si="10"/>
        <v>100</v>
      </c>
      <c r="T40" s="669" t="s">
        <v>14</v>
      </c>
      <c r="U40" s="670">
        <f t="shared" si="11"/>
        <v>100</v>
      </c>
      <c r="V40" s="669" t="s">
        <v>14</v>
      </c>
      <c r="W40" s="670">
        <f t="shared" si="12"/>
        <v>100</v>
      </c>
      <c r="X40" s="671"/>
      <c r="Y40" s="3433"/>
      <c r="Z40" s="672">
        <f t="shared" si="13"/>
        <v>111</v>
      </c>
      <c r="AA40" s="1263">
        <f t="shared" si="3"/>
        <v>1</v>
      </c>
      <c r="AB40" s="1263">
        <f t="shared" si="4"/>
        <v>1</v>
      </c>
      <c r="AC40" s="1263">
        <f t="shared" si="5"/>
        <v>1</v>
      </c>
    </row>
    <row r="41" spans="1:31" ht="15">
      <c r="A41" s="416" t="s">
        <v>1839</v>
      </c>
      <c r="B41" s="1827" t="s">
        <v>1916</v>
      </c>
      <c r="C41" s="602" t="s">
        <v>0</v>
      </c>
      <c r="D41" s="418"/>
      <c r="E41" s="419"/>
      <c r="F41" s="420"/>
      <c r="G41" s="421"/>
      <c r="H41" s="422"/>
      <c r="I41" s="419"/>
      <c r="J41" s="422"/>
      <c r="K41" s="674"/>
      <c r="L41" s="2491"/>
      <c r="M41" s="2484"/>
      <c r="N41" s="2484"/>
      <c r="O41" s="2484"/>
      <c r="P41" s="3421" t="str">
        <f>A41</f>
        <v>成交单价</v>
      </c>
      <c r="Q41" s="3421"/>
      <c r="R41" s="3422">
        <f>E41</f>
        <v>0</v>
      </c>
      <c r="S41" s="3422"/>
      <c r="T41" s="3422">
        <f>G41</f>
        <v>0</v>
      </c>
      <c r="U41" s="3422"/>
      <c r="V41" s="3422">
        <f>I41</f>
        <v>0</v>
      </c>
      <c r="W41" s="3422"/>
      <c r="X41" s="385"/>
      <c r="Y41" s="673"/>
      <c r="Z41" s="385"/>
      <c r="AA41" s="385"/>
      <c r="AB41" s="385"/>
      <c r="AC41" s="385"/>
    </row>
    <row r="42" spans="1:31" ht="15.75" thickBot="1">
      <c r="A42" s="423" t="s">
        <v>1788</v>
      </c>
      <c r="B42" s="603"/>
      <c r="C42" s="426" t="e">
        <f>R43</f>
        <v>#DIV/0!</v>
      </c>
      <c r="D42" s="2138" t="s">
        <v>2132</v>
      </c>
      <c r="E42" s="426" t="e">
        <f>R42</f>
        <v>#DIV/0!</v>
      </c>
      <c r="F42" s="2139"/>
      <c r="G42" s="425" t="e">
        <f>T42</f>
        <v>#DIV/0!</v>
      </c>
      <c r="H42" s="2139"/>
      <c r="I42" s="426" t="e">
        <f>V42</f>
        <v>#DIV/0!</v>
      </c>
      <c r="J42" s="2139"/>
      <c r="K42" s="2141">
        <f>F42+H42+J42</f>
        <v>0</v>
      </c>
      <c r="L42" s="2491"/>
      <c r="M42" s="2484"/>
      <c r="N42" s="2484"/>
      <c r="O42" s="2484"/>
      <c r="P42" s="3421" t="str">
        <f>A42</f>
        <v>比较价值（元/平方米）</v>
      </c>
      <c r="Q42" s="3421"/>
      <c r="R42" s="3483" t="e">
        <f>ROUND(PRODUCT(R41,AA7:AA40),0)</f>
        <v>#DIV/0!</v>
      </c>
      <c r="S42" s="3483"/>
      <c r="T42" s="3483" t="e">
        <f>ROUND(PRODUCT(T41,AB7:AB40),0)</f>
        <v>#DIV/0!</v>
      </c>
      <c r="U42" s="3483"/>
      <c r="V42" s="3483" t="e">
        <f>ROUND(PRODUCT(V41,AC7:AC40),0)</f>
        <v>#DIV/0!</v>
      </c>
      <c r="W42" s="3483"/>
      <c r="X42" s="385"/>
      <c r="Y42" s="385"/>
      <c r="Z42" s="385"/>
      <c r="AA42" s="385"/>
      <c r="AB42" s="385"/>
      <c r="AC42" s="385"/>
    </row>
    <row r="43" spans="1:31" ht="15.75" thickBot="1">
      <c r="A43" s="427" t="s">
        <v>1789</v>
      </c>
      <c r="B43" s="428"/>
      <c r="C43" s="429" t="e">
        <f>R43</f>
        <v>#DIV/0!</v>
      </c>
      <c r="D43" s="429"/>
      <c r="E43" s="429"/>
      <c r="F43" s="429"/>
      <c r="G43" s="429"/>
      <c r="H43" s="429"/>
      <c r="I43" s="429"/>
      <c r="J43" s="429"/>
      <c r="K43" s="675"/>
      <c r="L43" s="2491"/>
      <c r="M43" s="2484"/>
      <c r="N43" s="2484"/>
      <c r="O43" s="2484"/>
      <c r="P43" s="3423" t="str">
        <f>A43</f>
        <v>估价对象XX用房的比较价值（楼面单价，元/平方米）</v>
      </c>
      <c r="Q43" s="3424"/>
      <c r="R43" s="3484" t="e">
        <f>ROUND(IF(D42="简单平均",AVERAGE(R42:W42),R42*F42+T42*H42+V42*J42),0)</f>
        <v>#DIV/0!</v>
      </c>
      <c r="S43" s="3484"/>
      <c r="T43" s="3484"/>
      <c r="U43" s="3484"/>
      <c r="V43" s="3484"/>
      <c r="W43" s="3484"/>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1790</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1791</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1792</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5"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4" t="s">
        <v>1875</v>
      </c>
      <c r="B50" s="605" t="s">
        <v>1876</v>
      </c>
      <c r="C50" s="1828" t="s">
        <v>1877</v>
      </c>
      <c r="D50" s="1829" t="s">
        <v>1878</v>
      </c>
      <c r="E50" s="606" t="s">
        <v>1879</v>
      </c>
      <c r="F50" s="607" t="s">
        <v>1880</v>
      </c>
      <c r="G50" s="3439" t="s">
        <v>1881</v>
      </c>
      <c r="H50" s="3485"/>
      <c r="I50" s="1263" t="s">
        <v>1917</v>
      </c>
      <c r="J50" s="1263">
        <f>项目基本情况!F35</f>
        <v>0</v>
      </c>
      <c r="K50" s="1831" t="s">
        <v>1883</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1884</v>
      </c>
      <c r="B51" s="609" t="e">
        <f>C43</f>
        <v>#DIV/0!</v>
      </c>
      <c r="C51" s="610">
        <v>1</v>
      </c>
      <c r="D51" s="890">
        <v>1</v>
      </c>
      <c r="E51" s="610">
        <f>'数据-汇总表'!E8+'数据-汇总表'!E9</f>
        <v>742.75</v>
      </c>
      <c r="F51" s="611" t="e">
        <f t="shared" ref="F51:F60" si="15">ROUND(B51*E51/10000,0)</f>
        <v>#DIV/0!</v>
      </c>
      <c r="G51" s="3435"/>
      <c r="H51" s="3421"/>
      <c r="I51" s="727">
        <v>1</v>
      </c>
      <c r="J51" s="727">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1885</v>
      </c>
      <c r="B52" s="210" t="e">
        <f>ROUND($C$43*C52*D52,0)</f>
        <v>#DIV/0!</v>
      </c>
      <c r="C52" s="163">
        <f t="shared" ref="C52:C60" si="16">IF($C$50="北京市系数",I52,J52)</f>
        <v>0</v>
      </c>
      <c r="D52" s="891">
        <v>0.25</v>
      </c>
      <c r="E52" s="614"/>
      <c r="F52" s="611" t="e">
        <f t="shared" si="15"/>
        <v>#DIV/0!</v>
      </c>
      <c r="G52" s="2747" t="s">
        <v>1886</v>
      </c>
      <c r="H52" s="834">
        <f>项目基本情况!B37</f>
        <v>0</v>
      </c>
      <c r="I52" s="727">
        <f>SUMIF(修正!A57:A68,H52,修正!B57:B68)</f>
        <v>0</v>
      </c>
      <c r="J52" s="728"/>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1887</v>
      </c>
      <c r="B53" s="210" t="e">
        <f t="shared" ref="B53:B60" si="17">ROUND($C$43*C53*D53,0)</f>
        <v>#DIV/0!</v>
      </c>
      <c r="C53" s="163">
        <f t="shared" si="16"/>
        <v>0</v>
      </c>
      <c r="D53" s="891">
        <v>0.25</v>
      </c>
      <c r="E53" s="614"/>
      <c r="F53" s="611" t="e">
        <f t="shared" si="15"/>
        <v>#DIV/0!</v>
      </c>
      <c r="G53" s="2748"/>
      <c r="H53" s="834">
        <f>项目基本情况!B37</f>
        <v>0</v>
      </c>
      <c r="I53" s="727">
        <f>SUMIF(修正!A57:A68,H53,修正!C57:C68)</f>
        <v>0</v>
      </c>
      <c r="J53" s="728"/>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1888</v>
      </c>
      <c r="B54" s="210" t="e">
        <f t="shared" si="17"/>
        <v>#DIV/0!</v>
      </c>
      <c r="C54" s="163">
        <f t="shared" si="16"/>
        <v>0</v>
      </c>
      <c r="D54" s="891">
        <v>0.25</v>
      </c>
      <c r="E54" s="614"/>
      <c r="F54" s="611" t="e">
        <f t="shared" si="15"/>
        <v>#DIV/0!</v>
      </c>
      <c r="G54" s="2748"/>
      <c r="H54" s="834">
        <f>项目基本情况!B37</f>
        <v>0</v>
      </c>
      <c r="I54" s="727">
        <f>SUMIF(修正!A57:A68,H54,修正!D57:D68)</f>
        <v>0</v>
      </c>
      <c r="J54" s="728"/>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1"/>
      <c r="E55" s="614"/>
      <c r="F55" s="611"/>
      <c r="G55" s="2749"/>
      <c r="H55" s="834"/>
      <c r="I55" s="727"/>
      <c r="J55" s="728"/>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1889</v>
      </c>
      <c r="B56" s="210" t="e">
        <f t="shared" si="17"/>
        <v>#DIV/0!</v>
      </c>
      <c r="C56" s="163">
        <f t="shared" si="16"/>
        <v>0.2</v>
      </c>
      <c r="D56" s="891">
        <v>0.25</v>
      </c>
      <c r="E56" s="209">
        <f>'数据-汇总表'!E11</f>
        <v>0</v>
      </c>
      <c r="F56" s="611" t="e">
        <f t="shared" si="15"/>
        <v>#DIV/0!</v>
      </c>
      <c r="G56" s="1832" t="s">
        <v>1890</v>
      </c>
      <c r="H56" s="834" t="str">
        <f>项目基本情况!C37</f>
        <v>八级</v>
      </c>
      <c r="I56" s="727">
        <f>SUMIF(修正!A57:A68,H56,修正!E57:E68)</f>
        <v>0.2</v>
      </c>
      <c r="J56" s="728"/>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1891</v>
      </c>
      <c r="B57" s="210" t="e">
        <f t="shared" si="17"/>
        <v>#DIV/0!</v>
      </c>
      <c r="C57" s="163">
        <f t="shared" si="16"/>
        <v>0.2</v>
      </c>
      <c r="D57" s="891">
        <v>0.25</v>
      </c>
      <c r="E57" s="209">
        <f>'数据-汇总表'!E12</f>
        <v>0</v>
      </c>
      <c r="F57" s="611" t="e">
        <f t="shared" si="15"/>
        <v>#DIV/0!</v>
      </c>
      <c r="G57" s="839" t="s">
        <v>1892</v>
      </c>
      <c r="H57" s="834" t="str">
        <f>IF(G57="商业",项目基本情况!B37,IF(G57="办公",项目基本情况!C37,IF(G57="住宅",项目基本情况!D37,项目基本情况!E37)))</f>
        <v>八级</v>
      </c>
      <c r="I57" s="727">
        <f>SUMIF(修正!A57:A68,H57,修正!F57:F68)</f>
        <v>0.2</v>
      </c>
      <c r="J57" s="728"/>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1893</v>
      </c>
      <c r="B58" s="210" t="e">
        <f t="shared" si="17"/>
        <v>#DIV/0!</v>
      </c>
      <c r="C58" s="163">
        <f t="shared" si="16"/>
        <v>0</v>
      </c>
      <c r="D58" s="891">
        <v>0.25</v>
      </c>
      <c r="E58" s="209">
        <f>'数据-汇总表'!E13</f>
        <v>0</v>
      </c>
      <c r="F58" s="611" t="e">
        <f t="shared" si="15"/>
        <v>#DIV/0!</v>
      </c>
      <c r="G58" s="839" t="s">
        <v>1894</v>
      </c>
      <c r="H58" s="834">
        <f>IF(G58="商业",项目基本情况!B37,IF(G58="办公",项目基本情况!C37,IF(G58="住宅",项目基本情况!D37,项目基本情况!E37)))</f>
        <v>0</v>
      </c>
      <c r="I58" s="727">
        <f>SUMIF(修正!A57:A68,H58,修正!G57:G68)</f>
        <v>0</v>
      </c>
      <c r="J58" s="728"/>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1895</v>
      </c>
      <c r="B59" s="210" t="e">
        <f t="shared" si="17"/>
        <v>#DIV/0!</v>
      </c>
      <c r="C59" s="163">
        <f t="shared" si="16"/>
        <v>0</v>
      </c>
      <c r="D59" s="891">
        <v>0.25</v>
      </c>
      <c r="E59" s="209">
        <f>'数据-汇总表'!E14</f>
        <v>0</v>
      </c>
      <c r="F59" s="611" t="e">
        <f t="shared" si="15"/>
        <v>#DIV/0!</v>
      </c>
      <c r="G59" s="1832" t="s">
        <v>1886</v>
      </c>
      <c r="H59" s="834">
        <f>项目基本情况!B37</f>
        <v>0</v>
      </c>
      <c r="I59" s="727">
        <f>SUMIF(修正!A57:A68,H59,修正!G57:G68)</f>
        <v>0</v>
      </c>
      <c r="J59" s="728"/>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5" thickBot="1">
      <c r="A60" s="613" t="s">
        <v>1896</v>
      </c>
      <c r="B60" s="210" t="e">
        <f t="shared" si="17"/>
        <v>#DIV/0!</v>
      </c>
      <c r="C60" s="163">
        <f t="shared" si="16"/>
        <v>0.1</v>
      </c>
      <c r="D60" s="891">
        <v>0.25</v>
      </c>
      <c r="E60" s="209">
        <f>'数据-汇总表'!E15</f>
        <v>0</v>
      </c>
      <c r="F60" s="611" t="e">
        <f t="shared" si="15"/>
        <v>#DIV/0!</v>
      </c>
      <c r="G60" s="1833" t="s">
        <v>1890</v>
      </c>
      <c r="H60" s="844" t="str">
        <f>项目基本情况!C37</f>
        <v>八级</v>
      </c>
      <c r="I60" s="727">
        <f>SUMIF(修正!A57:A68,H60,修正!G57:G68)</f>
        <v>0.1</v>
      </c>
      <c r="J60" s="728"/>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5" thickBot="1">
      <c r="A61" s="615" t="s">
        <v>1897</v>
      </c>
      <c r="B61" s="616" t="s">
        <v>22</v>
      </c>
      <c r="C61" s="616" t="s">
        <v>23</v>
      </c>
      <c r="D61" s="616" t="s">
        <v>392</v>
      </c>
      <c r="E61" s="616">
        <f>IF(B41="楼面地价",SUM(E51:E60),'数据-汇总表'!D3)</f>
        <v>891.05</v>
      </c>
      <c r="F61" s="617" t="e">
        <f>IF(B41="楼面地价",SUM(F51:F60),ROUND(C43*E61/10000,0))</f>
        <v>#DIV/0!</v>
      </c>
      <c r="G61" s="885"/>
      <c r="H61" s="885"/>
      <c r="I61" s="885"/>
      <c r="J61" s="885"/>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1"/>
      <c r="B62" s="875"/>
      <c r="C62" s="877"/>
      <c r="D62" s="861"/>
      <c r="E62" s="861"/>
      <c r="F62" s="861"/>
      <c r="G62" s="861"/>
      <c r="H62" s="861"/>
      <c r="I62" s="861"/>
      <c r="J62" s="861"/>
      <c r="K62" s="835"/>
      <c r="L62" s="836"/>
      <c r="M62" s="861"/>
      <c r="N62" s="861"/>
      <c r="O62" s="861"/>
      <c r="P62" s="2484"/>
      <c r="Q62" s="2484"/>
      <c r="R62" s="2484"/>
      <c r="S62" s="2484"/>
      <c r="T62" s="2484"/>
      <c r="U62" s="2484"/>
      <c r="V62" s="2484"/>
      <c r="W62" s="2484"/>
      <c r="X62" s="2484"/>
      <c r="Y62" s="2484"/>
      <c r="Z62" s="2484"/>
      <c r="AA62" s="2484"/>
      <c r="AB62" s="2484"/>
      <c r="AC62" s="2484"/>
      <c r="AD62" s="2484"/>
      <c r="AE62" s="2484"/>
    </row>
    <row r="63" spans="1:31">
      <c r="A63" s="861"/>
      <c r="B63" s="875"/>
      <c r="C63" s="656" t="str">
        <f>YEAR(C7)&amp;"-"&amp;MONTH(C7)&amp;"-1"</f>
        <v>2024-4-1</v>
      </c>
      <c r="D63" s="656">
        <f>EDATE(C63,-3)</f>
        <v>45292</v>
      </c>
      <c r="E63" s="656">
        <f>EDATE(D63,-3)</f>
        <v>45200</v>
      </c>
      <c r="F63" s="656">
        <f t="shared" ref="F63:O63" si="18">EDATE(E63,-3)</f>
        <v>45108</v>
      </c>
      <c r="G63" s="656">
        <f t="shared" si="18"/>
        <v>45017</v>
      </c>
      <c r="H63" s="656">
        <f t="shared" si="18"/>
        <v>44927</v>
      </c>
      <c r="I63" s="656">
        <f t="shared" si="18"/>
        <v>44835</v>
      </c>
      <c r="J63" s="656">
        <f t="shared" si="18"/>
        <v>44743</v>
      </c>
      <c r="K63" s="656">
        <f t="shared" si="18"/>
        <v>44652</v>
      </c>
      <c r="L63" s="656">
        <f t="shared" si="18"/>
        <v>44562</v>
      </c>
      <c r="M63" s="656">
        <f t="shared" si="18"/>
        <v>44470</v>
      </c>
      <c r="N63" s="656">
        <f t="shared" si="18"/>
        <v>44378</v>
      </c>
      <c r="O63" s="656">
        <f t="shared" si="18"/>
        <v>44287</v>
      </c>
      <c r="P63" s="2484"/>
      <c r="Q63" s="2484"/>
      <c r="R63" s="2484"/>
      <c r="S63" s="2484"/>
      <c r="T63" s="2484"/>
      <c r="U63" s="2484"/>
      <c r="V63" s="2484"/>
      <c r="W63" s="2484"/>
      <c r="X63" s="2484"/>
      <c r="Y63" s="2484"/>
      <c r="Z63" s="2484"/>
      <c r="AA63" s="2484"/>
      <c r="AB63" s="2484"/>
      <c r="AC63" s="2484"/>
      <c r="AD63" s="2484"/>
      <c r="AE63" s="2484"/>
    </row>
    <row r="64" spans="1:31" ht="21.75" thickBot="1">
      <c r="A64" s="658" t="s">
        <v>1793</v>
      </c>
      <c r="B64" s="385"/>
      <c r="C64" s="659"/>
      <c r="D64" s="659"/>
      <c r="E64" s="659"/>
      <c r="F64" s="660"/>
      <c r="G64" s="660"/>
      <c r="H64" s="659"/>
      <c r="I64" s="659"/>
      <c r="J64" s="659"/>
      <c r="K64" s="661"/>
      <c r="L64" s="662"/>
      <c r="M64" s="659"/>
      <c r="N64" s="659"/>
      <c r="O64" s="886"/>
      <c r="P64" s="2534"/>
      <c r="Q64" s="2505"/>
      <c r="R64" s="2484"/>
      <c r="S64" s="2484"/>
      <c r="T64" s="2484"/>
      <c r="U64" s="2484"/>
      <c r="V64" s="2484"/>
      <c r="W64" s="2484"/>
      <c r="X64" s="2484"/>
      <c r="Y64" s="2484"/>
      <c r="Z64" s="2484"/>
      <c r="AA64" s="2484"/>
      <c r="AB64" s="2484"/>
      <c r="AC64" s="2484"/>
      <c r="AD64" s="2484"/>
      <c r="AE64" s="2484"/>
    </row>
    <row r="65" spans="1:31" s="442" customFormat="1" ht="15">
      <c r="A65" s="1629" t="s">
        <v>1898</v>
      </c>
      <c r="B65" s="1046"/>
      <c r="C65" s="1100" t="str">
        <f>YEAR(C63)&amp;"-"&amp;ROUNDUP(MONTH(C63)/3,0)</f>
        <v>2024-2</v>
      </c>
      <c r="D65" s="1100" t="str">
        <f t="shared" ref="D65:O65" si="19">YEAR(D63)&amp;"-"&amp;ROUNDUP(MONTH(D63)/3,0)</f>
        <v>2024-1</v>
      </c>
      <c r="E65" s="1100" t="str">
        <f t="shared" si="19"/>
        <v>2023-4</v>
      </c>
      <c r="F65" s="1100" t="str">
        <f t="shared" si="19"/>
        <v>2023-3</v>
      </c>
      <c r="G65" s="1100" t="str">
        <f t="shared" si="19"/>
        <v>2023-2</v>
      </c>
      <c r="H65" s="1100" t="str">
        <f t="shared" si="19"/>
        <v>2023-1</v>
      </c>
      <c r="I65" s="1100" t="str">
        <f t="shared" si="19"/>
        <v>2022-4</v>
      </c>
      <c r="J65" s="1100" t="str">
        <f t="shared" si="19"/>
        <v>2022-3</v>
      </c>
      <c r="K65" s="1100" t="str">
        <f t="shared" si="19"/>
        <v>2022-2</v>
      </c>
      <c r="L65" s="1100" t="str">
        <f t="shared" si="19"/>
        <v>2022-1</v>
      </c>
      <c r="M65" s="1100" t="str">
        <f t="shared" si="19"/>
        <v>2021-4</v>
      </c>
      <c r="N65" s="1100" t="str">
        <f t="shared" si="19"/>
        <v>2021-3</v>
      </c>
      <c r="O65" s="1100" t="str">
        <f t="shared" si="19"/>
        <v>2021-2</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38" t="s">
        <v>1918</v>
      </c>
      <c r="B66" s="280" t="str">
        <f>"北京市平均增长率"&amp;TEXT(基准地价修正!P28,"0.00%")</f>
        <v>北京市平均增长率0.00%</v>
      </c>
      <c r="C66" s="530">
        <v>100</v>
      </c>
      <c r="D66" s="6"/>
      <c r="E66" s="6"/>
      <c r="F66" s="6"/>
      <c r="G66" s="6"/>
      <c r="H66" s="6"/>
      <c r="I66" s="6"/>
      <c r="J66" s="6"/>
      <c r="K66" s="6"/>
      <c r="L66" s="6"/>
      <c r="M66" s="1066"/>
      <c r="N66" s="1066"/>
      <c r="O66" s="1098"/>
      <c r="P66" s="2505"/>
      <c r="Q66" s="2436"/>
      <c r="R66" s="2436"/>
      <c r="S66" s="2436"/>
      <c r="T66" s="2436"/>
      <c r="U66" s="2436"/>
      <c r="V66" s="2436"/>
      <c r="W66" s="2436"/>
      <c r="X66" s="2436"/>
      <c r="Y66" s="2436"/>
      <c r="Z66" s="2436"/>
      <c r="AA66" s="2436"/>
      <c r="AB66" s="2436"/>
      <c r="AC66" s="2436"/>
      <c r="AD66" s="2436"/>
      <c r="AE66" s="2436"/>
    </row>
    <row r="67" spans="1:31" s="102" customFormat="1" ht="15.75" thickBot="1">
      <c r="A67" s="449" t="s">
        <v>1711</v>
      </c>
      <c r="B67" s="450"/>
      <c r="C67" s="451"/>
      <c r="D67" s="452"/>
      <c r="E67" s="452"/>
      <c r="F67" s="452"/>
      <c r="G67" s="452"/>
      <c r="H67" s="452"/>
      <c r="I67" s="452"/>
      <c r="J67" s="452"/>
      <c r="K67" s="452"/>
      <c r="L67" s="452"/>
      <c r="M67" s="453"/>
      <c r="N67" s="453"/>
      <c r="O67" s="454"/>
      <c r="P67" s="2505"/>
      <c r="Q67" s="2505"/>
      <c r="R67" s="2436"/>
      <c r="S67" s="2436"/>
      <c r="T67" s="2436"/>
      <c r="U67" s="2436"/>
      <c r="V67" s="2436"/>
      <c r="W67" s="2436"/>
      <c r="X67" s="2436"/>
      <c r="Y67" s="2436"/>
      <c r="Z67" s="2436"/>
      <c r="AA67" s="2436"/>
      <c r="AB67" s="2436"/>
      <c r="AC67" s="2436"/>
      <c r="AD67" s="2436"/>
      <c r="AE67" s="2436"/>
    </row>
    <row r="68" spans="1:31" s="102" customFormat="1" ht="15">
      <c r="A68" s="455" t="s">
        <v>1676</v>
      </c>
      <c r="B68" s="444"/>
      <c r="C68" s="456" t="s">
        <v>1771</v>
      </c>
      <c r="D68" s="31"/>
      <c r="E68" s="31"/>
      <c r="F68" s="31"/>
      <c r="G68" s="31"/>
      <c r="H68" s="31"/>
      <c r="I68" s="31"/>
      <c r="J68" s="31"/>
      <c r="K68" s="31"/>
      <c r="L68" s="457"/>
      <c r="M68" s="458"/>
      <c r="N68" s="2517"/>
      <c r="O68" s="2517"/>
      <c r="P68" s="2541"/>
      <c r="Q68" s="2505"/>
      <c r="R68" s="2436"/>
      <c r="S68" s="2436"/>
      <c r="T68" s="2436"/>
      <c r="U68" s="2436"/>
      <c r="V68" s="2436"/>
      <c r="W68" s="2436"/>
      <c r="X68" s="2436"/>
      <c r="Y68" s="2436"/>
      <c r="Z68" s="2436"/>
      <c r="AA68" s="2436"/>
      <c r="AB68" s="2436"/>
      <c r="AC68" s="2436"/>
      <c r="AD68" s="2436"/>
      <c r="AE68" s="2436"/>
    </row>
    <row r="69" spans="1:31" s="102" customFormat="1" ht="15.75" thickBot="1">
      <c r="A69" s="455"/>
      <c r="B69" s="444"/>
      <c r="C69" s="563">
        <v>100</v>
      </c>
      <c r="D69" s="446"/>
      <c r="E69" s="446"/>
      <c r="F69" s="446"/>
      <c r="G69" s="446"/>
      <c r="H69" s="446"/>
      <c r="I69" s="446"/>
      <c r="J69" s="446"/>
      <c r="K69" s="446"/>
      <c r="L69" s="446"/>
      <c r="M69" s="448"/>
      <c r="N69" s="2517"/>
      <c r="O69" s="2517"/>
      <c r="P69" s="2505"/>
      <c r="Q69" s="2505"/>
      <c r="R69" s="2436"/>
      <c r="S69" s="2436"/>
      <c r="T69" s="2436"/>
      <c r="U69" s="2436"/>
      <c r="V69" s="2436"/>
      <c r="W69" s="2436"/>
      <c r="X69" s="2436"/>
      <c r="Y69" s="2436"/>
      <c r="Z69" s="2436"/>
      <c r="AA69" s="2436"/>
      <c r="AB69" s="2436"/>
      <c r="AC69" s="2436"/>
      <c r="AD69" s="2436"/>
      <c r="AE69" s="2436"/>
    </row>
    <row r="70" spans="1:31">
      <c r="A70" s="379" t="s">
        <v>1714</v>
      </c>
      <c r="B70" s="460" t="s">
        <v>1680</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7"/>
      <c r="B72" s="469" t="s">
        <v>1683</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7"/>
      <c r="B74" s="477" t="s">
        <v>1684</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5.75"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5.75"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5.75"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5.75"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5.75"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5.75"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c r="A83" s="379" t="s">
        <v>1685</v>
      </c>
      <c r="B83" s="460" t="s">
        <v>1824</v>
      </c>
      <c r="C83" s="504" t="s">
        <v>1716</v>
      </c>
      <c r="D83" s="504" t="s">
        <v>1717</v>
      </c>
      <c r="E83" s="504" t="s">
        <v>1718</v>
      </c>
      <c r="F83" s="504" t="s">
        <v>1719</v>
      </c>
      <c r="G83" s="504" t="s">
        <v>1720</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7"/>
      <c r="B85" s="469" t="s">
        <v>1721</v>
      </c>
      <c r="C85" s="509" t="s">
        <v>1716</v>
      </c>
      <c r="D85" s="509" t="s">
        <v>1717</v>
      </c>
      <c r="E85" s="509" t="s">
        <v>1718</v>
      </c>
      <c r="F85" s="509" t="s">
        <v>1719</v>
      </c>
      <c r="G85" s="509" t="s">
        <v>1720</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70"/>
      <c r="B87" s="469" t="s">
        <v>1901</v>
      </c>
      <c r="C87" s="504" t="s">
        <v>1716</v>
      </c>
      <c r="D87" s="504" t="s">
        <v>1717</v>
      </c>
      <c r="E87" s="504" t="s">
        <v>1718</v>
      </c>
      <c r="F87" s="504" t="s">
        <v>1719</v>
      </c>
      <c r="G87" s="504" t="s">
        <v>1720</v>
      </c>
      <c r="H87" s="509"/>
      <c r="I87" s="509"/>
      <c r="J87" s="509"/>
      <c r="K87" s="509"/>
      <c r="L87" s="618"/>
      <c r="M87" s="547"/>
      <c r="N87" s="2517"/>
      <c r="O87" s="2517"/>
      <c r="P87" s="2517"/>
      <c r="Q87" s="2505"/>
      <c r="R87" s="2436"/>
      <c r="S87" s="2436"/>
      <c r="T87" s="2436"/>
      <c r="U87" s="2436"/>
      <c r="V87" s="2436"/>
      <c r="W87" s="2436"/>
      <c r="X87" s="2436"/>
      <c r="Y87" s="2436"/>
      <c r="Z87" s="2436"/>
      <c r="AA87" s="2436"/>
      <c r="AB87" s="2436"/>
      <c r="AC87" s="2436"/>
      <c r="AD87" s="2436"/>
      <c r="AE87" s="2436"/>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6"/>
      <c r="S88" s="2436"/>
      <c r="T88" s="2436"/>
      <c r="U88" s="2436"/>
      <c r="V88" s="2436"/>
      <c r="W88" s="2436"/>
      <c r="X88" s="2436"/>
      <c r="Y88" s="2436"/>
      <c r="Z88" s="2436"/>
      <c r="AA88" s="2436"/>
      <c r="AB88" s="2436"/>
      <c r="AC88" s="2436"/>
      <c r="AD88" s="2436"/>
      <c r="AE88" s="2436"/>
    </row>
    <row r="89" spans="1:31" s="102" customFormat="1" ht="27.75" thickTop="1">
      <c r="A89" s="370"/>
      <c r="B89" s="469" t="s">
        <v>1902</v>
      </c>
      <c r="C89" s="504" t="s">
        <v>1716</v>
      </c>
      <c r="D89" s="504" t="s">
        <v>1717</v>
      </c>
      <c r="E89" s="504" t="s">
        <v>1718</v>
      </c>
      <c r="F89" s="504" t="s">
        <v>1719</v>
      </c>
      <c r="G89" s="504" t="s">
        <v>1720</v>
      </c>
      <c r="H89" s="509"/>
      <c r="I89" s="509"/>
      <c r="J89" s="509"/>
      <c r="K89" s="509"/>
      <c r="L89" s="509"/>
      <c r="M89" s="547"/>
      <c r="N89" s="2517"/>
      <c r="O89" s="2517"/>
      <c r="P89" s="2517"/>
      <c r="Q89" s="2505"/>
      <c r="R89" s="2436"/>
      <c r="S89" s="2436"/>
      <c r="T89" s="2436"/>
      <c r="U89" s="2436"/>
      <c r="V89" s="2436"/>
      <c r="W89" s="2436"/>
      <c r="X89" s="2436"/>
      <c r="Y89" s="2436"/>
      <c r="Z89" s="2436"/>
      <c r="AA89" s="2436"/>
      <c r="AB89" s="2436"/>
      <c r="AC89" s="2436"/>
      <c r="AD89" s="2436"/>
      <c r="AE89" s="2436"/>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6"/>
      <c r="S90" s="2436"/>
      <c r="T90" s="2436"/>
      <c r="U90" s="2436"/>
      <c r="V90" s="2436"/>
      <c r="W90" s="2436"/>
      <c r="X90" s="2436"/>
      <c r="Y90" s="2436"/>
      <c r="Z90" s="2436"/>
      <c r="AA90" s="2436"/>
      <c r="AB90" s="2436"/>
      <c r="AC90" s="2436"/>
      <c r="AD90" s="2436"/>
      <c r="AE90" s="2436"/>
    </row>
    <row r="91" spans="1:31" s="408" customFormat="1" ht="15.75" thickTop="1">
      <c r="A91" s="484"/>
      <c r="B91" s="469" t="s">
        <v>1773</v>
      </c>
      <c r="C91" s="504" t="s">
        <v>1716</v>
      </c>
      <c r="D91" s="504" t="s">
        <v>1717</v>
      </c>
      <c r="E91" s="504" t="s">
        <v>1718</v>
      </c>
      <c r="F91" s="504" t="s">
        <v>1719</v>
      </c>
      <c r="G91" s="504" t="s">
        <v>1720</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75" thickTop="1">
      <c r="A93" s="484"/>
      <c r="B93" s="477" t="s">
        <v>1919</v>
      </c>
      <c r="C93" s="581" t="s">
        <v>1794</v>
      </c>
      <c r="D93" s="581" t="s">
        <v>1795</v>
      </c>
      <c r="E93" s="581" t="s">
        <v>1796</v>
      </c>
      <c r="F93" s="581" t="s">
        <v>1797</v>
      </c>
      <c r="G93" s="581" t="s">
        <v>1798</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7"/>
      <c r="B95" s="469" t="str">
        <f>B27</f>
        <v>临街状况</v>
      </c>
      <c r="C95" s="470" t="s">
        <v>1903</v>
      </c>
      <c r="D95" s="470" t="s">
        <v>1904</v>
      </c>
      <c r="E95" s="470" t="s">
        <v>1905</v>
      </c>
      <c r="F95" s="470" t="s">
        <v>1906</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7"/>
      <c r="B97" s="469" t="s">
        <v>1810</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7"/>
      <c r="B99" s="469" t="s">
        <v>1868</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5"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5.75"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9" t="s">
        <v>1689</v>
      </c>
      <c r="B107" s="460" t="s">
        <v>1907</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1908</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1910</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1911</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5"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5.75"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2077</v>
      </c>
      <c r="C1" s="3493" t="s">
        <v>2078</v>
      </c>
      <c r="D1" s="3494"/>
      <c r="E1" s="3494"/>
      <c r="F1" s="3494"/>
      <c r="G1" s="3494"/>
      <c r="H1" s="3494"/>
      <c r="I1" s="3494"/>
      <c r="J1" s="3494"/>
      <c r="K1" s="3494"/>
      <c r="L1" s="3494"/>
      <c r="M1" s="3494"/>
      <c r="N1" s="3494"/>
      <c r="O1" s="3494"/>
      <c r="P1" s="3494"/>
      <c r="Q1" s="3494"/>
      <c r="R1" s="3494"/>
      <c r="S1" s="3495"/>
      <c r="T1" s="929" t="s">
        <v>2079</v>
      </c>
    </row>
    <row r="2" spans="1:45" s="625" customFormat="1">
      <c r="A2" s="930"/>
      <c r="B2" s="622" t="s">
        <v>2080</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2081</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2082</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2083</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2084</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2085</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2086</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3" t="s">
        <v>2087</v>
      </c>
      <c r="B17" s="1984" t="s">
        <v>2088</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5" t="s">
        <v>2089</v>
      </c>
      <c r="E19" s="1252"/>
      <c r="F19" s="1252"/>
      <c r="G19" s="1252"/>
      <c r="H19" s="996"/>
      <c r="I19" s="151"/>
      <c r="J19" s="151"/>
      <c r="K19" s="151"/>
      <c r="L19" s="151"/>
      <c r="M19" s="151"/>
      <c r="N19" s="151"/>
      <c r="O19" s="151"/>
      <c r="P19" s="151"/>
      <c r="Q19" s="151"/>
      <c r="R19" s="151"/>
      <c r="S19" s="121"/>
    </row>
    <row r="20" spans="1:45" ht="16.5" thickBot="1">
      <c r="A20" s="632" t="s">
        <v>2090</v>
      </c>
      <c r="B20" s="286" t="e">
        <f ca="1">IF(D20="——",S22,S22-F20)</f>
        <v>#REF!</v>
      </c>
      <c r="C20" s="151"/>
      <c r="D20" s="1986"/>
      <c r="E20" s="1253"/>
      <c r="F20" s="929" t="e">
        <f ca="1">SUMIF(INDIRECT("'"&amp;H20&amp;"'"&amp;"!A:A"),"承租人权益价值",INDIRECT("'"&amp;H20&amp;"'"&amp;"!c:c"))</f>
        <v>#REF!</v>
      </c>
      <c r="G20" s="929" t="s">
        <v>2091</v>
      </c>
      <c r="H20" s="1987"/>
      <c r="I20" s="151"/>
      <c r="J20" s="151"/>
      <c r="K20" s="151"/>
      <c r="L20" s="151"/>
      <c r="M20" s="151"/>
      <c r="N20" s="151"/>
      <c r="O20" s="151"/>
      <c r="P20" s="151"/>
      <c r="Q20" s="151"/>
      <c r="R20" s="151"/>
      <c r="S20" s="121"/>
    </row>
    <row r="21" spans="1:45" ht="15.75">
      <c r="A21" s="632" t="s">
        <v>2092</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2093</v>
      </c>
      <c r="B22" s="21">
        <f>SUM(B24:B10000)</f>
        <v>0</v>
      </c>
      <c r="C22" s="3490" t="s">
        <v>27</v>
      </c>
      <c r="D22" s="3491"/>
      <c r="E22" s="3491"/>
      <c r="F22" s="3491"/>
      <c r="G22" s="3491"/>
      <c r="H22" s="3491"/>
      <c r="I22" s="3491"/>
      <c r="J22" s="3491"/>
      <c r="K22" s="3491"/>
      <c r="L22" s="3491"/>
      <c r="M22" s="3491"/>
      <c r="N22" s="3491"/>
      <c r="O22" s="3491"/>
      <c r="P22" s="3491"/>
      <c r="Q22" s="3492"/>
      <c r="R22" s="21" t="e">
        <f>ROUND(S22*10000/B22,0)</f>
        <v>#DIV/0!</v>
      </c>
      <c r="S22" s="21">
        <f>SUM(S24:S10000)</f>
        <v>0</v>
      </c>
    </row>
    <row r="23" spans="1:45" s="9" customFormat="1" ht="24">
      <c r="A23" s="8" t="s">
        <v>2094</v>
      </c>
      <c r="B23" s="8" t="s">
        <v>2095</v>
      </c>
      <c r="C23" s="8" t="s">
        <v>2096</v>
      </c>
      <c r="D23" s="8" t="str">
        <f>B5</f>
        <v>修正项2</v>
      </c>
      <c r="E23" s="8" t="s">
        <v>2096</v>
      </c>
      <c r="F23" s="8" t="str">
        <f>B7</f>
        <v>修正项3</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2099</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2075</v>
      </c>
      <c r="B1" s="4"/>
      <c r="C1" s="4"/>
      <c r="D1" s="4"/>
      <c r="E1" s="4"/>
      <c r="F1" s="2541"/>
      <c r="G1" s="2541"/>
      <c r="H1" s="2541"/>
      <c r="I1" s="2541"/>
      <c r="J1" s="2541"/>
      <c r="K1" s="2541"/>
      <c r="L1" s="2541"/>
      <c r="M1" s="2541"/>
      <c r="N1" s="2541"/>
      <c r="O1" s="2541"/>
      <c r="P1" s="2541"/>
    </row>
    <row r="2" spans="1:16" ht="15.75">
      <c r="A2" s="1981" t="s">
        <v>2067</v>
      </c>
      <c r="B2" s="2384">
        <f ca="1">SUMIF(B6:B13,"&lt;&gt;#ref!",B6:B13)</f>
        <v>16709</v>
      </c>
      <c r="C2" s="1981" t="s">
        <v>2068</v>
      </c>
      <c r="D2" s="1981" t="s">
        <v>2069</v>
      </c>
      <c r="E2" s="2394">
        <f ca="1">SUMIF(E6:E13,"&lt;&gt;#ref!",E6:E13)</f>
        <v>21560.34</v>
      </c>
      <c r="F2" s="2541"/>
      <c r="G2" s="2541"/>
      <c r="H2" s="2541"/>
      <c r="I2" s="2541"/>
      <c r="J2" s="2541"/>
      <c r="K2" s="2541"/>
      <c r="L2" s="2541"/>
      <c r="M2" s="2541"/>
      <c r="N2" s="2541"/>
      <c r="O2" s="2541"/>
      <c r="P2" s="2541"/>
    </row>
    <row r="3" spans="1:16" ht="15.75">
      <c r="A3" s="1981" t="s">
        <v>2070</v>
      </c>
      <c r="B3" s="2384">
        <f ca="1">ROUND(B2*10000/E2,0)</f>
        <v>7750</v>
      </c>
      <c r="C3" s="1981" t="s">
        <v>2076</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0" t="s">
        <v>2071</v>
      </c>
      <c r="B5" s="2392" t="s">
        <v>2072</v>
      </c>
      <c r="C5" s="1982"/>
      <c r="D5" s="2541"/>
      <c r="E5" s="2393" t="s">
        <v>2073</v>
      </c>
      <c r="F5" s="2541"/>
      <c r="G5" s="2541"/>
      <c r="H5" s="2541"/>
      <c r="I5" s="2541"/>
      <c r="J5" s="2541"/>
      <c r="K5" s="2541"/>
      <c r="L5" s="2541"/>
      <c r="M5" s="2541"/>
      <c r="N5" s="2541"/>
      <c r="O5" s="2541"/>
      <c r="P5" s="2541"/>
    </row>
    <row r="6" spans="1:16" ht="15.75">
      <c r="A6" s="2391" t="s">
        <v>2074</v>
      </c>
      <c r="B6" s="2384">
        <f ca="1">SUMIF(INDIRECT("'"&amp;A6&amp;"'"&amp;"!A:A"),"总价",INDIRECT("'"&amp;A6&amp;"'"&amp;"!B:B"))</f>
        <v>16709</v>
      </c>
      <c r="C6" s="1981" t="s">
        <v>2068</v>
      </c>
      <c r="D6" s="2541"/>
      <c r="E6" s="2394">
        <f ca="1">SUMIF(INDIRECT("'"&amp;A6&amp;"'"&amp;"!C:C"),"建筑面积",INDIRECT("'"&amp;A6&amp;"'"&amp;"!D:D"))</f>
        <v>21560.34</v>
      </c>
      <c r="F6" s="2541"/>
      <c r="G6" s="2541"/>
      <c r="H6" s="2541"/>
      <c r="I6" s="2541"/>
      <c r="J6" s="2541"/>
      <c r="K6" s="2541"/>
      <c r="L6" s="2541"/>
      <c r="M6" s="2541"/>
      <c r="N6" s="2541"/>
      <c r="O6" s="2541"/>
      <c r="P6" s="2541"/>
    </row>
    <row r="7" spans="1:16" ht="15.75">
      <c r="A7" s="2391"/>
      <c r="B7" s="2384" t="e">
        <f ca="1">SUMIF(INDIRECT("'"&amp;A7&amp;"'"&amp;"!A:A"),"总价",INDIRECT("'"&amp;A7&amp;"'"&amp;"!B:B"))</f>
        <v>#REF!</v>
      </c>
      <c r="C7" s="1981" t="s">
        <v>2068</v>
      </c>
      <c r="D7" s="2541"/>
      <c r="E7" s="2394" t="e">
        <f t="shared" ref="E7:E13" ca="1" si="0">SUMIF(INDIRECT("'"&amp;A7&amp;"'"&amp;"!C:C"),"建筑面积",INDIRECT("'"&amp;A7&amp;"'"&amp;"!D:D"))</f>
        <v>#REF!</v>
      </c>
      <c r="F7" s="2541"/>
      <c r="G7" s="2541"/>
      <c r="H7" s="2541"/>
      <c r="I7" s="2541"/>
      <c r="J7" s="2541"/>
      <c r="K7" s="2541"/>
      <c r="L7" s="2541"/>
      <c r="M7" s="2541"/>
      <c r="N7" s="2541"/>
      <c r="O7" s="2541"/>
      <c r="P7" s="2541"/>
    </row>
    <row r="8" spans="1:16" ht="15.75">
      <c r="A8" s="2391"/>
      <c r="B8" s="2384" t="e">
        <f t="shared" ref="B8:B13" ca="1" si="1">SUMIF(INDIRECT("'"&amp;A8&amp;"'"&amp;"!A:A"),"总价",INDIRECT("'"&amp;A8&amp;"'"&amp;"!B:B"))</f>
        <v>#REF!</v>
      </c>
      <c r="C8" s="1981" t="s">
        <v>2068</v>
      </c>
      <c r="D8" s="2541"/>
      <c r="E8" s="2394" t="e">
        <f t="shared" ca="1" si="0"/>
        <v>#REF!</v>
      </c>
      <c r="F8" s="2541"/>
      <c r="G8" s="2541"/>
      <c r="H8" s="2541"/>
      <c r="I8" s="2541"/>
      <c r="J8" s="2541"/>
      <c r="K8" s="2541"/>
      <c r="L8" s="2541"/>
      <c r="M8" s="2541"/>
      <c r="N8" s="2541"/>
      <c r="O8" s="2541"/>
      <c r="P8" s="2541"/>
    </row>
    <row r="9" spans="1:16" ht="15.75">
      <c r="A9" s="2391"/>
      <c r="B9" s="2384" t="e">
        <f t="shared" ca="1" si="1"/>
        <v>#REF!</v>
      </c>
      <c r="C9" s="1981" t="s">
        <v>2068</v>
      </c>
      <c r="D9" s="2541"/>
      <c r="E9" s="2394" t="e">
        <f t="shared" ca="1" si="0"/>
        <v>#REF!</v>
      </c>
      <c r="F9" s="2541"/>
      <c r="G9" s="2541"/>
      <c r="H9" s="2541"/>
      <c r="I9" s="2541"/>
      <c r="J9" s="2541"/>
      <c r="K9" s="2541"/>
      <c r="L9" s="2541"/>
      <c r="M9" s="2541"/>
      <c r="N9" s="2541"/>
      <c r="O9" s="2541"/>
      <c r="P9" s="2541"/>
    </row>
    <row r="10" spans="1:16" ht="15.75">
      <c r="A10" s="2391"/>
      <c r="B10" s="2384" t="e">
        <f t="shared" ca="1" si="1"/>
        <v>#REF!</v>
      </c>
      <c r="C10" s="1981" t="s">
        <v>2068</v>
      </c>
      <c r="D10" s="2541"/>
      <c r="E10" s="2394" t="e">
        <f t="shared" ca="1" si="0"/>
        <v>#REF!</v>
      </c>
      <c r="F10" s="2541"/>
      <c r="G10" s="2541"/>
      <c r="H10" s="2541"/>
      <c r="I10" s="2541"/>
      <c r="J10" s="2541"/>
      <c r="K10" s="2541"/>
      <c r="L10" s="2541"/>
      <c r="M10" s="2541"/>
      <c r="N10" s="2541"/>
      <c r="O10" s="2541"/>
      <c r="P10" s="2541"/>
    </row>
    <row r="11" spans="1:16" ht="15.75">
      <c r="A11" s="2391"/>
      <c r="B11" s="2384" t="e">
        <f t="shared" ca="1" si="1"/>
        <v>#REF!</v>
      </c>
      <c r="C11" s="1981" t="s">
        <v>2068</v>
      </c>
      <c r="D11" s="2541"/>
      <c r="E11" s="2394" t="e">
        <f t="shared" ca="1" si="0"/>
        <v>#REF!</v>
      </c>
      <c r="F11" s="2541"/>
      <c r="G11" s="2541"/>
      <c r="H11" s="2541"/>
      <c r="I11" s="2541"/>
      <c r="J11" s="2541"/>
      <c r="K11" s="2541"/>
      <c r="L11" s="2541"/>
      <c r="M11" s="2541"/>
      <c r="N11" s="2541"/>
      <c r="O11" s="2541"/>
      <c r="P11" s="2541"/>
    </row>
    <row r="12" spans="1:16" ht="15.75">
      <c r="A12" s="2391"/>
      <c r="B12" s="2384" t="e">
        <f t="shared" ca="1" si="1"/>
        <v>#REF!</v>
      </c>
      <c r="C12" s="1981" t="s">
        <v>2068</v>
      </c>
      <c r="D12" s="2541"/>
      <c r="E12" s="2394" t="e">
        <f t="shared" ca="1" si="0"/>
        <v>#REF!</v>
      </c>
      <c r="F12" s="2541"/>
      <c r="G12" s="2541"/>
      <c r="H12" s="2541"/>
      <c r="I12" s="2541"/>
      <c r="J12" s="2541"/>
      <c r="K12" s="2541"/>
      <c r="L12" s="2541"/>
      <c r="M12" s="2541"/>
      <c r="N12" s="2541"/>
      <c r="O12" s="2541"/>
      <c r="P12" s="2541"/>
    </row>
    <row r="13" spans="1:16" ht="15.75">
      <c r="A13" s="2391"/>
      <c r="B13" s="2384" t="e">
        <f t="shared" ca="1" si="1"/>
        <v>#REF!</v>
      </c>
      <c r="C13" s="1981" t="s">
        <v>2068</v>
      </c>
      <c r="D13" s="2541"/>
      <c r="E13" s="2394"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148"/>
  <sheetViews>
    <sheetView view="pageBreakPreview" zoomScale="85" zoomScaleNormal="60" zoomScaleSheetLayoutView="85" workbookViewId="0">
      <selection activeCell="M20" sqref="M20"/>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1655</v>
      </c>
      <c r="B1" s="1733" t="s">
        <v>1656</v>
      </c>
      <c r="C1" s="1154" t="s">
        <v>1657</v>
      </c>
      <c r="D1" s="1141" t="s">
        <v>3906</v>
      </c>
      <c r="E1" s="3121" t="s">
        <v>3858</v>
      </c>
      <c r="F1" s="1734" t="s">
        <v>3859</v>
      </c>
      <c r="G1" s="1151" t="s">
        <v>1658</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680</v>
      </c>
      <c r="B2" s="3122">
        <f>IF(E1="项目模式",IF(C2="——",ROUND(C49*D3/10000,0),ROUND(C49*D3/10000,0)-D2),IF(E1="单套模式",IF(C2="——",ROUND(C49*D3/10000,4),ROUND(C49*D3/10000,4)-D2)))</f>
        <v>0.28349999999999997</v>
      </c>
      <c r="C2" s="1736" t="s">
        <v>43</v>
      </c>
      <c r="D2" s="1052" t="e">
        <f ca="1">IF(E1="项目模式",SUMIF(INDIRECT("'"&amp;F2&amp;"'"&amp;"!A:A"),"承租人权益价值",INDIRECT("'"&amp;F2&amp;"'"&amp;"!c:c")),SUMIF(INDIRECT("'"&amp;F2&amp;"'"&amp;"!A:A"),"承租人权益价值（单套）",INDIRECT("'"&amp;F2&amp;"'"&amp;"!c:c")))</f>
        <v>#REF!</v>
      </c>
      <c r="E2" s="1737" t="s">
        <v>1659</v>
      </c>
      <c r="F2" s="1738"/>
      <c r="G2" s="854"/>
      <c r="H2" s="854"/>
      <c r="I2" s="854"/>
      <c r="J2" s="854"/>
      <c r="K2" s="1739"/>
      <c r="L2" s="2481"/>
      <c r="M2" s="2482"/>
      <c r="N2" s="2482"/>
      <c r="O2" s="2482"/>
      <c r="P2" s="1740"/>
      <c r="Q2" s="1741"/>
      <c r="R2" s="1741"/>
      <c r="S2" s="1741"/>
      <c r="T2" s="1741"/>
      <c r="U2" s="1741"/>
      <c r="V2" s="1741"/>
      <c r="W2" s="1741"/>
      <c r="X2" s="1741"/>
      <c r="Y2" s="1741"/>
      <c r="Z2" s="1741"/>
      <c r="AA2" s="1741"/>
      <c r="AB2" s="1741"/>
      <c r="AC2" s="998"/>
    </row>
    <row r="3" spans="1:29" s="338" customFormat="1" ht="28.5" customHeight="1" thickBot="1">
      <c r="A3" s="195" t="s">
        <v>681</v>
      </c>
      <c r="B3" s="343">
        <f>IF(C2="——",C49,ROUND(B2*10000/D3,0))</f>
        <v>2.2999999999999998</v>
      </c>
      <c r="C3" s="344" t="s">
        <v>1660</v>
      </c>
      <c r="D3" s="343">
        <f>IF(D1="",'数据-汇总表'!E3,SUMIF('数据-汇总表'!$C19:$C33,D1,'数据-汇总表'!$E19:$E33))</f>
        <v>1232.79</v>
      </c>
      <c r="E3" s="854"/>
      <c r="F3" s="1742"/>
      <c r="G3" s="854"/>
      <c r="H3" s="854"/>
      <c r="I3" s="854"/>
      <c r="J3" s="854"/>
      <c r="K3" s="1739"/>
      <c r="L3" s="2481"/>
      <c r="M3" s="2482"/>
      <c r="N3" s="2482"/>
      <c r="O3" s="2482"/>
      <c r="P3" s="1740"/>
      <c r="Q3" s="1741"/>
      <c r="R3" s="1741"/>
      <c r="S3" s="1741"/>
      <c r="T3" s="1741"/>
      <c r="U3" s="1741"/>
      <c r="V3" s="1741"/>
      <c r="W3" s="1741"/>
      <c r="X3" s="1741"/>
      <c r="Y3" s="1741"/>
      <c r="Z3" s="1741"/>
      <c r="AA3" s="1741"/>
      <c r="AB3" s="1741"/>
      <c r="AC3" s="998"/>
    </row>
    <row r="4" spans="1:29" ht="15">
      <c r="A4" s="345" t="s">
        <v>1661</v>
      </c>
      <c r="B4" s="346"/>
      <c r="C4" s="3439" t="s">
        <v>1662</v>
      </c>
      <c r="D4" s="3440"/>
      <c r="E4" s="3441" t="s">
        <v>1663</v>
      </c>
      <c r="F4" s="3442"/>
      <c r="G4" s="3439" t="s">
        <v>1664</v>
      </c>
      <c r="H4" s="3440"/>
      <c r="I4" s="3439" t="s">
        <v>1665</v>
      </c>
      <c r="J4" s="3440"/>
      <c r="K4" s="1743" t="s">
        <v>1666</v>
      </c>
      <c r="L4" s="2483"/>
      <c r="M4" s="2484"/>
      <c r="N4" s="2484"/>
      <c r="O4" s="2484"/>
      <c r="P4" s="3443" t="s">
        <v>1667</v>
      </c>
      <c r="Q4" s="3444"/>
      <c r="R4" s="3449" t="s">
        <v>1663</v>
      </c>
      <c r="S4" s="3450"/>
      <c r="T4" s="3449" t="s">
        <v>1664</v>
      </c>
      <c r="U4" s="3450"/>
      <c r="V4" s="3422" t="s">
        <v>1665</v>
      </c>
      <c r="W4" s="3422"/>
      <c r="X4" s="1264"/>
      <c r="Y4" s="3449" t="s">
        <v>1667</v>
      </c>
      <c r="Z4" s="3450"/>
      <c r="AA4" s="3436" t="s">
        <v>1663</v>
      </c>
      <c r="AB4" s="3436" t="s">
        <v>1664</v>
      </c>
      <c r="AC4" s="3436" t="s">
        <v>1665</v>
      </c>
    </row>
    <row r="5" spans="1:29" ht="15">
      <c r="A5" s="348"/>
      <c r="B5" s="349"/>
      <c r="C5" s="3457" t="s">
        <v>1668</v>
      </c>
      <c r="D5" s="3458"/>
      <c r="E5" s="3497" t="s">
        <v>3860</v>
      </c>
      <c r="F5" s="3465"/>
      <c r="G5" s="3496" t="s">
        <v>3861</v>
      </c>
      <c r="H5" s="3458"/>
      <c r="I5" s="3496" t="s">
        <v>3862</v>
      </c>
      <c r="J5" s="3458"/>
      <c r="K5" s="1744"/>
      <c r="L5" s="2483"/>
      <c r="M5" s="2484"/>
      <c r="N5" s="2484"/>
      <c r="O5" s="2484"/>
      <c r="P5" s="3445"/>
      <c r="Q5" s="3446"/>
      <c r="R5" s="3451"/>
      <c r="S5" s="3452"/>
      <c r="T5" s="3451"/>
      <c r="U5" s="3452"/>
      <c r="V5" s="3422"/>
      <c r="W5" s="3422"/>
      <c r="X5" s="1264"/>
      <c r="Y5" s="3451"/>
      <c r="Z5" s="3452"/>
      <c r="AA5" s="3437"/>
      <c r="AB5" s="3437"/>
      <c r="AC5" s="3437"/>
    </row>
    <row r="6" spans="1:29" ht="15.75" thickBot="1">
      <c r="A6" s="350"/>
      <c r="B6" s="351"/>
      <c r="C6" s="3455" t="s">
        <v>1672</v>
      </c>
      <c r="D6" s="3456"/>
      <c r="E6" s="3462" t="s">
        <v>1672</v>
      </c>
      <c r="F6" s="3463"/>
      <c r="G6" s="3455" t="s">
        <v>1672</v>
      </c>
      <c r="H6" s="3456"/>
      <c r="I6" s="3455" t="s">
        <v>1672</v>
      </c>
      <c r="J6" s="3456"/>
      <c r="K6" s="1744" t="s">
        <v>1673</v>
      </c>
      <c r="L6" s="2483"/>
      <c r="M6" s="2484"/>
      <c r="N6" s="2484"/>
      <c r="O6" s="2484"/>
      <c r="P6" s="3447"/>
      <c r="Q6" s="3448"/>
      <c r="R6" s="3451"/>
      <c r="S6" s="3452"/>
      <c r="T6" s="3453"/>
      <c r="U6" s="3454"/>
      <c r="V6" s="3422"/>
      <c r="W6" s="3422"/>
      <c r="X6" s="1264"/>
      <c r="Y6" s="3453"/>
      <c r="Z6" s="3454"/>
      <c r="AA6" s="3438"/>
      <c r="AB6" s="3438"/>
      <c r="AC6" s="3438"/>
    </row>
    <row r="7" spans="1:29" s="102" customFormat="1" ht="15.75" thickBot="1">
      <c r="A7" s="352" t="s">
        <v>1674</v>
      </c>
      <c r="B7" s="353"/>
      <c r="C7" s="354">
        <f>'数据-取费表'!B2</f>
        <v>45383</v>
      </c>
      <c r="D7" s="355">
        <v>100</v>
      </c>
      <c r="E7" s="356">
        <f>C7</f>
        <v>45383</v>
      </c>
      <c r="F7" s="357">
        <f>SUMIF(58:58,YEAR(E7)&amp;"-"&amp;MONTH(E7),59:59)</f>
        <v>100</v>
      </c>
      <c r="G7" s="356">
        <f>C7</f>
        <v>45383</v>
      </c>
      <c r="H7" s="355">
        <f>SUMIF(58:58,YEAR(G7)&amp;"-"&amp;MONTH(G7),59:59)</f>
        <v>100</v>
      </c>
      <c r="I7" s="356">
        <f>C7</f>
        <v>45383</v>
      </c>
      <c r="J7" s="355">
        <f>SUMIF(58:58,YEAR(I7)&amp;"-"&amp;MONTH(I7),59:59)</f>
        <v>100</v>
      </c>
      <c r="K7" s="1745"/>
      <c r="L7" s="2485"/>
      <c r="M7" s="2436"/>
      <c r="N7" s="2436"/>
      <c r="O7" s="2436"/>
      <c r="P7" s="3459" t="s">
        <v>1675</v>
      </c>
      <c r="Q7" s="3461"/>
      <c r="R7" s="664" t="s">
        <v>20</v>
      </c>
      <c r="S7" s="665">
        <f t="shared" ref="S7:S15" si="0">F7</f>
        <v>100</v>
      </c>
      <c r="T7" s="664" t="s">
        <v>20</v>
      </c>
      <c r="U7" s="665">
        <f t="shared" ref="U7:U15" si="1">H7</f>
        <v>100</v>
      </c>
      <c r="V7" s="664" t="s">
        <v>20</v>
      </c>
      <c r="W7" s="665">
        <f t="shared" ref="W7:W15" si="2">J7</f>
        <v>100</v>
      </c>
      <c r="X7" s="666"/>
      <c r="Y7" s="3459" t="s">
        <v>1675</v>
      </c>
      <c r="Z7" s="3460"/>
      <c r="AA7" s="50">
        <f>D7/F7</f>
        <v>1</v>
      </c>
      <c r="AB7" s="50">
        <f>D7/H7</f>
        <v>1</v>
      </c>
      <c r="AC7" s="50">
        <f>D7/J7</f>
        <v>1</v>
      </c>
    </row>
    <row r="8" spans="1:29" s="102" customFormat="1" ht="15.75" thickBot="1">
      <c r="A8" s="352" t="s">
        <v>1676</v>
      </c>
      <c r="B8" s="353"/>
      <c r="C8" s="358" t="s">
        <v>3802</v>
      </c>
      <c r="D8" s="355">
        <v>100</v>
      </c>
      <c r="E8" s="1746" t="s">
        <v>3865</v>
      </c>
      <c r="F8" s="357">
        <f>SUMIF(61:61,E8,62:62)-SUMIF(61:61,C8,62:62)+100</f>
        <v>102</v>
      </c>
      <c r="G8" s="358" t="s">
        <v>3865</v>
      </c>
      <c r="H8" s="355">
        <f>SUMIF(61:61,G8,62:62)-SUMIF(61:61,C8,62:62)+100</f>
        <v>102</v>
      </c>
      <c r="I8" s="1746" t="s">
        <v>3865</v>
      </c>
      <c r="J8" s="355">
        <f>SUMIF(61:61,I8,62:62)-SUMIF(61:61,C8,62:62)+100</f>
        <v>102</v>
      </c>
      <c r="K8" s="1745"/>
      <c r="L8" s="2485"/>
      <c r="M8" s="2436"/>
      <c r="N8" s="2436"/>
      <c r="O8" s="2436"/>
      <c r="P8" s="3459" t="s">
        <v>1678</v>
      </c>
      <c r="Q8" s="3460"/>
      <c r="R8" s="664" t="s">
        <v>20</v>
      </c>
      <c r="S8" s="665">
        <f t="shared" si="0"/>
        <v>102</v>
      </c>
      <c r="T8" s="664" t="s">
        <v>20</v>
      </c>
      <c r="U8" s="665">
        <f t="shared" si="1"/>
        <v>102</v>
      </c>
      <c r="V8" s="664" t="s">
        <v>20</v>
      </c>
      <c r="W8" s="665">
        <f t="shared" si="2"/>
        <v>102</v>
      </c>
      <c r="X8" s="666"/>
      <c r="Y8" s="3459" t="s">
        <v>1678</v>
      </c>
      <c r="Z8" s="3460"/>
      <c r="AA8" s="50">
        <f t="shared" ref="AA8:AA19" si="3">D8/F8</f>
        <v>0.98039215686274506</v>
      </c>
      <c r="AB8" s="50">
        <f t="shared" ref="AB8:AB19" si="4">D8/H8</f>
        <v>0.98039215686274506</v>
      </c>
      <c r="AC8" s="50">
        <f t="shared" ref="AC8:AC19" si="5">D8/J8</f>
        <v>0.98039215686274506</v>
      </c>
    </row>
    <row r="9" spans="1:29" s="102" customFormat="1">
      <c r="A9" s="359" t="s">
        <v>1679</v>
      </c>
      <c r="B9" s="60" t="s">
        <v>1680</v>
      </c>
      <c r="C9" s="3192" t="s">
        <v>3864</v>
      </c>
      <c r="D9" s="59">
        <v>100</v>
      </c>
      <c r="E9" s="361" t="s">
        <v>3863</v>
      </c>
      <c r="F9" s="60">
        <f>SUMIF(63:63,E9,64:64)-SUMIF(63:63,C9,64:64)+100</f>
        <v>100</v>
      </c>
      <c r="G9" s="362" t="s">
        <v>3863</v>
      </c>
      <c r="H9" s="59">
        <f>SUMIF(63:63,G9,64:64)-SUMIF(63:63,C9,64:64)+100</f>
        <v>100</v>
      </c>
      <c r="I9" s="362" t="s">
        <v>3863</v>
      </c>
      <c r="J9" s="59">
        <f>SUMIF(63:63,I9,64:64)-SUMIF(63:63,C9,64:64)+100</f>
        <v>100</v>
      </c>
      <c r="K9" s="1745"/>
      <c r="L9" s="2485"/>
      <c r="M9" s="2436"/>
      <c r="N9" s="2436"/>
      <c r="O9" s="2436"/>
      <c r="P9" s="3435" t="s">
        <v>1681</v>
      </c>
      <c r="Q9" s="530" t="str">
        <f t="shared" ref="Q9:Q15" si="6">B9</f>
        <v>用途</v>
      </c>
      <c r="R9" s="664" t="s">
        <v>14</v>
      </c>
      <c r="S9" s="665">
        <f t="shared" si="0"/>
        <v>100</v>
      </c>
      <c r="T9" s="664" t="s">
        <v>14</v>
      </c>
      <c r="U9" s="665">
        <f t="shared" si="1"/>
        <v>100</v>
      </c>
      <c r="V9" s="664" t="s">
        <v>14</v>
      </c>
      <c r="W9" s="665">
        <f t="shared" si="2"/>
        <v>100</v>
      </c>
      <c r="X9" s="666"/>
      <c r="Y9" s="3299" t="s">
        <v>1682</v>
      </c>
      <c r="Z9" s="50" t="str">
        <f t="shared" ref="Z9:Z15" si="7">Q9</f>
        <v>用途</v>
      </c>
      <c r="AA9" s="50">
        <f t="shared" si="3"/>
        <v>1</v>
      </c>
      <c r="AB9" s="50">
        <f t="shared" si="4"/>
        <v>1</v>
      </c>
      <c r="AC9" s="50">
        <f t="shared" si="5"/>
        <v>1</v>
      </c>
    </row>
    <row r="10" spans="1:29" s="366" customFormat="1" ht="27">
      <c r="A10" s="363"/>
      <c r="B10" s="364" t="s">
        <v>1683</v>
      </c>
      <c r="C10" s="3129"/>
      <c r="D10" s="119">
        <v>100</v>
      </c>
      <c r="E10" s="3130"/>
      <c r="F10" s="364">
        <f>SUMIF(65:65,E10,66:66)-SUMIF(65:65,C10,66:66)+100</f>
        <v>100</v>
      </c>
      <c r="G10" s="3129"/>
      <c r="H10" s="119">
        <f>SUMIF(65:65,G10,66:66)-SUMIF(65:65,C10,66:66)+100</f>
        <v>100</v>
      </c>
      <c r="I10" s="3129"/>
      <c r="J10" s="119">
        <f>SUMIF(65:65,I10,66:66)-SUMIF(65:65,C10,66:66)+100</f>
        <v>100</v>
      </c>
      <c r="K10" s="1745"/>
      <c r="L10" s="2486"/>
      <c r="M10" s="2487"/>
      <c r="N10" s="2487"/>
      <c r="O10" s="2487"/>
      <c r="P10" s="3435"/>
      <c r="Q10" s="530" t="str">
        <f t="shared" si="6"/>
        <v>土地使用年限（年）</v>
      </c>
      <c r="R10" s="664" t="s">
        <v>14</v>
      </c>
      <c r="S10" s="665">
        <f t="shared" si="0"/>
        <v>100</v>
      </c>
      <c r="T10" s="664" t="s">
        <v>14</v>
      </c>
      <c r="U10" s="665">
        <f t="shared" si="1"/>
        <v>100</v>
      </c>
      <c r="V10" s="664" t="s">
        <v>14</v>
      </c>
      <c r="W10" s="665">
        <f t="shared" si="2"/>
        <v>100</v>
      </c>
      <c r="X10" s="666"/>
      <c r="Y10" s="3299"/>
      <c r="Z10" s="50" t="str">
        <f t="shared" si="7"/>
        <v>土地使用年限（年）</v>
      </c>
      <c r="AA10" s="50">
        <f t="shared" si="3"/>
        <v>1</v>
      </c>
      <c r="AB10" s="50">
        <f t="shared" si="4"/>
        <v>1</v>
      </c>
      <c r="AC10" s="50">
        <f t="shared" si="5"/>
        <v>1</v>
      </c>
    </row>
    <row r="11" spans="1:29" ht="15.75" thickBot="1">
      <c r="A11" s="367"/>
      <c r="B11" s="364" t="s">
        <v>1684</v>
      </c>
      <c r="C11" s="368"/>
      <c r="D11" s="119">
        <v>100</v>
      </c>
      <c r="E11" s="369"/>
      <c r="F11" s="364">
        <f>LOOKUP(E11,68:68,69:69)-LOOKUP(C11,68:68,69:69)+100</f>
        <v>100</v>
      </c>
      <c r="G11" s="368"/>
      <c r="H11" s="119">
        <f>LOOKUP(G11,68:68,69:69)-LOOKUP(C11,68:68,69:69)+100</f>
        <v>100</v>
      </c>
      <c r="I11" s="368"/>
      <c r="J11" s="119">
        <f>LOOKUP(I11,68:68,69:69)-LOOKUP(C11,68:68,69:69)+100</f>
        <v>100</v>
      </c>
      <c r="K11" s="365"/>
      <c r="L11" s="2488"/>
      <c r="M11" s="2484"/>
      <c r="N11" s="2484"/>
      <c r="O11" s="2484"/>
      <c r="P11" s="3435"/>
      <c r="Q11" s="530" t="str">
        <f t="shared" si="6"/>
        <v>容积率</v>
      </c>
      <c r="R11" s="664" t="s">
        <v>18</v>
      </c>
      <c r="S11" s="665">
        <f t="shared" si="0"/>
        <v>100</v>
      </c>
      <c r="T11" s="664" t="s">
        <v>18</v>
      </c>
      <c r="U11" s="665">
        <f t="shared" si="1"/>
        <v>100</v>
      </c>
      <c r="V11" s="664" t="s">
        <v>18</v>
      </c>
      <c r="W11" s="665">
        <f t="shared" si="2"/>
        <v>100</v>
      </c>
      <c r="X11" s="666"/>
      <c r="Y11" s="3299"/>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5"/>
      <c r="M12" s="2436"/>
      <c r="N12" s="2436"/>
      <c r="O12" s="2436"/>
      <c r="P12" s="3435"/>
      <c r="Q12" s="530">
        <f t="shared" si="6"/>
        <v>111</v>
      </c>
      <c r="R12" s="664" t="s">
        <v>18</v>
      </c>
      <c r="S12" s="665">
        <f t="shared" si="0"/>
        <v>100</v>
      </c>
      <c r="T12" s="664" t="s">
        <v>18</v>
      </c>
      <c r="U12" s="665">
        <f t="shared" si="1"/>
        <v>100</v>
      </c>
      <c r="V12" s="664" t="s">
        <v>18</v>
      </c>
      <c r="W12" s="665">
        <f t="shared" si="2"/>
        <v>100</v>
      </c>
      <c r="X12" s="666"/>
      <c r="Y12" s="3299"/>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9"/>
      <c r="M13" s="2484"/>
      <c r="N13" s="2484"/>
      <c r="O13" s="2484"/>
      <c r="P13" s="3435"/>
      <c r="Q13" s="530">
        <f t="shared" si="6"/>
        <v>111</v>
      </c>
      <c r="R13" s="664" t="s">
        <v>18</v>
      </c>
      <c r="S13" s="665">
        <f t="shared" si="0"/>
        <v>100</v>
      </c>
      <c r="T13" s="664" t="s">
        <v>18</v>
      </c>
      <c r="U13" s="665">
        <f t="shared" si="1"/>
        <v>100</v>
      </c>
      <c r="V13" s="664" t="s">
        <v>18</v>
      </c>
      <c r="W13" s="665">
        <f t="shared" si="2"/>
        <v>100</v>
      </c>
      <c r="X13" s="666"/>
      <c r="Y13" s="3299"/>
      <c r="Z13" s="50">
        <f t="shared" si="7"/>
        <v>111</v>
      </c>
      <c r="AA13" s="50">
        <f t="shared" si="3"/>
        <v>1</v>
      </c>
      <c r="AB13" s="50">
        <f t="shared" si="4"/>
        <v>1</v>
      </c>
      <c r="AC13" s="50">
        <f t="shared" si="5"/>
        <v>1</v>
      </c>
    </row>
    <row r="14" spans="1:29" ht="15.75" hidden="1"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9"/>
      <c r="M14" s="2484"/>
      <c r="N14" s="2484"/>
      <c r="O14" s="2484"/>
      <c r="P14" s="3435"/>
      <c r="Q14" s="530">
        <f t="shared" si="6"/>
        <v>111</v>
      </c>
      <c r="R14" s="664" t="s">
        <v>18</v>
      </c>
      <c r="S14" s="665">
        <f t="shared" si="0"/>
        <v>100</v>
      </c>
      <c r="T14" s="664" t="s">
        <v>18</v>
      </c>
      <c r="U14" s="665">
        <f t="shared" si="1"/>
        <v>100</v>
      </c>
      <c r="V14" s="664" t="s">
        <v>18</v>
      </c>
      <c r="W14" s="665">
        <f t="shared" si="2"/>
        <v>100</v>
      </c>
      <c r="X14" s="666"/>
      <c r="Y14" s="3299"/>
      <c r="Z14" s="50">
        <f t="shared" si="7"/>
        <v>111</v>
      </c>
      <c r="AA14" s="50">
        <f t="shared" si="3"/>
        <v>1</v>
      </c>
      <c r="AB14" s="50">
        <f t="shared" si="4"/>
        <v>1</v>
      </c>
      <c r="AC14" s="50">
        <f t="shared" si="5"/>
        <v>1</v>
      </c>
    </row>
    <row r="15" spans="1:29" ht="15">
      <c r="A15" s="379" t="s">
        <v>1685</v>
      </c>
      <c r="B15" s="58" t="s">
        <v>1252</v>
      </c>
      <c r="C15" s="1749">
        <f>估价对象房地状况!C3</f>
        <v>0</v>
      </c>
      <c r="D15" s="380">
        <v>100</v>
      </c>
      <c r="E15" s="383"/>
      <c r="F15" s="380">
        <f>SUMIF(76:76,E16,77:77)-SUMIF(76:76,C16,77:77)+100</f>
        <v>100</v>
      </c>
      <c r="G15" s="381"/>
      <c r="H15" s="380">
        <f>SUMIF(76:76,G16,77:77)-SUMIF(76:76,C16,77:77)+100</f>
        <v>100</v>
      </c>
      <c r="I15" s="381"/>
      <c r="J15" s="380">
        <f>SUMIF(76:76,I16,77:77)-SUMIF(76:76,C16,77:77)+100</f>
        <v>102</v>
      </c>
      <c r="K15" s="384">
        <v>2</v>
      </c>
      <c r="L15" s="2489"/>
      <c r="M15" s="2484"/>
      <c r="N15" s="2484"/>
      <c r="O15" s="2484"/>
      <c r="P15" s="3426" t="s">
        <v>1686</v>
      </c>
      <c r="Q15" s="1262" t="str">
        <f t="shared" si="6"/>
        <v>居住社区成熟度</v>
      </c>
      <c r="R15" s="667" t="s">
        <v>18</v>
      </c>
      <c r="S15" s="668">
        <f t="shared" si="0"/>
        <v>100</v>
      </c>
      <c r="T15" s="667" t="s">
        <v>18</v>
      </c>
      <c r="U15" s="668">
        <f t="shared" si="1"/>
        <v>100</v>
      </c>
      <c r="V15" s="667" t="s">
        <v>18</v>
      </c>
      <c r="W15" s="668">
        <f t="shared" si="2"/>
        <v>102</v>
      </c>
      <c r="X15" s="1264"/>
      <c r="Y15" s="3428" t="s">
        <v>1686</v>
      </c>
      <c r="Z15" s="1263" t="str">
        <f t="shared" si="7"/>
        <v>居住社区成熟度</v>
      </c>
      <c r="AA15" s="1263">
        <f t="shared" si="3"/>
        <v>1</v>
      </c>
      <c r="AB15" s="1263">
        <f t="shared" si="4"/>
        <v>1</v>
      </c>
      <c r="AC15" s="1263">
        <f t="shared" si="5"/>
        <v>0.98039215686274506</v>
      </c>
    </row>
    <row r="16" spans="1:29" ht="15">
      <c r="A16" s="367"/>
      <c r="B16" s="385"/>
      <c r="C16" s="386" t="s">
        <v>3817</v>
      </c>
      <c r="D16" s="387"/>
      <c r="E16" s="1750" t="s">
        <v>3817</v>
      </c>
      <c r="F16" s="387"/>
      <c r="G16" s="1751" t="s">
        <v>3817</v>
      </c>
      <c r="H16" s="389"/>
      <c r="I16" s="1751" t="s">
        <v>3821</v>
      </c>
      <c r="J16" s="387"/>
      <c r="K16" s="1752"/>
      <c r="L16" s="2489"/>
      <c r="M16" s="2484"/>
      <c r="N16" s="2484"/>
      <c r="O16" s="2484"/>
      <c r="P16" s="3427"/>
      <c r="Q16" s="1262"/>
      <c r="R16" s="667"/>
      <c r="S16" s="668"/>
      <c r="T16" s="667"/>
      <c r="U16" s="668"/>
      <c r="V16" s="667"/>
      <c r="W16" s="668"/>
      <c r="X16" s="1264"/>
      <c r="Y16" s="3429"/>
      <c r="Z16" s="1263"/>
      <c r="AA16" s="1263">
        <v>1</v>
      </c>
      <c r="AB16" s="1263">
        <v>1</v>
      </c>
      <c r="AC16" s="1263">
        <v>1</v>
      </c>
    </row>
    <row r="17" spans="1:29" ht="15">
      <c r="A17" s="367"/>
      <c r="B17" s="390" t="s">
        <v>1254</v>
      </c>
      <c r="C17" s="1753">
        <f>估价对象房地状况!C6</f>
        <v>0</v>
      </c>
      <c r="D17" s="389">
        <v>100</v>
      </c>
      <c r="E17" s="393"/>
      <c r="F17" s="389">
        <f>SUMIF(78:78,E18,79:79)-SUMIF(78:78,C18,79:79)+100</f>
        <v>100</v>
      </c>
      <c r="G17" s="391"/>
      <c r="H17" s="394">
        <f>SUMIF(78:78,G18,79:79)-SUMIF(78:78,C18,79:79)+100</f>
        <v>100</v>
      </c>
      <c r="I17" s="391"/>
      <c r="J17" s="394">
        <f>SUMIF(78:78,I18,79:79)-SUMIF(78:78,C18,79:79)+100</f>
        <v>102</v>
      </c>
      <c r="K17" s="384">
        <v>2</v>
      </c>
      <c r="L17" s="2489"/>
      <c r="M17" s="2484"/>
      <c r="N17" s="2484"/>
      <c r="O17" s="2484"/>
      <c r="P17" s="3427"/>
      <c r="Q17" s="1262" t="str">
        <f>B17</f>
        <v>交通便捷度</v>
      </c>
      <c r="R17" s="667" t="s">
        <v>18</v>
      </c>
      <c r="S17" s="668">
        <f>F17</f>
        <v>100</v>
      </c>
      <c r="T17" s="667" t="s">
        <v>18</v>
      </c>
      <c r="U17" s="668">
        <f>H17</f>
        <v>100</v>
      </c>
      <c r="V17" s="667" t="s">
        <v>18</v>
      </c>
      <c r="W17" s="668">
        <f>J17</f>
        <v>102</v>
      </c>
      <c r="X17" s="1264"/>
      <c r="Y17" s="3429"/>
      <c r="Z17" s="1263" t="str">
        <f>Q17</f>
        <v>交通便捷度</v>
      </c>
      <c r="AA17" s="1263">
        <f t="shared" si="3"/>
        <v>1</v>
      </c>
      <c r="AB17" s="1263">
        <f t="shared" si="4"/>
        <v>1</v>
      </c>
      <c r="AC17" s="1263">
        <f t="shared" si="5"/>
        <v>0.98039215686274506</v>
      </c>
    </row>
    <row r="18" spans="1:29" ht="15">
      <c r="A18" s="367"/>
      <c r="B18" s="395"/>
      <c r="C18" s="1754" t="s">
        <v>3816</v>
      </c>
      <c r="D18" s="389"/>
      <c r="E18" s="1755" t="s">
        <v>3816</v>
      </c>
      <c r="F18" s="389"/>
      <c r="G18" s="1756" t="s">
        <v>3816</v>
      </c>
      <c r="H18" s="387"/>
      <c r="I18" s="1756" t="s">
        <v>3817</v>
      </c>
      <c r="J18" s="387"/>
      <c r="K18" s="1752"/>
      <c r="L18" s="2489"/>
      <c r="M18" s="2484"/>
      <c r="N18" s="2484"/>
      <c r="O18" s="2484"/>
      <c r="P18" s="3427"/>
      <c r="Q18" s="1262"/>
      <c r="R18" s="667"/>
      <c r="S18" s="668"/>
      <c r="T18" s="667"/>
      <c r="U18" s="668"/>
      <c r="V18" s="667"/>
      <c r="W18" s="668"/>
      <c r="X18" s="1264"/>
      <c r="Y18" s="3429"/>
      <c r="Z18" s="1263"/>
      <c r="AA18" s="1263">
        <v>1</v>
      </c>
      <c r="AB18" s="1263">
        <v>1</v>
      </c>
      <c r="AC18" s="1263">
        <v>1</v>
      </c>
    </row>
    <row r="19" spans="1:29" ht="15">
      <c r="A19" s="367"/>
      <c r="B19" s="390" t="s">
        <v>1253</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v>2</v>
      </c>
      <c r="L19" s="2489"/>
      <c r="M19" s="2484"/>
      <c r="N19" s="2484"/>
      <c r="O19" s="2484"/>
      <c r="P19" s="3427"/>
      <c r="Q19" s="1262" t="str">
        <f>B19</f>
        <v>公共配套设施</v>
      </c>
      <c r="R19" s="667" t="s">
        <v>18</v>
      </c>
      <c r="S19" s="668">
        <f>F19</f>
        <v>100</v>
      </c>
      <c r="T19" s="667" t="s">
        <v>18</v>
      </c>
      <c r="U19" s="668">
        <f>H19</f>
        <v>100</v>
      </c>
      <c r="V19" s="667" t="s">
        <v>18</v>
      </c>
      <c r="W19" s="668">
        <f>J19</f>
        <v>100</v>
      </c>
      <c r="X19" s="1264"/>
      <c r="Y19" s="3429"/>
      <c r="Z19" s="1263" t="str">
        <f>Q19</f>
        <v>公共配套设施</v>
      </c>
      <c r="AA19" s="1263">
        <f t="shared" si="3"/>
        <v>1</v>
      </c>
      <c r="AB19" s="1263">
        <f t="shared" si="4"/>
        <v>1</v>
      </c>
      <c r="AC19" s="1263">
        <f t="shared" si="5"/>
        <v>1</v>
      </c>
    </row>
    <row r="20" spans="1:29" ht="15">
      <c r="A20" s="367"/>
      <c r="B20" s="395"/>
      <c r="C20" s="386" t="s">
        <v>3817</v>
      </c>
      <c r="D20" s="387"/>
      <c r="E20" s="1750" t="s">
        <v>3817</v>
      </c>
      <c r="F20" s="387"/>
      <c r="G20" s="1751" t="s">
        <v>3817</v>
      </c>
      <c r="H20" s="387"/>
      <c r="I20" s="1751" t="s">
        <v>3817</v>
      </c>
      <c r="J20" s="387"/>
      <c r="K20" s="1752"/>
      <c r="L20" s="2489"/>
      <c r="M20" s="2484"/>
      <c r="N20" s="2484"/>
      <c r="O20" s="2484"/>
      <c r="P20" s="3427"/>
      <c r="Q20" s="1262"/>
      <c r="R20" s="667"/>
      <c r="S20" s="668"/>
      <c r="T20" s="667"/>
      <c r="U20" s="668"/>
      <c r="V20" s="667"/>
      <c r="W20" s="668"/>
      <c r="X20" s="1264"/>
      <c r="Y20" s="3429"/>
      <c r="Z20" s="1263"/>
      <c r="AA20" s="1263">
        <v>1</v>
      </c>
      <c r="AB20" s="1263">
        <v>1</v>
      </c>
      <c r="AC20" s="1263">
        <v>1</v>
      </c>
    </row>
    <row r="21" spans="1:29" ht="15">
      <c r="A21" s="367"/>
      <c r="B21" s="586" t="s">
        <v>1255</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v>2</v>
      </c>
      <c r="L21" s="2489"/>
      <c r="M21" s="2484"/>
      <c r="N21" s="2484"/>
      <c r="O21" s="2484"/>
      <c r="P21" s="3427"/>
      <c r="Q21" s="1262" t="str">
        <f>B21</f>
        <v>基础设施水平</v>
      </c>
      <c r="R21" s="667" t="s">
        <v>14</v>
      </c>
      <c r="S21" s="668">
        <f>F21</f>
        <v>100</v>
      </c>
      <c r="T21" s="667" t="s">
        <v>14</v>
      </c>
      <c r="U21" s="668">
        <f>H21</f>
        <v>100</v>
      </c>
      <c r="V21" s="667" t="s">
        <v>14</v>
      </c>
      <c r="W21" s="668">
        <f>J21</f>
        <v>100</v>
      </c>
      <c r="X21" s="1264"/>
      <c r="Y21" s="3429"/>
      <c r="Z21" s="1263" t="str">
        <f>Q21</f>
        <v>基础设施水平</v>
      </c>
      <c r="AA21" s="1263">
        <f t="shared" ref="AA21" si="8">D21/F21</f>
        <v>1</v>
      </c>
      <c r="AB21" s="1263">
        <f t="shared" ref="AB21" si="9">D21/H21</f>
        <v>1</v>
      </c>
      <c r="AC21" s="1263">
        <f t="shared" ref="AC21" si="10">D21/J21</f>
        <v>1</v>
      </c>
    </row>
    <row r="22" spans="1:29" ht="15">
      <c r="A22" s="367"/>
      <c r="B22" s="586"/>
      <c r="C22" s="1754" t="s">
        <v>3818</v>
      </c>
      <c r="D22" s="387"/>
      <c r="E22" s="386" t="s">
        <v>3818</v>
      </c>
      <c r="F22" s="387"/>
      <c r="G22" s="1757" t="s">
        <v>3818</v>
      </c>
      <c r="H22" s="387"/>
      <c r="I22" s="386" t="s">
        <v>3818</v>
      </c>
      <c r="J22" s="387"/>
      <c r="K22" s="1758"/>
      <c r="L22" s="2489"/>
      <c r="M22" s="2484"/>
      <c r="N22" s="2484"/>
      <c r="O22" s="2484"/>
      <c r="P22" s="3427"/>
      <c r="Q22" s="1262"/>
      <c r="R22" s="667"/>
      <c r="S22" s="668"/>
      <c r="T22" s="667"/>
      <c r="U22" s="668"/>
      <c r="V22" s="667"/>
      <c r="W22" s="668"/>
      <c r="X22" s="1264"/>
      <c r="Y22" s="3429"/>
      <c r="Z22" s="1263"/>
      <c r="AA22" s="1263">
        <v>1</v>
      </c>
      <c r="AB22" s="1263">
        <v>1</v>
      </c>
      <c r="AC22" s="1263">
        <v>1</v>
      </c>
    </row>
    <row r="23" spans="1:29" ht="15">
      <c r="A23" s="367"/>
      <c r="B23" s="390" t="s">
        <v>1256</v>
      </c>
      <c r="C23" s="1753">
        <f>估价对象房地状况!C9</f>
        <v>0</v>
      </c>
      <c r="D23" s="389">
        <v>100</v>
      </c>
      <c r="E23" s="393"/>
      <c r="F23" s="389">
        <f>SUMIF(84:84,E24,85:85)-SUMIF(84:84,C24,85:85)+100</f>
        <v>100</v>
      </c>
      <c r="G23" s="391"/>
      <c r="H23" s="389">
        <f>SUMIF(84:84,G24,85:85)-SUMIF(84:84,C24,85:85)+100</f>
        <v>100</v>
      </c>
      <c r="I23" s="391"/>
      <c r="J23" s="389">
        <f>SUMIF(84:84,I24,85:85)-SUMIF(84:84,C24,85:85)+100</f>
        <v>102</v>
      </c>
      <c r="K23" s="384">
        <v>2</v>
      </c>
      <c r="L23" s="2489"/>
      <c r="M23" s="2484"/>
      <c r="N23" s="2484"/>
      <c r="O23" s="2484"/>
      <c r="P23" s="3427"/>
      <c r="Q23" s="1262" t="str">
        <f>B23</f>
        <v>自然及人文环境</v>
      </c>
      <c r="R23" s="667" t="s">
        <v>18</v>
      </c>
      <c r="S23" s="668">
        <f>F23</f>
        <v>100</v>
      </c>
      <c r="T23" s="667" t="s">
        <v>18</v>
      </c>
      <c r="U23" s="668">
        <f>H23</f>
        <v>100</v>
      </c>
      <c r="V23" s="667" t="s">
        <v>18</v>
      </c>
      <c r="W23" s="668">
        <f>J23</f>
        <v>102</v>
      </c>
      <c r="X23" s="1264"/>
      <c r="Y23" s="3429"/>
      <c r="Z23" s="1263" t="str">
        <f>Q23</f>
        <v>自然及人文环境</v>
      </c>
      <c r="AA23" s="1263">
        <f>D23/F23</f>
        <v>1</v>
      </c>
      <c r="AB23" s="1263">
        <f>D23/H23</f>
        <v>1</v>
      </c>
      <c r="AC23" s="1263">
        <f>D23/J23</f>
        <v>0.98039215686274506</v>
      </c>
    </row>
    <row r="24" spans="1:29" ht="15">
      <c r="A24" s="367"/>
      <c r="B24" s="395"/>
      <c r="C24" s="386" t="s">
        <v>3816</v>
      </c>
      <c r="D24" s="387"/>
      <c r="E24" s="1750" t="s">
        <v>3816</v>
      </c>
      <c r="F24" s="387"/>
      <c r="G24" s="1751" t="s">
        <v>3816</v>
      </c>
      <c r="H24" s="387"/>
      <c r="I24" s="1751" t="s">
        <v>3817</v>
      </c>
      <c r="J24" s="387"/>
      <c r="K24" s="1752"/>
      <c r="L24" s="2489"/>
      <c r="M24" s="2484"/>
      <c r="N24" s="2484"/>
      <c r="O24" s="2484"/>
      <c r="P24" s="3427"/>
      <c r="Q24" s="1262"/>
      <c r="R24" s="667"/>
      <c r="S24" s="668"/>
      <c r="T24" s="667"/>
      <c r="U24" s="668"/>
      <c r="V24" s="667"/>
      <c r="W24" s="668"/>
      <c r="X24" s="1264"/>
      <c r="Y24" s="3429"/>
      <c r="Z24" s="1263"/>
      <c r="AA24" s="1263">
        <v>1</v>
      </c>
      <c r="AB24" s="1263">
        <v>1</v>
      </c>
      <c r="AC24" s="1263">
        <v>1</v>
      </c>
    </row>
    <row r="25" spans="1:29" ht="15">
      <c r="A25" s="367"/>
      <c r="B25" s="364" t="s">
        <v>1687</v>
      </c>
      <c r="C25" s="399"/>
      <c r="D25" s="374">
        <v>100</v>
      </c>
      <c r="E25" s="1759"/>
      <c r="F25" s="374">
        <f>SUMIF(86:86,E25,87:87)-SUMIF(86:86,C25,87:87)+100</f>
        <v>100</v>
      </c>
      <c r="G25" s="1760"/>
      <c r="H25" s="374">
        <f>SUMIF(86:86,G25,87:87)-SUMIF(86:86,C25,87:87)+100</f>
        <v>100</v>
      </c>
      <c r="I25" s="1760"/>
      <c r="J25" s="374">
        <f>SUMIF(86:86,I25,87:87)-SUMIF(86:86,C25,87:87)+100</f>
        <v>100</v>
      </c>
      <c r="K25" s="365"/>
      <c r="L25" s="2489"/>
      <c r="M25" s="2484"/>
      <c r="N25" s="2484"/>
      <c r="O25" s="2484"/>
      <c r="P25" s="3427"/>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29"/>
      <c r="Z25" s="1263" t="str">
        <f>Q25</f>
        <v>楼层-1</v>
      </c>
      <c r="AA25" s="1263">
        <f t="shared" ref="AA25:AA46" si="15">D25/F25</f>
        <v>1</v>
      </c>
      <c r="AB25" s="1263">
        <f t="shared" ref="AB25:AB46" si="16">D25/H25</f>
        <v>1</v>
      </c>
      <c r="AC25" s="1263">
        <f t="shared" ref="AC25:AC46" si="17">D25/J25</f>
        <v>1</v>
      </c>
    </row>
    <row r="26" spans="1:29" ht="15.75" thickBot="1">
      <c r="A26" s="367"/>
      <c r="B26" s="364" t="s">
        <v>1688</v>
      </c>
      <c r="C26" s="399"/>
      <c r="D26" s="374">
        <v>100</v>
      </c>
      <c r="E26" s="1759"/>
      <c r="F26" s="374">
        <f>SUMIF(88:88,E26,89:89)-SUMIF(88:88,C26,89:89)+100</f>
        <v>100</v>
      </c>
      <c r="G26" s="1760"/>
      <c r="H26" s="374">
        <f>SUMIF(88:88,G26,89:89)-SUMIF(88:88,C26,89:89)+100</f>
        <v>100</v>
      </c>
      <c r="I26" s="1760"/>
      <c r="J26" s="374">
        <f>SUMIF(88:88,I26,89:89)-SUMIF(88:88,C26,89:89)+100</f>
        <v>100</v>
      </c>
      <c r="K26" s="365"/>
      <c r="L26" s="2489"/>
      <c r="M26" s="2484"/>
      <c r="N26" s="2484"/>
      <c r="O26" s="2484"/>
      <c r="P26" s="3427"/>
      <c r="Q26" s="1262" t="str">
        <f t="shared" si="11"/>
        <v>朝向</v>
      </c>
      <c r="R26" s="667" t="s">
        <v>18</v>
      </c>
      <c r="S26" s="668">
        <f t="shared" si="12"/>
        <v>100</v>
      </c>
      <c r="T26" s="667" t="s">
        <v>18</v>
      </c>
      <c r="U26" s="668">
        <f t="shared" si="13"/>
        <v>100</v>
      </c>
      <c r="V26" s="667" t="s">
        <v>18</v>
      </c>
      <c r="W26" s="668">
        <f t="shared" si="14"/>
        <v>100</v>
      </c>
      <c r="X26" s="1264"/>
      <c r="Y26" s="3429"/>
      <c r="Z26" s="1263" t="str">
        <f>Q26</f>
        <v>朝向</v>
      </c>
      <c r="AA26" s="1263">
        <f t="shared" si="15"/>
        <v>1</v>
      </c>
      <c r="AB26" s="1263">
        <f t="shared" si="16"/>
        <v>1</v>
      </c>
      <c r="AC26" s="1263">
        <f t="shared" si="17"/>
        <v>1</v>
      </c>
    </row>
    <row r="27" spans="1:29" s="102" customFormat="1" ht="15" hidden="1">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5"/>
      <c r="M27" s="2436"/>
      <c r="N27" s="2436"/>
      <c r="O27" s="2436"/>
      <c r="P27" s="3427"/>
      <c r="Q27" s="530">
        <f t="shared" si="11"/>
        <v>111</v>
      </c>
      <c r="R27" s="664" t="s">
        <v>18</v>
      </c>
      <c r="S27" s="665">
        <f t="shared" si="12"/>
        <v>100</v>
      </c>
      <c r="T27" s="664" t="s">
        <v>18</v>
      </c>
      <c r="U27" s="665">
        <f t="shared" si="13"/>
        <v>100</v>
      </c>
      <c r="V27" s="664" t="s">
        <v>18</v>
      </c>
      <c r="W27" s="665">
        <f t="shared" si="14"/>
        <v>100</v>
      </c>
      <c r="X27" s="666"/>
      <c r="Y27" s="3429"/>
      <c r="Z27" s="50">
        <f>Q27</f>
        <v>111</v>
      </c>
      <c r="AA27" s="1263">
        <f t="shared" si="15"/>
        <v>1</v>
      </c>
      <c r="AB27" s="1263">
        <f t="shared" si="16"/>
        <v>1</v>
      </c>
      <c r="AC27" s="1263">
        <f t="shared" si="17"/>
        <v>1</v>
      </c>
    </row>
    <row r="28" spans="1:29" ht="15" hidden="1">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89"/>
      <c r="M28" s="2484"/>
      <c r="N28" s="2484"/>
      <c r="O28" s="2484"/>
      <c r="P28" s="3427"/>
      <c r="Q28" s="1262">
        <f t="shared" si="11"/>
        <v>111</v>
      </c>
      <c r="R28" s="667" t="s">
        <v>18</v>
      </c>
      <c r="S28" s="668">
        <f t="shared" si="12"/>
        <v>100</v>
      </c>
      <c r="T28" s="667" t="s">
        <v>18</v>
      </c>
      <c r="U28" s="668">
        <f t="shared" si="13"/>
        <v>100</v>
      </c>
      <c r="V28" s="667" t="s">
        <v>18</v>
      </c>
      <c r="W28" s="668">
        <f t="shared" si="14"/>
        <v>100</v>
      </c>
      <c r="X28" s="1264"/>
      <c r="Y28" s="3429"/>
      <c r="Z28" s="1263">
        <f t="shared" ref="Z28:Z46" si="18">Q28</f>
        <v>111</v>
      </c>
      <c r="AA28" s="1263">
        <f t="shared" si="15"/>
        <v>1</v>
      </c>
      <c r="AB28" s="1263">
        <f t="shared" si="16"/>
        <v>1</v>
      </c>
      <c r="AC28" s="1263">
        <f t="shared" si="17"/>
        <v>1</v>
      </c>
    </row>
    <row r="29" spans="1:29" ht="15" hidden="1">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89"/>
      <c r="M29" s="2484"/>
      <c r="N29" s="2484"/>
      <c r="O29" s="2484"/>
      <c r="P29" s="3427"/>
      <c r="Q29" s="1262">
        <f t="shared" si="11"/>
        <v>111</v>
      </c>
      <c r="R29" s="667" t="s">
        <v>18</v>
      </c>
      <c r="S29" s="668">
        <f t="shared" si="12"/>
        <v>100</v>
      </c>
      <c r="T29" s="667" t="s">
        <v>18</v>
      </c>
      <c r="U29" s="668">
        <f t="shared" si="13"/>
        <v>100</v>
      </c>
      <c r="V29" s="667" t="s">
        <v>18</v>
      </c>
      <c r="W29" s="668">
        <f t="shared" si="14"/>
        <v>100</v>
      </c>
      <c r="X29" s="1264"/>
      <c r="Y29" s="3429"/>
      <c r="Z29" s="1263">
        <f t="shared" si="18"/>
        <v>111</v>
      </c>
      <c r="AA29" s="1263">
        <f t="shared" si="15"/>
        <v>1</v>
      </c>
      <c r="AB29" s="1263">
        <f t="shared" si="16"/>
        <v>1</v>
      </c>
      <c r="AC29" s="1263">
        <f t="shared" si="17"/>
        <v>1</v>
      </c>
    </row>
    <row r="30" spans="1:29" ht="15" hidden="1">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89"/>
      <c r="M30" s="2484"/>
      <c r="N30" s="2484"/>
      <c r="O30" s="2484"/>
      <c r="P30" s="3427"/>
      <c r="Q30" s="1262">
        <f t="shared" si="11"/>
        <v>111</v>
      </c>
      <c r="R30" s="667" t="s">
        <v>18</v>
      </c>
      <c r="S30" s="668">
        <f t="shared" si="12"/>
        <v>100</v>
      </c>
      <c r="T30" s="667" t="s">
        <v>18</v>
      </c>
      <c r="U30" s="668">
        <f t="shared" si="13"/>
        <v>100</v>
      </c>
      <c r="V30" s="667" t="s">
        <v>18</v>
      </c>
      <c r="W30" s="668">
        <f t="shared" si="14"/>
        <v>100</v>
      </c>
      <c r="X30" s="1264"/>
      <c r="Y30" s="3429"/>
      <c r="Z30" s="1263">
        <f t="shared" si="18"/>
        <v>111</v>
      </c>
      <c r="AA30" s="1263">
        <f t="shared" si="15"/>
        <v>1</v>
      </c>
      <c r="AB30" s="1263">
        <f t="shared" si="16"/>
        <v>1</v>
      </c>
      <c r="AC30" s="1263">
        <f t="shared" si="17"/>
        <v>1</v>
      </c>
    </row>
    <row r="31" spans="1:29" ht="15.75" hidden="1"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89"/>
      <c r="M31" s="2484"/>
      <c r="N31" s="2484"/>
      <c r="O31" s="2484"/>
      <c r="P31" s="3427"/>
      <c r="Q31" s="1262">
        <f t="shared" si="11"/>
        <v>111</v>
      </c>
      <c r="R31" s="667" t="s">
        <v>18</v>
      </c>
      <c r="S31" s="668">
        <f t="shared" si="12"/>
        <v>100</v>
      </c>
      <c r="T31" s="667" t="s">
        <v>18</v>
      </c>
      <c r="U31" s="668">
        <f t="shared" si="13"/>
        <v>100</v>
      </c>
      <c r="V31" s="667" t="s">
        <v>18</v>
      </c>
      <c r="W31" s="668">
        <f t="shared" si="14"/>
        <v>100</v>
      </c>
      <c r="X31" s="1264"/>
      <c r="Y31" s="3429"/>
      <c r="Z31" s="1263">
        <f t="shared" si="18"/>
        <v>111</v>
      </c>
      <c r="AA31" s="1263">
        <f t="shared" si="15"/>
        <v>1</v>
      </c>
      <c r="AB31" s="1263">
        <f t="shared" si="16"/>
        <v>1</v>
      </c>
      <c r="AC31" s="1263">
        <f t="shared" si="17"/>
        <v>1</v>
      </c>
    </row>
    <row r="32" spans="1:29" ht="15">
      <c r="A32" s="379" t="s">
        <v>1689</v>
      </c>
      <c r="B32" s="60" t="s">
        <v>1690</v>
      </c>
      <c r="C32" s="1763" t="s">
        <v>3866</v>
      </c>
      <c r="D32" s="405">
        <v>100</v>
      </c>
      <c r="E32" s="1763" t="s">
        <v>3866</v>
      </c>
      <c r="F32" s="400">
        <f>SUMIF(100:100,E32,101:101)-SUMIF(100:100,C32,101:101)+100</f>
        <v>100</v>
      </c>
      <c r="G32" s="1763" t="s">
        <v>3866</v>
      </c>
      <c r="H32" s="405">
        <f>SUMIF(100:100,G32,101:101)-SUMIF(100:100,C32,101:101)+100</f>
        <v>100</v>
      </c>
      <c r="I32" s="1763" t="s">
        <v>3866</v>
      </c>
      <c r="J32" s="374">
        <f>SUMIF(100:100,I32,101:101)-SUMIF(100:100,C32,101:101)+100</f>
        <v>100</v>
      </c>
      <c r="K32" s="365">
        <v>1</v>
      </c>
      <c r="L32" s="2489"/>
      <c r="M32" s="2484"/>
      <c r="N32" s="2484"/>
      <c r="O32" s="2484"/>
      <c r="P32" s="3430" t="s">
        <v>1691</v>
      </c>
      <c r="Q32" s="1262" t="str">
        <f t="shared" si="11"/>
        <v>建筑类型</v>
      </c>
      <c r="R32" s="667" t="s">
        <v>18</v>
      </c>
      <c r="S32" s="668">
        <f t="shared" si="12"/>
        <v>100</v>
      </c>
      <c r="T32" s="667" t="s">
        <v>18</v>
      </c>
      <c r="U32" s="668">
        <f t="shared" si="13"/>
        <v>100</v>
      </c>
      <c r="V32" s="667" t="s">
        <v>18</v>
      </c>
      <c r="W32" s="668">
        <f t="shared" si="14"/>
        <v>100</v>
      </c>
      <c r="X32" s="1264"/>
      <c r="Y32" s="3433" t="s">
        <v>1691</v>
      </c>
      <c r="Z32" s="1263" t="str">
        <f t="shared" si="18"/>
        <v>建筑类型</v>
      </c>
      <c r="AA32" s="1263">
        <f t="shared" si="15"/>
        <v>1</v>
      </c>
      <c r="AB32" s="1263">
        <f t="shared" si="16"/>
        <v>1</v>
      </c>
      <c r="AC32" s="1263">
        <f t="shared" si="17"/>
        <v>1</v>
      </c>
    </row>
    <row r="33" spans="1:29" s="408" customFormat="1" ht="15">
      <c r="A33" s="406"/>
      <c r="B33" s="364" t="s">
        <v>1692</v>
      </c>
      <c r="C33" s="407">
        <v>29829.400000000009</v>
      </c>
      <c r="D33" s="119">
        <v>100</v>
      </c>
      <c r="E33" s="407">
        <v>250000</v>
      </c>
      <c r="F33" s="364">
        <f>LOOKUP(E33,103:103,104:104)-LOOKUP(C33,103:103,104:104)+100</f>
        <v>102</v>
      </c>
      <c r="G33" s="407">
        <v>410000</v>
      </c>
      <c r="H33" s="119">
        <f>LOOKUP(G33,103:103,104:104)-LOOKUP(C33,103:103,104:104)+100</f>
        <v>104</v>
      </c>
      <c r="I33" s="407">
        <v>61800</v>
      </c>
      <c r="J33" s="119">
        <f>LOOKUP(I33,103:103,104:104)-LOOKUP(C33,103:103,104:104)+100</f>
        <v>100</v>
      </c>
      <c r="K33" s="1747"/>
      <c r="L33" s="2488"/>
      <c r="M33" s="2490"/>
      <c r="N33" s="2490"/>
      <c r="O33" s="2490"/>
      <c r="P33" s="3431"/>
      <c r="Q33" s="531" t="str">
        <f t="shared" si="11"/>
        <v>项目建筑规模</v>
      </c>
      <c r="R33" s="669" t="s">
        <v>18</v>
      </c>
      <c r="S33" s="670">
        <f t="shared" si="12"/>
        <v>102</v>
      </c>
      <c r="T33" s="669" t="s">
        <v>18</v>
      </c>
      <c r="U33" s="670">
        <f t="shared" si="13"/>
        <v>104</v>
      </c>
      <c r="V33" s="669" t="s">
        <v>18</v>
      </c>
      <c r="W33" s="670">
        <f t="shared" si="14"/>
        <v>100</v>
      </c>
      <c r="X33" s="671"/>
      <c r="Y33" s="3433"/>
      <c r="Z33" s="672" t="str">
        <f t="shared" si="18"/>
        <v>项目建筑规模</v>
      </c>
      <c r="AA33" s="1263">
        <f t="shared" si="15"/>
        <v>0.98039215686274506</v>
      </c>
      <c r="AB33" s="1263">
        <f t="shared" si="16"/>
        <v>0.96153846153846156</v>
      </c>
      <c r="AC33" s="1263">
        <f t="shared" si="17"/>
        <v>1</v>
      </c>
    </row>
    <row r="34" spans="1:29" ht="15">
      <c r="A34" s="409"/>
      <c r="B34" s="364" t="s">
        <v>1693</v>
      </c>
      <c r="C34" s="399" t="s">
        <v>3827</v>
      </c>
      <c r="D34" s="374">
        <v>100</v>
      </c>
      <c r="E34" s="399" t="s">
        <v>3827</v>
      </c>
      <c r="F34" s="400">
        <f>SUMIF(105:105,E34,106:106)-SUMIF(105:105,C34,106:106)+100</f>
        <v>100</v>
      </c>
      <c r="G34" s="399" t="s">
        <v>3827</v>
      </c>
      <c r="H34" s="374">
        <f>SUMIF(105:105,G34,106:106)-SUMIF(105:105,C34,106:106)+100</f>
        <v>100</v>
      </c>
      <c r="I34" s="399" t="s">
        <v>3827</v>
      </c>
      <c r="J34" s="374">
        <f>SUMIF(105:105,I34,106:106)-SUMIF(105:105,C34,106:106)+100</f>
        <v>100</v>
      </c>
      <c r="K34" s="365">
        <v>1</v>
      </c>
      <c r="L34" s="2489"/>
      <c r="M34" s="2484"/>
      <c r="N34" s="2484"/>
      <c r="O34" s="2484"/>
      <c r="P34" s="3431"/>
      <c r="Q34" s="1262" t="str">
        <f t="shared" si="11"/>
        <v>建筑结构</v>
      </c>
      <c r="R34" s="667" t="s">
        <v>18</v>
      </c>
      <c r="S34" s="668">
        <f t="shared" si="12"/>
        <v>100</v>
      </c>
      <c r="T34" s="667" t="s">
        <v>18</v>
      </c>
      <c r="U34" s="668">
        <f t="shared" si="13"/>
        <v>100</v>
      </c>
      <c r="V34" s="667" t="s">
        <v>18</v>
      </c>
      <c r="W34" s="668">
        <f t="shared" si="14"/>
        <v>100</v>
      </c>
      <c r="X34" s="1264"/>
      <c r="Y34" s="3433"/>
      <c r="Z34" s="1263" t="str">
        <f t="shared" si="18"/>
        <v>建筑结构</v>
      </c>
      <c r="AA34" s="1263">
        <f t="shared" si="15"/>
        <v>1</v>
      </c>
      <c r="AB34" s="1263">
        <f t="shared" si="16"/>
        <v>1</v>
      </c>
      <c r="AC34" s="1263">
        <f t="shared" si="17"/>
        <v>1</v>
      </c>
    </row>
    <row r="35" spans="1:29" ht="15">
      <c r="A35" s="409"/>
      <c r="B35" s="364" t="s">
        <v>1694</v>
      </c>
      <c r="C35" s="1759" t="s">
        <v>3867</v>
      </c>
      <c r="D35" s="374">
        <v>100</v>
      </c>
      <c r="E35" s="1759" t="s">
        <v>3871</v>
      </c>
      <c r="F35" s="400">
        <f>SUMIF(107:107,E35,108:108)-SUMIF(107:107,C35,108:108)+100</f>
        <v>98</v>
      </c>
      <c r="G35" s="1759" t="s">
        <v>3871</v>
      </c>
      <c r="H35" s="374">
        <f>SUMIF(107:107,G35,108:108)-SUMIF(107:107,C35,108:108)+100</f>
        <v>98</v>
      </c>
      <c r="I35" s="1759" t="s">
        <v>3871</v>
      </c>
      <c r="J35" s="374">
        <f>SUMIF(107:107,I35,108:108)-SUMIF(107:107,C35,108:108)+100</f>
        <v>98</v>
      </c>
      <c r="K35" s="365">
        <v>2</v>
      </c>
      <c r="L35" s="2489"/>
      <c r="M35" s="2484"/>
      <c r="N35" s="2484"/>
      <c r="O35" s="2484"/>
      <c r="P35" s="3431"/>
      <c r="Q35" s="1262" t="str">
        <f t="shared" si="11"/>
        <v>建筑品质</v>
      </c>
      <c r="R35" s="667" t="s">
        <v>18</v>
      </c>
      <c r="S35" s="668">
        <f t="shared" si="12"/>
        <v>98</v>
      </c>
      <c r="T35" s="667" t="s">
        <v>18</v>
      </c>
      <c r="U35" s="668">
        <f t="shared" si="13"/>
        <v>98</v>
      </c>
      <c r="V35" s="667" t="s">
        <v>18</v>
      </c>
      <c r="W35" s="668">
        <f t="shared" si="14"/>
        <v>98</v>
      </c>
      <c r="X35" s="1264"/>
      <c r="Y35" s="3433"/>
      <c r="Z35" s="1263" t="str">
        <f t="shared" si="18"/>
        <v>建筑品质</v>
      </c>
      <c r="AA35" s="1263">
        <f t="shared" si="15"/>
        <v>1.0204081632653061</v>
      </c>
      <c r="AB35" s="1263">
        <f t="shared" si="16"/>
        <v>1.0204081632653061</v>
      </c>
      <c r="AC35" s="1263">
        <f t="shared" si="17"/>
        <v>1.0204081632653061</v>
      </c>
    </row>
    <row r="36" spans="1:29" ht="15">
      <c r="A36" s="409"/>
      <c r="B36" s="364" t="s">
        <v>1695</v>
      </c>
      <c r="C36" s="1759" t="s">
        <v>3868</v>
      </c>
      <c r="D36" s="374">
        <v>100</v>
      </c>
      <c r="E36" s="1759" t="s">
        <v>3854</v>
      </c>
      <c r="F36" s="400">
        <f>SUMIF(109:109,E36,110:110)-SUMIF(109:109,C36,110:110)+100</f>
        <v>98</v>
      </c>
      <c r="G36" s="1759" t="s">
        <v>3854</v>
      </c>
      <c r="H36" s="374">
        <f>SUMIF(109:109,G36,110:110)-SUMIF(109:109,C36,110:110)+100</f>
        <v>98</v>
      </c>
      <c r="I36" s="1759" t="s">
        <v>3854</v>
      </c>
      <c r="J36" s="374">
        <f>SUMIF(109:109,I36,110:110)-SUMIF(109:109,C36,110:110)+100</f>
        <v>98</v>
      </c>
      <c r="K36" s="365">
        <v>2</v>
      </c>
      <c r="L36" s="2489"/>
      <c r="M36" s="2484"/>
      <c r="N36" s="2484"/>
      <c r="O36" s="2484"/>
      <c r="P36" s="3431"/>
      <c r="Q36" s="1262" t="str">
        <f t="shared" si="11"/>
        <v>公共部分装修</v>
      </c>
      <c r="R36" s="667" t="s">
        <v>18</v>
      </c>
      <c r="S36" s="668">
        <f t="shared" si="12"/>
        <v>98</v>
      </c>
      <c r="T36" s="667" t="s">
        <v>18</v>
      </c>
      <c r="U36" s="668">
        <f t="shared" si="13"/>
        <v>98</v>
      </c>
      <c r="V36" s="667" t="s">
        <v>18</v>
      </c>
      <c r="W36" s="668">
        <f t="shared" si="14"/>
        <v>98</v>
      </c>
      <c r="X36" s="1264"/>
      <c r="Y36" s="3433"/>
      <c r="Z36" s="1263" t="str">
        <f t="shared" si="18"/>
        <v>公共部分装修</v>
      </c>
      <c r="AA36" s="1263">
        <f t="shared" si="15"/>
        <v>1.0204081632653061</v>
      </c>
      <c r="AB36" s="1263">
        <f t="shared" si="16"/>
        <v>1.0204081632653061</v>
      </c>
      <c r="AC36" s="1263">
        <f t="shared" si="17"/>
        <v>1.0204081632653061</v>
      </c>
    </row>
    <row r="37" spans="1:29" s="102" customFormat="1" ht="15">
      <c r="A37" s="410"/>
      <c r="B37" s="364" t="s">
        <v>1696</v>
      </c>
      <c r="C37" s="411">
        <f>ROUND(1-(2024-2019)/60,2)</f>
        <v>0.92</v>
      </c>
      <c r="D37" s="119">
        <v>100</v>
      </c>
      <c r="E37" s="411">
        <f>ROUND(1-(2024-2005)/60,2)</f>
        <v>0.68</v>
      </c>
      <c r="F37" s="364">
        <f>LOOKUP(E37,112:112,113:113)-LOOKUP(C37,112:112,113:113)+100</f>
        <v>97</v>
      </c>
      <c r="G37" s="411">
        <f>ROUND(1-(2024-2012)/60,2)</f>
        <v>0.8</v>
      </c>
      <c r="H37" s="119">
        <f>LOOKUP(G37,112:112,113:113)-LOOKUP(C37,112:112,113:113)+100</f>
        <v>99</v>
      </c>
      <c r="I37" s="411">
        <f>ROUND(1-(2024-2012)/60,2)</f>
        <v>0.8</v>
      </c>
      <c r="J37" s="119">
        <f>LOOKUP(I37,112:112,113:113)-LOOKUP(C37,112:112,113:113)+100</f>
        <v>99</v>
      </c>
      <c r="K37" s="365">
        <v>1</v>
      </c>
      <c r="L37" s="2485"/>
      <c r="M37" s="2436"/>
      <c r="N37" s="2436"/>
      <c r="O37" s="2436"/>
      <c r="P37" s="3431"/>
      <c r="Q37" s="530" t="str">
        <f t="shared" si="11"/>
        <v>成新度</v>
      </c>
      <c r="R37" s="664" t="s">
        <v>18</v>
      </c>
      <c r="S37" s="665">
        <f t="shared" si="12"/>
        <v>97</v>
      </c>
      <c r="T37" s="664" t="s">
        <v>18</v>
      </c>
      <c r="U37" s="665">
        <f t="shared" si="13"/>
        <v>99</v>
      </c>
      <c r="V37" s="664" t="s">
        <v>18</v>
      </c>
      <c r="W37" s="665">
        <f t="shared" si="14"/>
        <v>99</v>
      </c>
      <c r="X37" s="666"/>
      <c r="Y37" s="3433"/>
      <c r="Z37" s="50" t="str">
        <f t="shared" si="18"/>
        <v>成新度</v>
      </c>
      <c r="AA37" s="50">
        <f t="shared" si="15"/>
        <v>1.0309278350515463</v>
      </c>
      <c r="AB37" s="50">
        <f t="shared" si="16"/>
        <v>1.0101010101010102</v>
      </c>
      <c r="AC37" s="50">
        <f t="shared" si="17"/>
        <v>1.0101010101010102</v>
      </c>
    </row>
    <row r="38" spans="1:29" ht="15">
      <c r="A38" s="409"/>
      <c r="B38" s="364" t="s">
        <v>1697</v>
      </c>
      <c r="C38" s="1759" t="s">
        <v>3869</v>
      </c>
      <c r="D38" s="374">
        <v>100</v>
      </c>
      <c r="E38" s="1759" t="s">
        <v>3869</v>
      </c>
      <c r="F38" s="400">
        <f>SUMIF(114:114,E38,115:115)-SUMIF(114:114,C38,115:115)+100</f>
        <v>100</v>
      </c>
      <c r="G38" s="1759" t="s">
        <v>3869</v>
      </c>
      <c r="H38" s="374">
        <f>SUMIF(114:114,G38,115:115)-SUMIF(114:114,C38,115:115)+100</f>
        <v>100</v>
      </c>
      <c r="I38" s="1759" t="s">
        <v>3869</v>
      </c>
      <c r="J38" s="374">
        <f>SUMIF(114:114,I38,115:115)-SUMIF(114:114,C38,115:115)+100</f>
        <v>100</v>
      </c>
      <c r="K38" s="365">
        <v>1</v>
      </c>
      <c r="L38" s="2489"/>
      <c r="M38" s="2484"/>
      <c r="N38" s="2484"/>
      <c r="O38" s="2484"/>
      <c r="P38" s="3431" t="s">
        <v>1691</v>
      </c>
      <c r="Q38" s="1262" t="str">
        <f t="shared" si="11"/>
        <v>物业管理</v>
      </c>
      <c r="R38" s="667" t="s">
        <v>18</v>
      </c>
      <c r="S38" s="668">
        <f t="shared" si="12"/>
        <v>100</v>
      </c>
      <c r="T38" s="667" t="s">
        <v>18</v>
      </c>
      <c r="U38" s="668">
        <f t="shared" si="13"/>
        <v>100</v>
      </c>
      <c r="V38" s="667" t="s">
        <v>18</v>
      </c>
      <c r="W38" s="668">
        <f t="shared" si="14"/>
        <v>100</v>
      </c>
      <c r="X38" s="1264"/>
      <c r="Y38" s="3433" t="s">
        <v>1691</v>
      </c>
      <c r="Z38" s="1263" t="str">
        <f t="shared" si="18"/>
        <v>物业管理</v>
      </c>
      <c r="AA38" s="1263">
        <f t="shared" si="15"/>
        <v>1</v>
      </c>
      <c r="AB38" s="1263">
        <f t="shared" si="16"/>
        <v>1</v>
      </c>
      <c r="AC38" s="1263">
        <f t="shared" si="17"/>
        <v>1</v>
      </c>
    </row>
    <row r="39" spans="1:29" ht="15">
      <c r="A39" s="409"/>
      <c r="B39" s="364" t="s">
        <v>1698</v>
      </c>
      <c r="C39" s="1759" t="s">
        <v>3818</v>
      </c>
      <c r="D39" s="374">
        <v>100</v>
      </c>
      <c r="E39" s="1759" t="s">
        <v>3818</v>
      </c>
      <c r="F39" s="400">
        <f>SUMIF(116:116,E39,117:117)-SUMIF(116:116,C39,117:117)+100</f>
        <v>100</v>
      </c>
      <c r="G39" s="1759" t="s">
        <v>3818</v>
      </c>
      <c r="H39" s="374">
        <f>SUMIF(116:116,G39,117:117)-SUMIF(116:116,C39,117:117)+100</f>
        <v>100</v>
      </c>
      <c r="I39" s="1759" t="s">
        <v>3818</v>
      </c>
      <c r="J39" s="374">
        <f>SUMIF(116:116,I39,117:117)-SUMIF(116:116,C39,117:117)+100</f>
        <v>100</v>
      </c>
      <c r="K39" s="365">
        <v>1</v>
      </c>
      <c r="L39" s="2489"/>
      <c r="M39" s="2484"/>
      <c r="N39" s="2484"/>
      <c r="O39" s="2484"/>
      <c r="P39" s="3431"/>
      <c r="Q39" s="1262" t="str">
        <f t="shared" si="11"/>
        <v>市政基础设施</v>
      </c>
      <c r="R39" s="667" t="s">
        <v>18</v>
      </c>
      <c r="S39" s="668">
        <f t="shared" si="12"/>
        <v>100</v>
      </c>
      <c r="T39" s="667" t="s">
        <v>18</v>
      </c>
      <c r="U39" s="668">
        <f t="shared" si="13"/>
        <v>100</v>
      </c>
      <c r="V39" s="667" t="s">
        <v>18</v>
      </c>
      <c r="W39" s="668">
        <f t="shared" si="14"/>
        <v>100</v>
      </c>
      <c r="X39" s="1264"/>
      <c r="Y39" s="3433"/>
      <c r="Z39" s="1263" t="str">
        <f t="shared" si="18"/>
        <v>市政基础设施</v>
      </c>
      <c r="AA39" s="1263">
        <f t="shared" si="15"/>
        <v>1</v>
      </c>
      <c r="AB39" s="1263">
        <f t="shared" si="16"/>
        <v>1</v>
      </c>
      <c r="AC39" s="1263">
        <f t="shared" si="17"/>
        <v>1</v>
      </c>
    </row>
    <row r="40" spans="1:29" ht="15">
      <c r="A40" s="409"/>
      <c r="B40" s="364" t="s">
        <v>1699</v>
      </c>
      <c r="C40" s="1759" t="s">
        <v>3870</v>
      </c>
      <c r="D40" s="374">
        <v>100</v>
      </c>
      <c r="E40" s="1759" t="s">
        <v>3870</v>
      </c>
      <c r="F40" s="400">
        <f>SUMIF(118:118,E40,119:119)-SUMIF(118:118,C40,119:119)+100</f>
        <v>100</v>
      </c>
      <c r="G40" s="1759" t="s">
        <v>3870</v>
      </c>
      <c r="H40" s="374">
        <f>SUMIF(118:118,G40,119:119)-SUMIF(118:118,C40,119:119)+100</f>
        <v>100</v>
      </c>
      <c r="I40" s="1759" t="s">
        <v>3870</v>
      </c>
      <c r="J40" s="374">
        <f>SUMIF(118:118,I40,119:119)-SUMIF(118:118,C40,119:119)+100</f>
        <v>100</v>
      </c>
      <c r="K40" s="365">
        <v>1</v>
      </c>
      <c r="L40" s="2489"/>
      <c r="M40" s="2484"/>
      <c r="N40" s="2484"/>
      <c r="O40" s="2484"/>
      <c r="P40" s="3431"/>
      <c r="Q40" s="1262" t="str">
        <f t="shared" si="11"/>
        <v>房型</v>
      </c>
      <c r="R40" s="667" t="s">
        <v>18</v>
      </c>
      <c r="S40" s="668">
        <f t="shared" si="12"/>
        <v>100</v>
      </c>
      <c r="T40" s="667" t="s">
        <v>18</v>
      </c>
      <c r="U40" s="668">
        <f t="shared" si="13"/>
        <v>100</v>
      </c>
      <c r="V40" s="667" t="s">
        <v>18</v>
      </c>
      <c r="W40" s="668">
        <f t="shared" si="14"/>
        <v>100</v>
      </c>
      <c r="X40" s="1264"/>
      <c r="Y40" s="3433"/>
      <c r="Z40" s="1263" t="str">
        <f t="shared" si="18"/>
        <v>房型</v>
      </c>
      <c r="AA40" s="1263">
        <f t="shared" si="15"/>
        <v>1</v>
      </c>
      <c r="AB40" s="1263">
        <f t="shared" si="16"/>
        <v>1</v>
      </c>
      <c r="AC40" s="1263">
        <f t="shared" si="17"/>
        <v>1</v>
      </c>
    </row>
    <row r="41" spans="1:29" s="408" customFormat="1" ht="28.5">
      <c r="A41" s="406"/>
      <c r="B41" s="364" t="s">
        <v>1700</v>
      </c>
      <c r="C41" s="407">
        <v>1908.63</v>
      </c>
      <c r="D41" s="119">
        <v>100</v>
      </c>
      <c r="E41" s="407">
        <v>510.8</v>
      </c>
      <c r="F41" s="364">
        <f>SUMIF(120:120,E41,121:121)-SUMIF(120:120,C41,121:121)+100</f>
        <v>96</v>
      </c>
      <c r="G41" s="407">
        <v>521.04999999999995</v>
      </c>
      <c r="H41" s="119">
        <f>SUMIF(120:120,G41,121:121)-SUMIF(120:120,C41,121:121)+100</f>
        <v>96</v>
      </c>
      <c r="I41" s="407">
        <v>786.88</v>
      </c>
      <c r="J41" s="374">
        <f>SUMIF(120:120,I41,121:121)-SUMIF(120:120,C41,121:121)+100</f>
        <v>96</v>
      </c>
      <c r="K41" s="1747"/>
      <c r="L41" s="2488"/>
      <c r="M41" s="2490"/>
      <c r="N41" s="2490"/>
      <c r="O41" s="2490"/>
      <c r="P41" s="3431"/>
      <c r="Q41" s="531" t="str">
        <f t="shared" si="11"/>
        <v>单套/主力户型建筑面积</v>
      </c>
      <c r="R41" s="669" t="s">
        <v>18</v>
      </c>
      <c r="S41" s="670">
        <f t="shared" si="12"/>
        <v>96</v>
      </c>
      <c r="T41" s="669" t="s">
        <v>18</v>
      </c>
      <c r="U41" s="670">
        <f t="shared" si="13"/>
        <v>96</v>
      </c>
      <c r="V41" s="669" t="s">
        <v>18</v>
      </c>
      <c r="W41" s="670">
        <f t="shared" si="14"/>
        <v>96</v>
      </c>
      <c r="X41" s="671"/>
      <c r="Y41" s="3433"/>
      <c r="Z41" s="672" t="str">
        <f t="shared" si="18"/>
        <v>单套/主力户型建筑面积</v>
      </c>
      <c r="AA41" s="1263">
        <f t="shared" si="15"/>
        <v>1.0416666666666667</v>
      </c>
      <c r="AB41" s="1263">
        <f t="shared" si="16"/>
        <v>1.0416666666666667</v>
      </c>
      <c r="AC41" s="1263">
        <f t="shared" si="17"/>
        <v>1.0416666666666667</v>
      </c>
    </row>
    <row r="42" spans="1:29" ht="15">
      <c r="A42" s="409"/>
      <c r="B42" s="364" t="s">
        <v>1701</v>
      </c>
      <c r="C42" s="1759" t="s">
        <v>3857</v>
      </c>
      <c r="D42" s="374">
        <v>100</v>
      </c>
      <c r="E42" s="1759" t="s">
        <v>3854</v>
      </c>
      <c r="F42" s="400">
        <f>SUMIF(122:122,E42,123:123)-SUMIF(122:122,C42,123:123)+100</f>
        <v>103</v>
      </c>
      <c r="G42" s="1759" t="s">
        <v>3854</v>
      </c>
      <c r="H42" s="374">
        <f>SUMIF(122:122,G42,123:123)-SUMIF(122:122,C42,123:123)+100</f>
        <v>103</v>
      </c>
      <c r="I42" s="1759" t="s">
        <v>3854</v>
      </c>
      <c r="J42" s="374">
        <f>SUMIF(122:122,I42,123:123)-SUMIF(122:122,C42,123:123)+100</f>
        <v>103</v>
      </c>
      <c r="K42" s="365">
        <v>1</v>
      </c>
      <c r="L42" s="2489"/>
      <c r="M42" s="2484"/>
      <c r="N42" s="2484"/>
      <c r="O42" s="2484"/>
      <c r="P42" s="3431"/>
      <c r="Q42" s="1262" t="str">
        <f t="shared" si="11"/>
        <v>内部装修</v>
      </c>
      <c r="R42" s="667" t="s">
        <v>18</v>
      </c>
      <c r="S42" s="668">
        <f t="shared" si="12"/>
        <v>103</v>
      </c>
      <c r="T42" s="667" t="s">
        <v>18</v>
      </c>
      <c r="U42" s="668">
        <f t="shared" si="13"/>
        <v>103</v>
      </c>
      <c r="V42" s="667" t="s">
        <v>18</v>
      </c>
      <c r="W42" s="668">
        <f t="shared" si="14"/>
        <v>103</v>
      </c>
      <c r="X42" s="1264"/>
      <c r="Y42" s="3433"/>
      <c r="Z42" s="1263" t="str">
        <f t="shared" si="18"/>
        <v>内部装修</v>
      </c>
      <c r="AA42" s="1263">
        <f t="shared" si="15"/>
        <v>0.970873786407767</v>
      </c>
      <c r="AB42" s="1263">
        <f t="shared" si="16"/>
        <v>0.970873786407767</v>
      </c>
      <c r="AC42" s="1263">
        <f t="shared" si="17"/>
        <v>0.970873786407767</v>
      </c>
    </row>
    <row r="43" spans="1:29" ht="15.75" thickBot="1">
      <c r="A43" s="409"/>
      <c r="B43" s="364" t="s">
        <v>1702</v>
      </c>
      <c r="C43" s="1759" t="s">
        <v>3821</v>
      </c>
      <c r="D43" s="374">
        <v>100</v>
      </c>
      <c r="E43" s="1759" t="s">
        <v>3821</v>
      </c>
      <c r="F43" s="400">
        <f>SUMIF(124:124,E43,125:125)-SUMIF(124:124,C43,125:125)+100</f>
        <v>100</v>
      </c>
      <c r="G43" s="1759" t="s">
        <v>3821</v>
      </c>
      <c r="H43" s="374">
        <f>SUMIF(124:124,G43,125:125)-SUMIF(124:124,C43,125:125)+100</f>
        <v>100</v>
      </c>
      <c r="I43" s="1759" t="s">
        <v>3821</v>
      </c>
      <c r="J43" s="374">
        <f>SUMIF(124:124,I43,125:125)-SUMIF(124:124,C43,125:125)+100</f>
        <v>100</v>
      </c>
      <c r="K43" s="365">
        <v>1</v>
      </c>
      <c r="L43" s="2489"/>
      <c r="M43" s="2484"/>
      <c r="N43" s="2484"/>
      <c r="O43" s="2484"/>
      <c r="P43" s="3431"/>
      <c r="Q43" s="1262" t="str">
        <f t="shared" si="11"/>
        <v>内部装修维护情况</v>
      </c>
      <c r="R43" s="667" t="s">
        <v>18</v>
      </c>
      <c r="S43" s="668">
        <f t="shared" si="12"/>
        <v>100</v>
      </c>
      <c r="T43" s="667" t="s">
        <v>18</v>
      </c>
      <c r="U43" s="668">
        <f t="shared" si="13"/>
        <v>100</v>
      </c>
      <c r="V43" s="667" t="s">
        <v>18</v>
      </c>
      <c r="W43" s="668">
        <f t="shared" si="14"/>
        <v>100</v>
      </c>
      <c r="X43" s="1264"/>
      <c r="Y43" s="3433"/>
      <c r="Z43" s="1263" t="str">
        <f t="shared" si="18"/>
        <v>内部装修维护情况</v>
      </c>
      <c r="AA43" s="1263">
        <f t="shared" si="15"/>
        <v>1</v>
      </c>
      <c r="AB43" s="1263">
        <f t="shared" si="16"/>
        <v>1</v>
      </c>
      <c r="AC43" s="1263">
        <f t="shared" si="17"/>
        <v>1</v>
      </c>
    </row>
    <row r="44" spans="1:29" s="102" customFormat="1" ht="15" hidden="1">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5"/>
      <c r="M44" s="2436"/>
      <c r="N44" s="2436"/>
      <c r="O44" s="2436"/>
      <c r="P44" s="3431"/>
      <c r="Q44" s="530">
        <f t="shared" si="11"/>
        <v>111</v>
      </c>
      <c r="R44" s="664" t="s">
        <v>18</v>
      </c>
      <c r="S44" s="665">
        <f t="shared" si="12"/>
        <v>100</v>
      </c>
      <c r="T44" s="664" t="s">
        <v>18</v>
      </c>
      <c r="U44" s="665">
        <f t="shared" si="13"/>
        <v>100</v>
      </c>
      <c r="V44" s="664" t="s">
        <v>18</v>
      </c>
      <c r="W44" s="665">
        <f t="shared" si="14"/>
        <v>100</v>
      </c>
      <c r="X44" s="666"/>
      <c r="Y44" s="3433"/>
      <c r="Z44" s="50">
        <f t="shared" si="18"/>
        <v>111</v>
      </c>
      <c r="AA44" s="50">
        <f t="shared" si="15"/>
        <v>1</v>
      </c>
      <c r="AB44" s="50">
        <f t="shared" si="16"/>
        <v>1</v>
      </c>
      <c r="AC44" s="50">
        <f t="shared" si="17"/>
        <v>1</v>
      </c>
    </row>
    <row r="45" spans="1:29" ht="15" hidden="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9"/>
      <c r="M45" s="2484"/>
      <c r="N45" s="2484"/>
      <c r="O45" s="2484"/>
      <c r="P45" s="3431"/>
      <c r="Q45" s="1262">
        <f t="shared" si="11"/>
        <v>111</v>
      </c>
      <c r="R45" s="667" t="s">
        <v>18</v>
      </c>
      <c r="S45" s="668">
        <f t="shared" si="12"/>
        <v>100</v>
      </c>
      <c r="T45" s="667" t="s">
        <v>18</v>
      </c>
      <c r="U45" s="668">
        <f t="shared" si="13"/>
        <v>100</v>
      </c>
      <c r="V45" s="667" t="s">
        <v>18</v>
      </c>
      <c r="W45" s="668">
        <f t="shared" si="14"/>
        <v>100</v>
      </c>
      <c r="X45" s="1264"/>
      <c r="Y45" s="3433"/>
      <c r="Z45" s="1263">
        <f t="shared" si="18"/>
        <v>111</v>
      </c>
      <c r="AA45" s="1263">
        <f t="shared" si="15"/>
        <v>1</v>
      </c>
      <c r="AB45" s="1263">
        <f t="shared" si="16"/>
        <v>1</v>
      </c>
      <c r="AC45" s="1263">
        <f t="shared" si="17"/>
        <v>1</v>
      </c>
    </row>
    <row r="46" spans="1:29" ht="15.75" hidden="1"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9"/>
      <c r="M46" s="2484"/>
      <c r="N46" s="2484"/>
      <c r="O46" s="2484"/>
      <c r="P46" s="3432"/>
      <c r="Q46" s="1262">
        <f t="shared" si="11"/>
        <v>111</v>
      </c>
      <c r="R46" s="667" t="s">
        <v>17</v>
      </c>
      <c r="S46" s="668">
        <f t="shared" si="12"/>
        <v>100</v>
      </c>
      <c r="T46" s="667" t="s">
        <v>17</v>
      </c>
      <c r="U46" s="668">
        <f t="shared" si="13"/>
        <v>100</v>
      </c>
      <c r="V46" s="667" t="s">
        <v>17</v>
      </c>
      <c r="W46" s="668">
        <f t="shared" si="14"/>
        <v>100</v>
      </c>
      <c r="X46" s="1264"/>
      <c r="Y46" s="3434"/>
      <c r="Z46" s="1263">
        <f t="shared" si="18"/>
        <v>111</v>
      </c>
      <c r="AA46" s="1263">
        <f t="shared" si="15"/>
        <v>1</v>
      </c>
      <c r="AB46" s="1263">
        <f t="shared" si="16"/>
        <v>1</v>
      </c>
      <c r="AC46" s="1263">
        <f t="shared" si="17"/>
        <v>1</v>
      </c>
    </row>
    <row r="47" spans="1:29" ht="15">
      <c r="A47" s="416" t="s">
        <v>1703</v>
      </c>
      <c r="B47" s="417"/>
      <c r="C47" s="1081" t="s">
        <v>16</v>
      </c>
      <c r="D47" s="418"/>
      <c r="E47" s="419">
        <f>Sheet2!L2</f>
        <v>1.96</v>
      </c>
      <c r="F47" s="420"/>
      <c r="G47" s="421">
        <f>Sheet2!L18</f>
        <v>2.25</v>
      </c>
      <c r="H47" s="422"/>
      <c r="I47" s="419">
        <f>Sheet2!L27</f>
        <v>2.56</v>
      </c>
      <c r="J47" s="422"/>
      <c r="K47" s="1764"/>
      <c r="L47" s="2491"/>
      <c r="M47" s="2484"/>
      <c r="N47" s="2484"/>
      <c r="O47" s="2484"/>
      <c r="P47" s="3421" t="str">
        <f>A47</f>
        <v>成交单价（元/平方米）</v>
      </c>
      <c r="Q47" s="3421"/>
      <c r="R47" s="3422">
        <f>E47</f>
        <v>1.96</v>
      </c>
      <c r="S47" s="3422"/>
      <c r="T47" s="3422">
        <f>G47</f>
        <v>2.25</v>
      </c>
      <c r="U47" s="3422"/>
      <c r="V47" s="3422">
        <f>I47</f>
        <v>2.56</v>
      </c>
      <c r="W47" s="3422"/>
      <c r="X47" s="385"/>
      <c r="Y47" s="673"/>
      <c r="Z47" s="385"/>
      <c r="AA47" s="385"/>
      <c r="AB47" s="385"/>
      <c r="AC47" s="385"/>
    </row>
    <row r="48" spans="1:29" ht="15.75" thickBot="1">
      <c r="A48" s="423" t="s">
        <v>1704</v>
      </c>
      <c r="B48" s="424"/>
      <c r="C48" s="1082">
        <f>R49</f>
        <v>2.2999999999999998</v>
      </c>
      <c r="D48" s="2138" t="s">
        <v>2132</v>
      </c>
      <c r="E48" s="1083">
        <f>R48</f>
        <v>2</v>
      </c>
      <c r="F48" s="2139"/>
      <c r="G48" s="1082">
        <f>T48</f>
        <v>2.2999999999999998</v>
      </c>
      <c r="H48" s="2139"/>
      <c r="I48" s="1083">
        <f>V48</f>
        <v>2.5</v>
      </c>
      <c r="J48" s="2139"/>
      <c r="K48" s="2140">
        <f>F48+H48+J48</f>
        <v>0</v>
      </c>
      <c r="L48" s="2491"/>
      <c r="M48" s="2484"/>
      <c r="N48" s="2484"/>
      <c r="O48" s="2484"/>
      <c r="P48" s="3421" t="str">
        <f>A48</f>
        <v>比较价值（元/平方米）</v>
      </c>
      <c r="Q48" s="3421"/>
      <c r="R48" s="3422">
        <f>IF(F1="售价",ROUND(PRODUCT(R47,AA7:AA46),0),ROUND(PRODUCT(R47,AA7:AA46),1))</f>
        <v>2</v>
      </c>
      <c r="S48" s="3422"/>
      <c r="T48" s="3422">
        <f>IF(F1="售价",ROUND(PRODUCT(T47,AB7:AB46),0),ROUND(PRODUCT(T47,AB7:AB46),1))</f>
        <v>2.2999999999999998</v>
      </c>
      <c r="U48" s="3422"/>
      <c r="V48" s="3422">
        <f>IF(F1="售价",ROUND(PRODUCT(V47,AC7:AC46),0),ROUND(PRODUCT(V47,AC7:AC46),1))</f>
        <v>2.5</v>
      </c>
      <c r="W48" s="3422"/>
      <c r="X48" s="385"/>
      <c r="Y48" s="385"/>
      <c r="Z48" s="385"/>
      <c r="AA48" s="385"/>
      <c r="AB48" s="385"/>
      <c r="AC48" s="385"/>
    </row>
    <row r="49" spans="1:29" ht="15.75" thickBot="1">
      <c r="A49" s="427" t="s">
        <v>1705</v>
      </c>
      <c r="B49" s="428"/>
      <c r="C49" s="1084">
        <f>R49</f>
        <v>2.2999999999999998</v>
      </c>
      <c r="D49" s="351"/>
      <c r="E49" s="351"/>
      <c r="F49" s="351"/>
      <c r="G49" s="351"/>
      <c r="H49" s="351"/>
      <c r="I49" s="351"/>
      <c r="J49" s="351"/>
      <c r="K49" s="1765"/>
      <c r="L49" s="2491"/>
      <c r="M49" s="2484"/>
      <c r="N49" s="2484"/>
      <c r="O49" s="2484"/>
      <c r="P49" s="3423" t="str">
        <f>A49</f>
        <v>估价对象XX用房的比较价值（楼面单价，元/平方米）</v>
      </c>
      <c r="Q49" s="3424"/>
      <c r="R49" s="3425">
        <f>IF(F1="售价",ROUND(IF(D48="简单平均",AVERAGE(R48:V48),R48*F48+T48*H48+V48*J48),0),ROUND(IF(D48="简单平均",AVERAGE(R48:V48),R48*F48+T48*H48+V48*J48),1))</f>
        <v>2.2999999999999998</v>
      </c>
      <c r="S49" s="3425"/>
      <c r="T49" s="3425"/>
      <c r="U49" s="3425"/>
      <c r="V49" s="3425"/>
      <c r="W49" s="3425"/>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1706</v>
      </c>
      <c r="D52" s="433"/>
      <c r="E52" s="434">
        <f>IF(E47&lt;E48,E48/E47-1,E47/E48-1)</f>
        <v>2.0408163265306145E-2</v>
      </c>
      <c r="F52" s="435" t="str">
        <f>IF(OR(E52&gt;=0.3,E52&lt;=-0.3),"超过30%","")</f>
        <v/>
      </c>
      <c r="G52" s="434">
        <f>IF(G47&lt;G48,G48/G47-1,G47/G48-1)</f>
        <v>2.2222222222222143E-2</v>
      </c>
      <c r="H52" s="435" t="str">
        <f>IF(OR(G52&gt;=0.3,G52&lt;=-0.3),"超过30%","")</f>
        <v/>
      </c>
      <c r="I52" s="434">
        <f>IF(I47&lt;I48,I48/I47-1,I47/I48-1)</f>
        <v>2.4000000000000021E-2</v>
      </c>
      <c r="J52" s="435" t="str">
        <f>IF(OR(I52&gt;=0.3,I52&lt;=-0.3),"超过30%","")</f>
        <v/>
      </c>
      <c r="K52" s="2496"/>
      <c r="L52" s="2492"/>
      <c r="M52" s="2484"/>
      <c r="N52" s="2484"/>
      <c r="O52" s="2484"/>
    </row>
    <row r="53" spans="1:29" ht="13.5" customHeight="1">
      <c r="A53" s="2484"/>
      <c r="B53" s="2484"/>
      <c r="C53" s="432" t="s">
        <v>1707</v>
      </c>
      <c r="D53" s="436"/>
      <c r="E53" s="434">
        <f>IF(E48&lt;G48,G48/E48-1,E48/G48-1)</f>
        <v>0.14999999999999991</v>
      </c>
      <c r="F53" s="435" t="str">
        <f>IF(OR(E53&gt;=0.2,E53&lt;=-0.2),"超过20%","")</f>
        <v/>
      </c>
      <c r="G53" s="434">
        <f>IF(G48&lt;I48,I48/G48-1,G48/I48-1)</f>
        <v>8.6956521739130599E-2</v>
      </c>
      <c r="H53" s="435" t="str">
        <f>IF(OR(G53&gt;=0.2,G53&lt;=-0.2),"超过20%","")</f>
        <v/>
      </c>
      <c r="I53" s="434">
        <f>IF(I48&lt;E48,E48/I48-1,I48/E48-1)</f>
        <v>0.25</v>
      </c>
      <c r="J53" s="435" t="str">
        <f>IF(OR(I53&gt;=0.2,I53&lt;=-0.2),"超过20%","")</f>
        <v>超过20%</v>
      </c>
      <c r="K53" s="2496"/>
      <c r="L53" s="2492"/>
      <c r="M53" s="2484"/>
      <c r="N53" s="2484"/>
      <c r="O53" s="2484"/>
    </row>
    <row r="54" spans="1:29" s="437" customFormat="1" ht="13.5" customHeight="1">
      <c r="A54" s="2494"/>
      <c r="B54" s="2494"/>
      <c r="C54" s="432" t="s">
        <v>1708</v>
      </c>
      <c r="D54" s="436"/>
      <c r="E54" s="434">
        <f>IF(E47&lt;G47,G47/E47-1,E47/G47-1)</f>
        <v>0.1479591836734695</v>
      </c>
      <c r="F54" s="435" t="str">
        <f>IF(OR(E54&gt;=0.3,E54&lt;=-0.3),"超过30%","")</f>
        <v/>
      </c>
      <c r="G54" s="434">
        <f>IF(G47&lt;I47,I47/G47-1,G47/I47-1)</f>
        <v>0.13777777777777778</v>
      </c>
      <c r="H54" s="435" t="str">
        <f>IF(OR(G54&gt;=0.3,G54&lt;=-0.3),"超过30%","")</f>
        <v/>
      </c>
      <c r="I54" s="434">
        <f>IF(I47&lt;E47,E47/I47-1,I47/E47-1)</f>
        <v>0.30612244897959195</v>
      </c>
      <c r="J54" s="435" t="str">
        <f>IF(OR(I54&gt;=0.3,I54&lt;=-0.3),"超过30%","")</f>
        <v>超过30%</v>
      </c>
      <c r="K54" s="2499"/>
      <c r="L54" s="2493"/>
      <c r="M54" s="2494"/>
      <c r="N54" s="2494"/>
      <c r="O54" s="2494"/>
      <c r="P54" s="1767"/>
    </row>
    <row r="55" spans="1:29" s="437" customFormat="1">
      <c r="A55" s="2494"/>
      <c r="B55" s="2497"/>
      <c r="C55" s="2498"/>
      <c r="D55" s="2494"/>
      <c r="E55" s="2494"/>
      <c r="F55" s="2494"/>
      <c r="G55" s="2494"/>
      <c r="H55" s="2494"/>
      <c r="I55" s="2494"/>
      <c r="J55" s="2494"/>
      <c r="K55" s="2499"/>
      <c r="L55" s="2493"/>
      <c r="M55" s="2494"/>
      <c r="N55" s="2494"/>
      <c r="O55" s="2494"/>
      <c r="P55" s="1767"/>
    </row>
    <row r="56" spans="1:29">
      <c r="A56" s="2484"/>
      <c r="B56" s="2497"/>
      <c r="C56" s="2498"/>
      <c r="D56" s="2484"/>
      <c r="E56" s="2484"/>
      <c r="F56" s="2484"/>
      <c r="G56" s="2484"/>
      <c r="H56" s="2484"/>
      <c r="I56" s="2484"/>
      <c r="J56" s="2484"/>
      <c r="K56" s="2496"/>
      <c r="L56" s="2492"/>
      <c r="M56" s="2484"/>
      <c r="N56" s="2484"/>
      <c r="O56" s="2484"/>
    </row>
    <row r="57" spans="1:29" ht="21.75" thickBot="1">
      <c r="A57" s="658" t="s">
        <v>1709</v>
      </c>
      <c r="B57" s="385"/>
      <c r="C57" s="659"/>
      <c r="D57" s="659"/>
      <c r="E57" s="659"/>
      <c r="F57" s="660"/>
      <c r="G57" s="660"/>
      <c r="H57" s="659"/>
      <c r="I57" s="659"/>
      <c r="J57" s="659"/>
      <c r="K57" s="887"/>
      <c r="L57" s="888"/>
      <c r="M57" s="886"/>
      <c r="N57" s="886"/>
      <c r="O57" s="886"/>
      <c r="P57" s="1768"/>
      <c r="Q57" s="439"/>
    </row>
    <row r="58" spans="1:29" s="442" customFormat="1" ht="15">
      <c r="A58" s="440" t="s">
        <v>1710</v>
      </c>
      <c r="B58" s="441"/>
      <c r="C58" s="1104" t="str">
        <f>YEAR(C7)&amp;"-"&amp;MONTH(C7)</f>
        <v>2024-4</v>
      </c>
      <c r="D58" s="1103">
        <f>EDATE(C58,-1)</f>
        <v>45352</v>
      </c>
      <c r="E58" s="1103">
        <f>EDATE(D58,-1)</f>
        <v>45323</v>
      </c>
      <c r="F58" s="1103">
        <f t="shared" ref="F58:O58" si="19">EDATE(E58,-1)</f>
        <v>45292</v>
      </c>
      <c r="G58" s="1103">
        <f t="shared" si="19"/>
        <v>45261</v>
      </c>
      <c r="H58" s="1103">
        <f t="shared" si="19"/>
        <v>45231</v>
      </c>
      <c r="I58" s="1103">
        <f t="shared" si="19"/>
        <v>45200</v>
      </c>
      <c r="J58" s="1103">
        <f t="shared" si="19"/>
        <v>45170</v>
      </c>
      <c r="K58" s="1103">
        <f t="shared" si="19"/>
        <v>45139</v>
      </c>
      <c r="L58" s="1103">
        <f t="shared" si="19"/>
        <v>45108</v>
      </c>
      <c r="M58" s="1103">
        <f t="shared" si="19"/>
        <v>45078</v>
      </c>
      <c r="N58" s="1103">
        <f t="shared" si="19"/>
        <v>45047</v>
      </c>
      <c r="O58" s="1103">
        <f t="shared" si="19"/>
        <v>45017</v>
      </c>
      <c r="P58" s="1099"/>
    </row>
    <row r="59" spans="1:29" s="102" customFormat="1" ht="15">
      <c r="A59" s="443"/>
      <c r="B59" s="1769"/>
      <c r="C59" s="1101">
        <v>100</v>
      </c>
      <c r="D59" s="445"/>
      <c r="E59" s="446"/>
      <c r="F59" s="446"/>
      <c r="G59" s="446"/>
      <c r="H59" s="446"/>
      <c r="I59" s="446"/>
      <c r="J59" s="446"/>
      <c r="K59" s="446"/>
      <c r="L59" s="446"/>
      <c r="M59" s="447"/>
      <c r="N59" s="446"/>
      <c r="O59" s="447"/>
      <c r="P59" s="1770"/>
    </row>
    <row r="60" spans="1:29" s="102" customFormat="1" ht="15.75" thickBot="1">
      <c r="A60" s="449" t="s">
        <v>1711</v>
      </c>
      <c r="B60" s="450"/>
      <c r="C60" s="451"/>
      <c r="D60" s="452"/>
      <c r="E60" s="452"/>
      <c r="F60" s="452"/>
      <c r="G60" s="452"/>
      <c r="H60" s="452"/>
      <c r="I60" s="452"/>
      <c r="J60" s="452"/>
      <c r="K60" s="452"/>
      <c r="L60" s="452"/>
      <c r="M60" s="453"/>
      <c r="N60" s="452"/>
      <c r="O60" s="453"/>
      <c r="P60" s="1770"/>
      <c r="Q60" s="439"/>
    </row>
    <row r="61" spans="1:29" s="102" customFormat="1" ht="15">
      <c r="A61" s="455" t="s">
        <v>1712</v>
      </c>
      <c r="B61" s="444"/>
      <c r="C61" s="456" t="s">
        <v>1713</v>
      </c>
      <c r="D61" s="3191" t="s">
        <v>3845</v>
      </c>
      <c r="E61" s="31"/>
      <c r="F61" s="31"/>
      <c r="G61" s="31"/>
      <c r="H61" s="31"/>
      <c r="I61" s="31"/>
      <c r="J61" s="31"/>
      <c r="K61" s="31"/>
      <c r="L61" s="457"/>
      <c r="M61" s="458"/>
      <c r="N61" s="878"/>
      <c r="O61" s="878"/>
      <c r="P61" s="1771"/>
      <c r="Q61" s="439"/>
    </row>
    <row r="62" spans="1:29" s="102" customFormat="1" ht="15.75" thickBot="1">
      <c r="A62" s="455"/>
      <c r="B62" s="444"/>
      <c r="C62" s="445">
        <v>100</v>
      </c>
      <c r="D62" s="446">
        <v>102</v>
      </c>
      <c r="E62" s="446"/>
      <c r="F62" s="446"/>
      <c r="G62" s="446"/>
      <c r="H62" s="446"/>
      <c r="I62" s="446"/>
      <c r="J62" s="446"/>
      <c r="K62" s="446"/>
      <c r="L62" s="446"/>
      <c r="M62" s="448"/>
      <c r="N62" s="878"/>
      <c r="O62" s="878"/>
      <c r="P62" s="1770"/>
      <c r="Q62" s="439"/>
    </row>
    <row r="63" spans="1:29">
      <c r="A63" s="379" t="s">
        <v>1714</v>
      </c>
      <c r="B63" s="460" t="s">
        <v>1680</v>
      </c>
      <c r="C63" s="461" t="str">
        <f>C9</f>
        <v>住宅</v>
      </c>
      <c r="D63" s="462"/>
      <c r="E63" s="462"/>
      <c r="F63" s="462"/>
      <c r="G63" s="462"/>
      <c r="H63" s="462"/>
      <c r="I63" s="462"/>
      <c r="J63" s="462"/>
      <c r="K63" s="463"/>
      <c r="L63" s="464"/>
      <c r="M63" s="465"/>
      <c r="N63" s="879"/>
      <c r="O63" s="879"/>
      <c r="P63" s="1772"/>
      <c r="Q63" s="439"/>
    </row>
    <row r="64" spans="1:29" ht="15.75" thickBot="1">
      <c r="A64" s="367"/>
      <c r="B64" s="466"/>
      <c r="C64" s="467">
        <v>100</v>
      </c>
      <c r="D64" s="467"/>
      <c r="E64" s="467"/>
      <c r="F64" s="467"/>
      <c r="G64" s="467"/>
      <c r="H64" s="467"/>
      <c r="I64" s="467"/>
      <c r="J64" s="467"/>
      <c r="K64" s="467"/>
      <c r="L64" s="467"/>
      <c r="M64" s="468"/>
      <c r="N64" s="880"/>
      <c r="O64" s="880"/>
      <c r="P64" s="1772"/>
      <c r="Q64" s="439"/>
    </row>
    <row r="65" spans="1:17" ht="27.75" thickTop="1">
      <c r="A65" s="367"/>
      <c r="B65" s="469" t="s">
        <v>1683</v>
      </c>
      <c r="C65" s="513"/>
      <c r="D65" s="513"/>
      <c r="E65" s="513"/>
      <c r="F65" s="513"/>
      <c r="G65" s="513"/>
      <c r="H65" s="513"/>
      <c r="I65" s="513"/>
      <c r="J65" s="513"/>
      <c r="K65" s="513"/>
      <c r="L65" s="513"/>
      <c r="M65" s="513"/>
      <c r="N65" s="880"/>
      <c r="O65" s="880"/>
      <c r="P65" s="1772"/>
      <c r="Q65" s="439"/>
    </row>
    <row r="66" spans="1:17" ht="15.75" thickBot="1">
      <c r="A66" s="367"/>
      <c r="B66" s="474"/>
      <c r="C66" s="467"/>
      <c r="D66" s="467"/>
      <c r="E66" s="467"/>
      <c r="F66" s="467"/>
      <c r="G66" s="467"/>
      <c r="H66" s="467"/>
      <c r="I66" s="467"/>
      <c r="J66" s="467"/>
      <c r="K66" s="467"/>
      <c r="L66" s="467"/>
      <c r="M66" s="468"/>
      <c r="N66" s="880"/>
      <c r="O66" s="880"/>
      <c r="P66" s="1772"/>
      <c r="Q66" s="439"/>
    </row>
    <row r="67" spans="1:17" ht="15.75" thickTop="1">
      <c r="A67" s="367"/>
      <c r="B67" s="477" t="s">
        <v>1684</v>
      </c>
      <c r="C67" s="478" t="str">
        <f>C68&amp;"（含）"&amp;"-"&amp;D68</f>
        <v>0（含）-1</v>
      </c>
      <c r="D67" s="478" t="str">
        <f t="shared" ref="D67:L67" si="20">D68&amp;"（含）"&amp;"-"&amp;E68</f>
        <v>1（含）-2</v>
      </c>
      <c r="E67" s="478" t="str">
        <f t="shared" si="20"/>
        <v>2（含）-3</v>
      </c>
      <c r="F67" s="478" t="str">
        <f t="shared" si="20"/>
        <v>3（含）-4</v>
      </c>
      <c r="G67" s="478" t="str">
        <f t="shared" si="20"/>
        <v>4（含）-5</v>
      </c>
      <c r="H67" s="478" t="str">
        <f t="shared" si="20"/>
        <v>5（含）-6</v>
      </c>
      <c r="I67" s="478" t="str">
        <f t="shared" si="20"/>
        <v>6（含）-</v>
      </c>
      <c r="J67" s="478" t="str">
        <f t="shared" si="20"/>
        <v>（含）-</v>
      </c>
      <c r="K67" s="478" t="str">
        <f>K68&amp;"（含）"&amp;"-"&amp;L68</f>
        <v>（含）-</v>
      </c>
      <c r="L67" s="478" t="str">
        <f t="shared" si="20"/>
        <v>（含）-</v>
      </c>
      <c r="M67" s="387" t="str">
        <f>M68&amp;"（含）"&amp;"-"&amp;P68</f>
        <v>（含）-</v>
      </c>
      <c r="N67" s="880"/>
      <c r="O67" s="880"/>
      <c r="P67" s="1772"/>
      <c r="Q67" s="439"/>
    </row>
    <row r="68" spans="1:17" ht="15">
      <c r="A68" s="367"/>
      <c r="B68" s="479"/>
      <c r="C68" s="480">
        <v>0</v>
      </c>
      <c r="D68" s="480">
        <v>1</v>
      </c>
      <c r="E68" s="480">
        <v>2</v>
      </c>
      <c r="F68" s="480">
        <v>3</v>
      </c>
      <c r="G68" s="480">
        <v>4</v>
      </c>
      <c r="H68" s="480">
        <v>5</v>
      </c>
      <c r="I68" s="480">
        <v>6</v>
      </c>
      <c r="J68" s="480"/>
      <c r="K68" s="481"/>
      <c r="L68" s="482"/>
      <c r="M68" s="483"/>
      <c r="N68" s="879"/>
      <c r="O68" s="879"/>
      <c r="P68" s="1772"/>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2"/>
      <c r="Q69" s="439"/>
    </row>
    <row r="70" spans="1:17" s="408" customFormat="1" ht="15.75" thickTop="1">
      <c r="A70" s="484"/>
      <c r="B70" s="469">
        <f>B12</f>
        <v>111</v>
      </c>
      <c r="C70" s="485"/>
      <c r="D70" s="485"/>
      <c r="E70" s="485"/>
      <c r="F70" s="485"/>
      <c r="G70" s="485"/>
      <c r="H70" s="486"/>
      <c r="I70" s="486"/>
      <c r="J70" s="486"/>
      <c r="K70" s="486"/>
      <c r="L70" s="487"/>
      <c r="M70" s="488"/>
      <c r="N70" s="881"/>
      <c r="O70" s="881"/>
      <c r="P70" s="1773"/>
      <c r="Q70" s="490"/>
    </row>
    <row r="71" spans="1:17" s="408" customFormat="1" ht="15.75" thickBot="1">
      <c r="A71" s="484"/>
      <c r="B71" s="474"/>
      <c r="C71" s="491"/>
      <c r="D71" s="467"/>
      <c r="E71" s="467"/>
      <c r="F71" s="467"/>
      <c r="G71" s="467"/>
      <c r="H71" s="467"/>
      <c r="I71" s="467"/>
      <c r="J71" s="467"/>
      <c r="K71" s="467"/>
      <c r="L71" s="467"/>
      <c r="M71" s="468"/>
      <c r="N71" s="880"/>
      <c r="O71" s="880"/>
      <c r="P71" s="1773"/>
      <c r="Q71" s="490"/>
    </row>
    <row r="72" spans="1:17" s="408" customFormat="1" ht="15.75" thickTop="1">
      <c r="A72" s="484"/>
      <c r="B72" s="469">
        <f>B13</f>
        <v>111</v>
      </c>
      <c r="C72" s="485"/>
      <c r="D72" s="485"/>
      <c r="E72" s="485"/>
      <c r="F72" s="485"/>
      <c r="G72" s="485"/>
      <c r="H72" s="486"/>
      <c r="I72" s="486"/>
      <c r="J72" s="486"/>
      <c r="K72" s="486"/>
      <c r="L72" s="487"/>
      <c r="M72" s="488"/>
      <c r="N72" s="881"/>
      <c r="O72" s="881"/>
      <c r="P72" s="1774"/>
      <c r="Q72" s="492"/>
    </row>
    <row r="73" spans="1:17" s="408" customFormat="1" ht="15.75" thickBot="1">
      <c r="A73" s="484"/>
      <c r="B73" s="474"/>
      <c r="C73" s="491"/>
      <c r="D73" s="491"/>
      <c r="E73" s="491"/>
      <c r="F73" s="491"/>
      <c r="G73" s="491"/>
      <c r="H73" s="493"/>
      <c r="I73" s="493"/>
      <c r="J73" s="493"/>
      <c r="K73" s="493"/>
      <c r="L73" s="493"/>
      <c r="M73" s="494"/>
      <c r="N73" s="881"/>
      <c r="O73" s="881"/>
      <c r="P73" s="1773"/>
      <c r="Q73" s="490"/>
    </row>
    <row r="74" spans="1:17" s="408" customFormat="1" ht="15.75" thickTop="1">
      <c r="A74" s="484"/>
      <c r="B74" s="477">
        <f>B14</f>
        <v>111</v>
      </c>
      <c r="C74" s="485"/>
      <c r="D74" s="485"/>
      <c r="E74" s="485"/>
      <c r="F74" s="485"/>
      <c r="G74" s="31"/>
      <c r="H74" s="495"/>
      <c r="I74" s="495"/>
      <c r="J74" s="495"/>
      <c r="K74" s="495"/>
      <c r="L74" s="496"/>
      <c r="M74" s="497"/>
      <c r="N74" s="881"/>
      <c r="O74" s="881"/>
      <c r="P74" s="1775"/>
      <c r="Q74" s="490"/>
    </row>
    <row r="75" spans="1:17" s="408" customFormat="1" ht="15.75" thickBot="1">
      <c r="A75" s="499"/>
      <c r="B75" s="500"/>
      <c r="C75" s="501"/>
      <c r="D75" s="501"/>
      <c r="E75" s="501"/>
      <c r="F75" s="501"/>
      <c r="G75" s="501"/>
      <c r="H75" s="502"/>
      <c r="I75" s="502"/>
      <c r="J75" s="502"/>
      <c r="K75" s="502"/>
      <c r="L75" s="502"/>
      <c r="M75" s="503"/>
      <c r="N75" s="881"/>
      <c r="O75" s="881"/>
      <c r="P75" s="1773"/>
      <c r="Q75" s="490"/>
    </row>
    <row r="76" spans="1:17">
      <c r="A76" s="379" t="s">
        <v>1685</v>
      </c>
      <c r="B76" s="460" t="s">
        <v>1715</v>
      </c>
      <c r="C76" s="504" t="s">
        <v>1716</v>
      </c>
      <c r="D76" s="504" t="s">
        <v>1717</v>
      </c>
      <c r="E76" s="504" t="s">
        <v>1718</v>
      </c>
      <c r="F76" s="504" t="s">
        <v>1719</v>
      </c>
      <c r="G76" s="504" t="s">
        <v>1720</v>
      </c>
      <c r="H76" s="461"/>
      <c r="I76" s="461"/>
      <c r="J76" s="461"/>
      <c r="K76" s="505"/>
      <c r="L76" s="506"/>
      <c r="M76" s="507"/>
      <c r="N76" s="879"/>
      <c r="O76" s="879"/>
      <c r="P76" s="1776"/>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80"/>
      <c r="O77" s="880"/>
      <c r="P77" s="1772"/>
      <c r="Q77" s="439"/>
    </row>
    <row r="78" spans="1:17" ht="15.75" thickTop="1">
      <c r="A78" s="367"/>
      <c r="B78" s="469" t="s">
        <v>1721</v>
      </c>
      <c r="C78" s="509" t="s">
        <v>1716</v>
      </c>
      <c r="D78" s="509" t="s">
        <v>1717</v>
      </c>
      <c r="E78" s="509" t="s">
        <v>1718</v>
      </c>
      <c r="F78" s="509" t="s">
        <v>1719</v>
      </c>
      <c r="G78" s="509" t="s">
        <v>1720</v>
      </c>
      <c r="H78" s="470"/>
      <c r="I78" s="470"/>
      <c r="J78" s="470"/>
      <c r="K78" s="471"/>
      <c r="L78" s="472"/>
      <c r="M78" s="473"/>
      <c r="N78" s="879"/>
      <c r="O78" s="879"/>
      <c r="P78" s="1772"/>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80"/>
      <c r="O79" s="880"/>
      <c r="P79" s="1772"/>
      <c r="Q79" s="439"/>
    </row>
    <row r="80" spans="1:17" ht="15.75" thickTop="1">
      <c r="A80" s="367"/>
      <c r="B80" s="469" t="s">
        <v>1722</v>
      </c>
      <c r="C80" s="509" t="s">
        <v>1716</v>
      </c>
      <c r="D80" s="509" t="s">
        <v>1717</v>
      </c>
      <c r="E80" s="509" t="s">
        <v>1718</v>
      </c>
      <c r="F80" s="509" t="s">
        <v>1719</v>
      </c>
      <c r="G80" s="509" t="s">
        <v>1720</v>
      </c>
      <c r="H80" s="470"/>
      <c r="I80" s="470"/>
      <c r="J80" s="470"/>
      <c r="K80" s="471"/>
      <c r="L80" s="472"/>
      <c r="M80" s="473"/>
      <c r="N80" s="879"/>
      <c r="O80" s="879"/>
      <c r="P80" s="1772"/>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880"/>
      <c r="O81" s="880"/>
      <c r="P81" s="1772"/>
      <c r="Q81" s="439"/>
    </row>
    <row r="82" spans="1:17" ht="15.75" thickTop="1">
      <c r="A82" s="367"/>
      <c r="B82" s="477" t="s">
        <v>1255</v>
      </c>
      <c r="C82" s="470" t="s">
        <v>1723</v>
      </c>
      <c r="D82" s="470" t="s">
        <v>1724</v>
      </c>
      <c r="E82" s="470" t="s">
        <v>1725</v>
      </c>
      <c r="F82" s="470" t="s">
        <v>1726</v>
      </c>
      <c r="G82" s="470" t="s">
        <v>1727</v>
      </c>
      <c r="H82" s="470"/>
      <c r="I82" s="470"/>
      <c r="J82" s="470"/>
      <c r="K82" s="470"/>
      <c r="L82" s="470"/>
      <c r="M82" s="1063"/>
      <c r="N82" s="880"/>
      <c r="O82" s="880"/>
      <c r="P82" s="1772"/>
      <c r="Q82" s="439"/>
    </row>
    <row r="83" spans="1:17" ht="15.75" thickBot="1">
      <c r="A83" s="367"/>
      <c r="B83" s="477"/>
      <c r="C83" s="581">
        <v>100</v>
      </c>
      <c r="D83" s="581">
        <f>C83-$K21</f>
        <v>98</v>
      </c>
      <c r="E83" s="581">
        <f t="shared" ref="E83:G83" si="22">D83-$K21</f>
        <v>96</v>
      </c>
      <c r="F83" s="581">
        <f t="shared" si="22"/>
        <v>94</v>
      </c>
      <c r="G83" s="581">
        <f t="shared" si="22"/>
        <v>92</v>
      </c>
      <c r="H83" s="581"/>
      <c r="I83" s="581"/>
      <c r="J83" s="581"/>
      <c r="K83" s="581"/>
      <c r="L83" s="581"/>
      <c r="M83" s="389"/>
      <c r="N83" s="880"/>
      <c r="O83" s="880"/>
      <c r="P83" s="1772"/>
      <c r="Q83" s="439"/>
    </row>
    <row r="84" spans="1:17" ht="15.75" thickTop="1">
      <c r="A84" s="367"/>
      <c r="B84" s="469" t="s">
        <v>1728</v>
      </c>
      <c r="C84" s="509" t="s">
        <v>1716</v>
      </c>
      <c r="D84" s="509" t="s">
        <v>1717</v>
      </c>
      <c r="E84" s="509" t="s">
        <v>1718</v>
      </c>
      <c r="F84" s="509" t="s">
        <v>1719</v>
      </c>
      <c r="G84" s="509" t="s">
        <v>1720</v>
      </c>
      <c r="H84" s="470"/>
      <c r="I84" s="470"/>
      <c r="J84" s="470"/>
      <c r="K84" s="471"/>
      <c r="L84" s="472"/>
      <c r="M84" s="473"/>
      <c r="N84" s="879"/>
      <c r="O84" s="879"/>
      <c r="P84" s="1772"/>
      <c r="Q84" s="439"/>
    </row>
    <row r="85" spans="1:17" ht="15.75" thickBot="1">
      <c r="A85" s="367"/>
      <c r="B85" s="474"/>
      <c r="C85" s="475">
        <v>100</v>
      </c>
      <c r="D85" s="475">
        <f>C85-$K23</f>
        <v>98</v>
      </c>
      <c r="E85" s="475">
        <f>D85-$K23</f>
        <v>96</v>
      </c>
      <c r="F85" s="475">
        <f>E85-$K23</f>
        <v>94</v>
      </c>
      <c r="G85" s="475">
        <f>F85-$K23</f>
        <v>92</v>
      </c>
      <c r="H85" s="475"/>
      <c r="I85" s="475"/>
      <c r="J85" s="475"/>
      <c r="K85" s="475"/>
      <c r="L85" s="475"/>
      <c r="M85" s="476"/>
      <c r="N85" s="880"/>
      <c r="O85" s="880"/>
      <c r="P85" s="1772"/>
      <c r="Q85" s="439"/>
    </row>
    <row r="86" spans="1:17" s="102" customFormat="1" ht="15.75" thickTop="1">
      <c r="A86" s="370"/>
      <c r="B86" s="469" t="s">
        <v>1729</v>
      </c>
      <c r="C86" s="485"/>
      <c r="D86" s="485"/>
      <c r="E86" s="485"/>
      <c r="F86" s="485"/>
      <c r="G86" s="485"/>
      <c r="H86" s="485"/>
      <c r="I86" s="485"/>
      <c r="J86" s="485"/>
      <c r="K86" s="485"/>
      <c r="L86" s="510"/>
      <c r="M86" s="511"/>
      <c r="N86" s="878"/>
      <c r="O86" s="878"/>
      <c r="P86" s="1772"/>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2"/>
      <c r="Q87" s="439"/>
    </row>
    <row r="88" spans="1:17" s="102" customFormat="1" ht="15.75" thickTop="1">
      <c r="A88" s="370"/>
      <c r="B88" s="469" t="s">
        <v>1730</v>
      </c>
      <c r="C88" s="485"/>
      <c r="D88" s="485"/>
      <c r="E88" s="485"/>
      <c r="F88" s="1777"/>
      <c r="G88" s="485"/>
      <c r="H88" s="485"/>
      <c r="I88" s="485"/>
      <c r="J88" s="485"/>
      <c r="K88" s="485"/>
      <c r="L88" s="485"/>
      <c r="M88" s="511"/>
      <c r="N88" s="878"/>
      <c r="O88" s="878"/>
      <c r="P88" s="1772"/>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2"/>
      <c r="Q89" s="439"/>
    </row>
    <row r="90" spans="1:17" s="408" customFormat="1" ht="15.75" thickTop="1">
      <c r="A90" s="484"/>
      <c r="B90" s="469">
        <f>B27</f>
        <v>111</v>
      </c>
      <c r="C90" s="485"/>
      <c r="D90" s="485"/>
      <c r="E90" s="485"/>
      <c r="F90" s="485"/>
      <c r="G90" s="485"/>
      <c r="H90" s="486"/>
      <c r="I90" s="486"/>
      <c r="J90" s="486"/>
      <c r="K90" s="486"/>
      <c r="L90" s="487"/>
      <c r="M90" s="488"/>
      <c r="N90" s="881"/>
      <c r="O90" s="881"/>
      <c r="P90" s="1773"/>
      <c r="Q90" s="490"/>
    </row>
    <row r="91" spans="1:17" s="408" customFormat="1" ht="15.75" thickBot="1">
      <c r="A91" s="484"/>
      <c r="B91" s="474"/>
      <c r="C91" s="491"/>
      <c r="D91" s="491"/>
      <c r="E91" s="491"/>
      <c r="F91" s="491"/>
      <c r="G91" s="491"/>
      <c r="H91" s="493"/>
      <c r="I91" s="493"/>
      <c r="J91" s="493"/>
      <c r="K91" s="493"/>
      <c r="L91" s="493"/>
      <c r="M91" s="494"/>
      <c r="N91" s="881"/>
      <c r="O91" s="881"/>
      <c r="P91" s="1773"/>
      <c r="Q91" s="490"/>
    </row>
    <row r="92" spans="1:17" ht="15.75" thickTop="1">
      <c r="A92" s="367"/>
      <c r="B92" s="469">
        <f>B28</f>
        <v>111</v>
      </c>
      <c r="C92" s="485"/>
      <c r="D92" s="485"/>
      <c r="E92" s="485"/>
      <c r="F92" s="485"/>
      <c r="G92" s="513"/>
      <c r="H92" s="513"/>
      <c r="I92" s="513"/>
      <c r="J92" s="513"/>
      <c r="K92" s="514"/>
      <c r="L92" s="515"/>
      <c r="M92" s="516"/>
      <c r="N92" s="879"/>
      <c r="O92" s="879"/>
      <c r="P92" s="1772"/>
      <c r="Q92" s="439"/>
    </row>
    <row r="93" spans="1:17" ht="15.75" thickBot="1">
      <c r="A93" s="367"/>
      <c r="B93" s="474"/>
      <c r="C93" s="491"/>
      <c r="D93" s="467"/>
      <c r="E93" s="467"/>
      <c r="F93" s="467"/>
      <c r="G93" s="467"/>
      <c r="H93" s="467"/>
      <c r="I93" s="467"/>
      <c r="J93" s="467"/>
      <c r="K93" s="467"/>
      <c r="L93" s="467"/>
      <c r="M93" s="468"/>
      <c r="N93" s="880"/>
      <c r="O93" s="880"/>
      <c r="P93" s="1772"/>
      <c r="Q93" s="439"/>
    </row>
    <row r="94" spans="1:17" ht="15.75" thickTop="1">
      <c r="A94" s="367"/>
      <c r="B94" s="469">
        <f>B29</f>
        <v>111</v>
      </c>
      <c r="C94" s="485"/>
      <c r="D94" s="485"/>
      <c r="E94" s="485"/>
      <c r="F94" s="485"/>
      <c r="G94" s="513"/>
      <c r="H94" s="513"/>
      <c r="I94" s="513"/>
      <c r="J94" s="513"/>
      <c r="K94" s="514"/>
      <c r="L94" s="515"/>
      <c r="M94" s="516"/>
      <c r="N94" s="879"/>
      <c r="O94" s="879"/>
      <c r="P94" s="1772"/>
      <c r="Q94" s="439"/>
    </row>
    <row r="95" spans="1:17" ht="15.75" thickBot="1">
      <c r="A95" s="367"/>
      <c r="B95" s="474"/>
      <c r="C95" s="491"/>
      <c r="D95" s="491"/>
      <c r="E95" s="491"/>
      <c r="F95" s="491"/>
      <c r="G95" s="467"/>
      <c r="H95" s="467"/>
      <c r="I95" s="467"/>
      <c r="J95" s="467"/>
      <c r="K95" s="467"/>
      <c r="L95" s="467"/>
      <c r="M95" s="468"/>
      <c r="N95" s="880"/>
      <c r="O95" s="880"/>
      <c r="P95" s="1772"/>
      <c r="Q95" s="439"/>
    </row>
    <row r="96" spans="1:17" ht="15.75" thickTop="1">
      <c r="A96" s="367"/>
      <c r="B96" s="469">
        <f>B30</f>
        <v>111</v>
      </c>
      <c r="C96" s="485"/>
      <c r="D96" s="485"/>
      <c r="E96" s="485"/>
      <c r="F96" s="485"/>
      <c r="G96" s="513"/>
      <c r="H96" s="513"/>
      <c r="I96" s="513"/>
      <c r="J96" s="513"/>
      <c r="K96" s="514"/>
      <c r="L96" s="515"/>
      <c r="M96" s="516"/>
      <c r="N96" s="879"/>
      <c r="O96" s="879"/>
      <c r="P96" s="1772"/>
      <c r="Q96" s="439"/>
    </row>
    <row r="97" spans="1:17" ht="15.75" thickBot="1">
      <c r="A97" s="367"/>
      <c r="B97" s="474"/>
      <c r="C97" s="501"/>
      <c r="D97" s="501"/>
      <c r="E97" s="501"/>
      <c r="F97" s="501"/>
      <c r="G97" s="467"/>
      <c r="H97" s="467"/>
      <c r="I97" s="467"/>
      <c r="J97" s="467"/>
      <c r="K97" s="467"/>
      <c r="L97" s="467"/>
      <c r="M97" s="468"/>
      <c r="N97" s="880"/>
      <c r="O97" s="880"/>
      <c r="P97" s="1772"/>
      <c r="Q97" s="439"/>
    </row>
    <row r="98" spans="1:17" ht="15.75" thickTop="1">
      <c r="A98" s="367"/>
      <c r="B98" s="477">
        <f>B31</f>
        <v>111</v>
      </c>
      <c r="C98" s="517"/>
      <c r="D98" s="517"/>
      <c r="E98" s="517"/>
      <c r="F98" s="517"/>
      <c r="G98" s="517"/>
      <c r="H98" s="517"/>
      <c r="I98" s="517"/>
      <c r="J98" s="517"/>
      <c r="K98" s="518"/>
      <c r="L98" s="519"/>
      <c r="M98" s="520"/>
      <c r="N98" s="879"/>
      <c r="O98" s="879"/>
      <c r="P98" s="1772"/>
      <c r="Q98" s="439"/>
    </row>
    <row r="99" spans="1:17" ht="15.75" thickBot="1">
      <c r="A99" s="375"/>
      <c r="B99" s="500"/>
      <c r="C99" s="521"/>
      <c r="D99" s="521"/>
      <c r="E99" s="521"/>
      <c r="F99" s="521"/>
      <c r="G99" s="521"/>
      <c r="H99" s="521"/>
      <c r="I99" s="521"/>
      <c r="J99" s="521"/>
      <c r="K99" s="521"/>
      <c r="L99" s="521"/>
      <c r="M99" s="522"/>
      <c r="N99" s="880"/>
      <c r="O99" s="880"/>
      <c r="P99" s="1772"/>
      <c r="Q99" s="439"/>
    </row>
    <row r="100" spans="1:17">
      <c r="A100" s="379" t="s">
        <v>1689</v>
      </c>
      <c r="B100" s="460" t="s">
        <v>1731</v>
      </c>
      <c r="C100" s="3184" t="s">
        <v>3846</v>
      </c>
      <c r="D100" s="462"/>
      <c r="E100" s="462"/>
      <c r="F100" s="462"/>
      <c r="G100" s="462"/>
      <c r="H100" s="462"/>
      <c r="I100" s="462"/>
      <c r="J100" s="462"/>
      <c r="K100" s="463"/>
      <c r="L100" s="464"/>
      <c r="M100" s="465"/>
      <c r="N100" s="879"/>
      <c r="O100" s="879"/>
      <c r="P100" s="1772"/>
      <c r="Q100" s="439"/>
    </row>
    <row r="101" spans="1:17" ht="15.75" thickBot="1">
      <c r="A101" s="367"/>
      <c r="B101" s="474"/>
      <c r="C101" s="475">
        <v>100</v>
      </c>
      <c r="D101" s="475">
        <f t="shared" ref="D101:M101" si="25">C101-$K32</f>
        <v>99</v>
      </c>
      <c r="E101" s="475">
        <f t="shared" si="25"/>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0"/>
      <c r="O101" s="880"/>
      <c r="P101" s="1772"/>
      <c r="Q101" s="439"/>
    </row>
    <row r="102" spans="1:17" ht="29.25" thickTop="1">
      <c r="A102" s="367"/>
      <c r="B102" s="469" t="s">
        <v>1732</v>
      </c>
      <c r="C102" s="509" t="str">
        <f>C103&amp;"(含)"&amp;"-"&amp;D103</f>
        <v>0(含)-100000</v>
      </c>
      <c r="D102" s="509" t="str">
        <f t="shared" ref="D102:L102" si="26">D103&amp;"(含)"&amp;"-"&amp;E103</f>
        <v>100000(含)-200000</v>
      </c>
      <c r="E102" s="509" t="str">
        <f t="shared" si="26"/>
        <v>200000(含)-300000</v>
      </c>
      <c r="F102" s="509" t="str">
        <f t="shared" si="26"/>
        <v>300000(含)-400000</v>
      </c>
      <c r="G102" s="509" t="str">
        <f t="shared" si="26"/>
        <v>400000(含)-500000</v>
      </c>
      <c r="H102" s="509" t="str">
        <f t="shared" si="26"/>
        <v>500000(含)-600000</v>
      </c>
      <c r="I102" s="509" t="str">
        <f t="shared" si="26"/>
        <v>600000(含)-</v>
      </c>
      <c r="J102" s="509" t="str">
        <f t="shared" si="26"/>
        <v>(含)-</v>
      </c>
      <c r="K102" s="509" t="str">
        <f>K103&amp;"(含)"&amp;"-"&amp;L103</f>
        <v>(含)-</v>
      </c>
      <c r="L102" s="509" t="str">
        <f t="shared" si="26"/>
        <v>(含)-</v>
      </c>
      <c r="M102" s="509" t="str">
        <f>M103&amp;"(含)"&amp;"-"&amp;P103</f>
        <v>(含)-</v>
      </c>
      <c r="N102" s="878"/>
      <c r="O102" s="878"/>
      <c r="P102" s="1772"/>
      <c r="Q102" s="439"/>
    </row>
    <row r="103" spans="1:17" s="408" customFormat="1">
      <c r="A103" s="406"/>
      <c r="B103" s="523"/>
      <c r="C103" s="6">
        <v>0</v>
      </c>
      <c r="D103" s="6">
        <v>100000</v>
      </c>
      <c r="E103" s="6">
        <v>200000</v>
      </c>
      <c r="F103" s="6">
        <v>300000</v>
      </c>
      <c r="G103" s="6">
        <v>400000</v>
      </c>
      <c r="H103" s="6">
        <v>500000</v>
      </c>
      <c r="I103" s="6">
        <v>600000</v>
      </c>
      <c r="J103" s="524"/>
      <c r="K103" s="524"/>
      <c r="L103" s="525"/>
      <c r="M103" s="526"/>
      <c r="N103" s="881"/>
      <c r="O103" s="881"/>
      <c r="P103" s="1773"/>
      <c r="Q103" s="490"/>
    </row>
    <row r="104" spans="1:17" s="408" customFormat="1" ht="15.75" thickBot="1">
      <c r="A104" s="484"/>
      <c r="B104" s="474"/>
      <c r="C104" s="491">
        <v>100</v>
      </c>
      <c r="D104" s="467">
        <v>101</v>
      </c>
      <c r="E104" s="491">
        <v>102</v>
      </c>
      <c r="F104" s="467">
        <v>103</v>
      </c>
      <c r="G104" s="491">
        <v>104</v>
      </c>
      <c r="H104" s="467">
        <v>105</v>
      </c>
      <c r="I104" s="491">
        <v>106</v>
      </c>
      <c r="J104" s="467"/>
      <c r="K104" s="467"/>
      <c r="L104" s="467"/>
      <c r="M104" s="467"/>
      <c r="N104" s="880"/>
      <c r="O104" s="880"/>
      <c r="P104" s="1773"/>
      <c r="Q104" s="490"/>
    </row>
    <row r="105" spans="1:17" ht="15" thickTop="1">
      <c r="A105" s="409"/>
      <c r="B105" s="469" t="s">
        <v>1733</v>
      </c>
      <c r="C105" s="3186" t="s">
        <v>3847</v>
      </c>
      <c r="D105" s="485"/>
      <c r="E105" s="513"/>
      <c r="F105" s="513"/>
      <c r="G105" s="513"/>
      <c r="H105" s="513"/>
      <c r="I105" s="513"/>
      <c r="J105" s="513"/>
      <c r="K105" s="514"/>
      <c r="L105" s="515"/>
      <c r="M105" s="516"/>
      <c r="N105" s="879"/>
      <c r="O105" s="879"/>
      <c r="P105" s="1772"/>
      <c r="Q105" s="439"/>
    </row>
    <row r="106" spans="1:17" ht="15.75" thickBot="1">
      <c r="A106" s="367"/>
      <c r="B106" s="474"/>
      <c r="C106" s="475">
        <v>100</v>
      </c>
      <c r="D106" s="475">
        <f t="shared" ref="D106:M106" si="27">C106-$K34</f>
        <v>99</v>
      </c>
      <c r="E106" s="475">
        <f t="shared" si="27"/>
        <v>98</v>
      </c>
      <c r="F106" s="475">
        <f t="shared" si="27"/>
        <v>97</v>
      </c>
      <c r="G106" s="475">
        <f t="shared" si="27"/>
        <v>96</v>
      </c>
      <c r="H106" s="475">
        <f t="shared" si="27"/>
        <v>95</v>
      </c>
      <c r="I106" s="475">
        <f t="shared" si="27"/>
        <v>94</v>
      </c>
      <c r="J106" s="475">
        <f t="shared" si="27"/>
        <v>93</v>
      </c>
      <c r="K106" s="475">
        <f t="shared" si="27"/>
        <v>92</v>
      </c>
      <c r="L106" s="475">
        <f t="shared" si="27"/>
        <v>91</v>
      </c>
      <c r="M106" s="475">
        <f t="shared" si="27"/>
        <v>90</v>
      </c>
      <c r="N106" s="880"/>
      <c r="O106" s="880"/>
      <c r="P106" s="1772"/>
      <c r="Q106" s="439"/>
    </row>
    <row r="107" spans="1:17" ht="15" thickTop="1">
      <c r="A107" s="409"/>
      <c r="B107" s="469" t="s">
        <v>1734</v>
      </c>
      <c r="C107" s="3185" t="s">
        <v>3848</v>
      </c>
      <c r="D107" s="3185" t="s">
        <v>3849</v>
      </c>
      <c r="E107" s="513"/>
      <c r="F107" s="513"/>
      <c r="G107" s="513"/>
      <c r="H107" s="513"/>
      <c r="I107" s="513"/>
      <c r="J107" s="513"/>
      <c r="K107" s="514"/>
      <c r="L107" s="515"/>
      <c r="M107" s="516"/>
      <c r="N107" s="879"/>
      <c r="O107" s="879"/>
      <c r="P107" s="1772"/>
      <c r="Q107" s="439"/>
    </row>
    <row r="108" spans="1:17" ht="15.75"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5">
        <f t="shared" si="28"/>
        <v>80</v>
      </c>
      <c r="N108" s="880"/>
      <c r="O108" s="880"/>
      <c r="P108" s="1772"/>
      <c r="Q108" s="439"/>
    </row>
    <row r="109" spans="1:17" ht="15" thickTop="1">
      <c r="A109" s="409"/>
      <c r="B109" s="469" t="s">
        <v>1735</v>
      </c>
      <c r="C109" s="3186" t="s">
        <v>3850</v>
      </c>
      <c r="D109" s="3186" t="s">
        <v>3851</v>
      </c>
      <c r="E109" s="485"/>
      <c r="F109" s="513"/>
      <c r="G109" s="513"/>
      <c r="H109" s="513"/>
      <c r="I109" s="513"/>
      <c r="J109" s="513"/>
      <c r="K109" s="514"/>
      <c r="L109" s="515"/>
      <c r="M109" s="516"/>
      <c r="N109" s="879"/>
      <c r="O109" s="879"/>
      <c r="P109" s="1772"/>
      <c r="Q109" s="439"/>
    </row>
    <row r="110" spans="1:17" ht="15.75"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80"/>
      <c r="O110" s="880"/>
      <c r="P110" s="1772"/>
      <c r="Q110" s="439"/>
    </row>
    <row r="111" spans="1:17" s="408" customFormat="1" ht="15" thickTop="1">
      <c r="A111" s="406"/>
      <c r="B111" s="469" t="s">
        <v>1185</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3"/>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3"/>
      <c r="Q113" s="490"/>
    </row>
    <row r="114" spans="1:17" ht="15" thickTop="1">
      <c r="A114" s="409"/>
      <c r="B114" s="469" t="s">
        <v>1736</v>
      </c>
      <c r="C114" s="3186" t="s">
        <v>3852</v>
      </c>
      <c r="D114" s="485"/>
      <c r="E114" s="513"/>
      <c r="F114" s="513"/>
      <c r="G114" s="513"/>
      <c r="H114" s="513"/>
      <c r="I114" s="513"/>
      <c r="J114" s="513"/>
      <c r="K114" s="514"/>
      <c r="L114" s="515"/>
      <c r="M114" s="516"/>
      <c r="N114" s="879"/>
      <c r="O114" s="879"/>
      <c r="P114" s="1772"/>
      <c r="Q114" s="439"/>
    </row>
    <row r="115" spans="1:17" ht="15.75" thickBot="1">
      <c r="A115" s="367"/>
      <c r="B115" s="474"/>
      <c r="C115" s="475">
        <v>100</v>
      </c>
      <c r="D115" s="475">
        <f t="shared" ref="D115:M115" si="30">C115-$K38</f>
        <v>99</v>
      </c>
      <c r="E115" s="475">
        <f t="shared" si="30"/>
        <v>98</v>
      </c>
      <c r="F115" s="475">
        <f t="shared" si="30"/>
        <v>97</v>
      </c>
      <c r="G115" s="475">
        <f t="shared" si="30"/>
        <v>96</v>
      </c>
      <c r="H115" s="475">
        <f t="shared" si="30"/>
        <v>95</v>
      </c>
      <c r="I115" s="475">
        <f t="shared" si="30"/>
        <v>94</v>
      </c>
      <c r="J115" s="475">
        <f t="shared" si="30"/>
        <v>93</v>
      </c>
      <c r="K115" s="475">
        <f t="shared" si="30"/>
        <v>92</v>
      </c>
      <c r="L115" s="475">
        <f t="shared" si="30"/>
        <v>91</v>
      </c>
      <c r="M115" s="475">
        <f t="shared" si="30"/>
        <v>90</v>
      </c>
      <c r="N115" s="880"/>
      <c r="O115" s="880"/>
      <c r="P115" s="1772"/>
      <c r="Q115" s="439"/>
    </row>
    <row r="116" spans="1:17" ht="15" thickTop="1">
      <c r="A116" s="409"/>
      <c r="B116" s="469" t="s">
        <v>1737</v>
      </c>
      <c r="C116" s="3186" t="s">
        <v>3808</v>
      </c>
      <c r="D116" s="485"/>
      <c r="E116" s="485"/>
      <c r="F116" s="485"/>
      <c r="G116" s="485"/>
      <c r="H116" s="513"/>
      <c r="I116" s="513"/>
      <c r="J116" s="513"/>
      <c r="K116" s="514"/>
      <c r="L116" s="515"/>
      <c r="M116" s="516"/>
      <c r="N116" s="879"/>
      <c r="O116" s="879"/>
      <c r="P116" s="1772"/>
      <c r="Q116" s="439"/>
    </row>
    <row r="117" spans="1:17" ht="15.75" thickBot="1">
      <c r="A117" s="367"/>
      <c r="B117" s="474"/>
      <c r="C117" s="475">
        <v>100</v>
      </c>
      <c r="D117" s="475">
        <f>C117-$K39</f>
        <v>99</v>
      </c>
      <c r="E117" s="475">
        <f>D117-$K39</f>
        <v>98</v>
      </c>
      <c r="F117" s="475">
        <f>E117-$K39</f>
        <v>97</v>
      </c>
      <c r="G117" s="475">
        <f>F117-$K39</f>
        <v>96</v>
      </c>
      <c r="H117" s="475"/>
      <c r="I117" s="475"/>
      <c r="J117" s="475"/>
      <c r="K117" s="475"/>
      <c r="L117" s="475"/>
      <c r="M117" s="476"/>
      <c r="N117" s="880"/>
      <c r="O117" s="880"/>
      <c r="P117" s="1772"/>
      <c r="Q117" s="439"/>
    </row>
    <row r="118" spans="1:17" ht="15" thickTop="1">
      <c r="A118" s="409"/>
      <c r="B118" s="469" t="s">
        <v>1738</v>
      </c>
      <c r="C118" s="3185" t="s">
        <v>3853</v>
      </c>
      <c r="D118" s="513"/>
      <c r="E118" s="513"/>
      <c r="F118" s="513"/>
      <c r="G118" s="513"/>
      <c r="H118" s="513"/>
      <c r="I118" s="513"/>
      <c r="J118" s="513"/>
      <c r="K118" s="514"/>
      <c r="L118" s="515"/>
      <c r="M118" s="516"/>
      <c r="N118" s="879"/>
      <c r="O118" s="879"/>
      <c r="P118" s="1772"/>
      <c r="Q118" s="439"/>
    </row>
    <row r="119" spans="1:17" ht="15.75" thickBot="1">
      <c r="A119" s="367"/>
      <c r="B119" s="474"/>
      <c r="C119" s="475">
        <v>100</v>
      </c>
      <c r="D119" s="475">
        <f t="shared" ref="D119:M119" si="31">C119-$K40</f>
        <v>99</v>
      </c>
      <c r="E119" s="475">
        <f t="shared" si="31"/>
        <v>98</v>
      </c>
      <c r="F119" s="475">
        <f t="shared" si="31"/>
        <v>97</v>
      </c>
      <c r="G119" s="475">
        <f t="shared" si="31"/>
        <v>96</v>
      </c>
      <c r="H119" s="475">
        <f t="shared" si="31"/>
        <v>95</v>
      </c>
      <c r="I119" s="475">
        <f t="shared" si="31"/>
        <v>94</v>
      </c>
      <c r="J119" s="475">
        <f t="shared" si="31"/>
        <v>93</v>
      </c>
      <c r="K119" s="475">
        <f t="shared" si="31"/>
        <v>92</v>
      </c>
      <c r="L119" s="475">
        <f t="shared" si="31"/>
        <v>91</v>
      </c>
      <c r="M119" s="475">
        <f t="shared" si="31"/>
        <v>90</v>
      </c>
      <c r="N119" s="880"/>
      <c r="O119" s="880"/>
      <c r="P119" s="1772"/>
      <c r="Q119" s="439"/>
    </row>
    <row r="120" spans="1:17" s="408" customFormat="1" ht="28.5" thickTop="1">
      <c r="A120" s="406"/>
      <c r="B120" s="469" t="s">
        <v>1700</v>
      </c>
      <c r="C120" s="485">
        <v>1908.63</v>
      </c>
      <c r="D120" s="485">
        <v>510.8</v>
      </c>
      <c r="E120" s="485">
        <v>521.04999999999995</v>
      </c>
      <c r="F120" s="485">
        <v>786.88</v>
      </c>
      <c r="G120" s="485"/>
      <c r="H120" s="485"/>
      <c r="I120" s="485"/>
      <c r="J120" s="485"/>
      <c r="K120" s="485"/>
      <c r="L120" s="510"/>
      <c r="M120" s="511"/>
      <c r="N120" s="881"/>
      <c r="O120" s="881"/>
      <c r="P120" s="1773"/>
      <c r="Q120" s="490"/>
    </row>
    <row r="121" spans="1:17" s="408" customFormat="1" ht="15.75" thickBot="1">
      <c r="A121" s="484"/>
      <c r="B121" s="466"/>
      <c r="C121" s="491">
        <v>100</v>
      </c>
      <c r="D121" s="467">
        <v>96</v>
      </c>
      <c r="E121" s="467">
        <v>96</v>
      </c>
      <c r="F121" s="467">
        <v>96</v>
      </c>
      <c r="G121" s="467"/>
      <c r="H121" s="467"/>
      <c r="I121" s="467"/>
      <c r="J121" s="467"/>
      <c r="K121" s="467"/>
      <c r="L121" s="467"/>
      <c r="M121" s="467"/>
      <c r="N121" s="881"/>
      <c r="O121" s="881"/>
      <c r="P121" s="1773"/>
      <c r="Q121" s="490"/>
    </row>
    <row r="122" spans="1:17" ht="15" thickTop="1">
      <c r="A122" s="409"/>
      <c r="B122" s="469" t="s">
        <v>1739</v>
      </c>
      <c r="C122" s="3186" t="s">
        <v>3854</v>
      </c>
      <c r="D122" s="3186" t="s">
        <v>3855</v>
      </c>
      <c r="E122" s="3186" t="s">
        <v>3856</v>
      </c>
      <c r="F122" s="3185" t="s">
        <v>3857</v>
      </c>
      <c r="G122" s="513"/>
      <c r="H122" s="513"/>
      <c r="I122" s="513"/>
      <c r="J122" s="513"/>
      <c r="K122" s="514"/>
      <c r="L122" s="515"/>
      <c r="M122" s="516"/>
      <c r="N122" s="879"/>
      <c r="O122" s="879"/>
      <c r="P122" s="1772"/>
      <c r="Q122" s="439"/>
    </row>
    <row r="123" spans="1:17" ht="15.75"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5">
        <f t="shared" si="32"/>
        <v>90</v>
      </c>
      <c r="N123" s="880"/>
      <c r="O123" s="880"/>
      <c r="P123" s="1772"/>
      <c r="Q123" s="439"/>
    </row>
    <row r="124" spans="1:17" ht="15" thickTop="1">
      <c r="A124" s="409"/>
      <c r="B124" s="469" t="s">
        <v>1740</v>
      </c>
      <c r="C124" s="509" t="s">
        <v>1716</v>
      </c>
      <c r="D124" s="509" t="s">
        <v>1717</v>
      </c>
      <c r="E124" s="509" t="s">
        <v>1718</v>
      </c>
      <c r="F124" s="509" t="s">
        <v>1719</v>
      </c>
      <c r="G124" s="509" t="s">
        <v>1720</v>
      </c>
      <c r="H124" s="470"/>
      <c r="I124" s="470"/>
      <c r="J124" s="470"/>
      <c r="K124" s="471"/>
      <c r="L124" s="472"/>
      <c r="M124" s="473"/>
      <c r="N124" s="879"/>
      <c r="O124" s="879"/>
      <c r="P124" s="1773"/>
      <c r="Q124" s="439"/>
    </row>
    <row r="125" spans="1:17" ht="15.75" thickBot="1">
      <c r="A125" s="367"/>
      <c r="B125" s="474"/>
      <c r="C125" s="475">
        <v>100</v>
      </c>
      <c r="D125" s="475">
        <f>C125-$K43</f>
        <v>99</v>
      </c>
      <c r="E125" s="475">
        <f>D125-$K43</f>
        <v>98</v>
      </c>
      <c r="F125" s="475">
        <f>E125-$K43</f>
        <v>97</v>
      </c>
      <c r="G125" s="475">
        <f>F125-$K43</f>
        <v>96</v>
      </c>
      <c r="H125" s="475"/>
      <c r="I125" s="475"/>
      <c r="J125" s="475"/>
      <c r="K125" s="475"/>
      <c r="L125" s="475"/>
      <c r="M125" s="476"/>
      <c r="N125" s="880"/>
      <c r="O125" s="880"/>
      <c r="P125" s="1772"/>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3"/>
      <c r="Q126" s="490"/>
    </row>
    <row r="127" spans="1:17" s="408" customFormat="1" ht="15.75" thickBot="1">
      <c r="A127" s="484"/>
      <c r="B127" s="474"/>
      <c r="C127" s="491"/>
      <c r="D127" s="467"/>
      <c r="E127" s="467"/>
      <c r="F127" s="467"/>
      <c r="G127" s="491"/>
      <c r="H127" s="493"/>
      <c r="I127" s="493"/>
      <c r="J127" s="493"/>
      <c r="K127" s="493"/>
      <c r="L127" s="493"/>
      <c r="M127" s="494"/>
      <c r="N127" s="881"/>
      <c r="O127" s="881"/>
      <c r="P127" s="1773"/>
      <c r="Q127" s="490"/>
    </row>
    <row r="128" spans="1:17" ht="15" thickTop="1">
      <c r="A128" s="409"/>
      <c r="B128" s="469">
        <f>B45</f>
        <v>111</v>
      </c>
      <c r="C128" s="485"/>
      <c r="D128" s="485"/>
      <c r="E128" s="485"/>
      <c r="F128" s="485"/>
      <c r="G128" s="513"/>
      <c r="H128" s="513"/>
      <c r="I128" s="513"/>
      <c r="J128" s="513"/>
      <c r="K128" s="514"/>
      <c r="L128" s="515"/>
      <c r="M128" s="516"/>
      <c r="N128" s="879"/>
      <c r="O128" s="879"/>
      <c r="P128" s="1772"/>
      <c r="Q128" s="439"/>
    </row>
    <row r="129" spans="1:17" ht="15.75" thickBot="1">
      <c r="A129" s="367"/>
      <c r="B129" s="474"/>
      <c r="C129" s="491"/>
      <c r="D129" s="491"/>
      <c r="E129" s="491"/>
      <c r="F129" s="491"/>
      <c r="G129" s="467"/>
      <c r="H129" s="467"/>
      <c r="I129" s="467"/>
      <c r="J129" s="467"/>
      <c r="K129" s="467"/>
      <c r="L129" s="467"/>
      <c r="M129" s="468"/>
      <c r="N129" s="880"/>
      <c r="O129" s="880"/>
      <c r="P129" s="1772"/>
      <c r="Q129" s="439"/>
    </row>
    <row r="130" spans="1:17" ht="15" thickTop="1">
      <c r="A130" s="409"/>
      <c r="B130" s="477">
        <f>B46</f>
        <v>111</v>
      </c>
      <c r="C130" s="485"/>
      <c r="D130" s="485"/>
      <c r="E130" s="485"/>
      <c r="F130" s="485"/>
      <c r="G130" s="517"/>
      <c r="H130" s="517"/>
      <c r="I130" s="517"/>
      <c r="J130" s="517"/>
      <c r="K130" s="31"/>
      <c r="L130" s="457"/>
      <c r="M130" s="520"/>
      <c r="N130" s="879"/>
      <c r="O130" s="879"/>
      <c r="P130" s="1772"/>
      <c r="Q130" s="439"/>
    </row>
    <row r="131" spans="1:17" ht="15.75" thickBot="1">
      <c r="A131" s="375"/>
      <c r="B131" s="500"/>
      <c r="C131" s="501"/>
      <c r="D131" s="501"/>
      <c r="E131" s="501"/>
      <c r="F131" s="501"/>
      <c r="G131" s="521"/>
      <c r="H131" s="521"/>
      <c r="I131" s="521"/>
      <c r="J131" s="521"/>
      <c r="K131" s="521"/>
      <c r="L131" s="521"/>
      <c r="M131" s="522"/>
      <c r="N131" s="880"/>
      <c r="O131" s="880"/>
      <c r="P131" s="1772"/>
      <c r="Q131" s="439"/>
    </row>
    <row r="136" spans="1:17" ht="15" thickBot="1">
      <c r="B136" s="1778" t="s">
        <v>1741</v>
      </c>
    </row>
    <row r="137" spans="1:17" ht="15">
      <c r="B137" s="1779" t="s">
        <v>1742</v>
      </c>
      <c r="C137" s="1780"/>
      <c r="D137" s="1780"/>
      <c r="E137" s="1780"/>
      <c r="F137" s="1780"/>
      <c r="G137" s="1781"/>
      <c r="H137" s="1782"/>
      <c r="I137" s="1783" t="s">
        <v>1743</v>
      </c>
      <c r="J137" s="1780"/>
      <c r="K137" s="1784"/>
    </row>
    <row r="138" spans="1:17" ht="15">
      <c r="B138" s="1785"/>
      <c r="C138" s="129" t="s">
        <v>1744</v>
      </c>
      <c r="D138" s="129" t="s">
        <v>1745</v>
      </c>
      <c r="E138" s="1786" t="s">
        <v>1746</v>
      </c>
      <c r="F138" s="1787" t="s">
        <v>1747</v>
      </c>
      <c r="G138" s="129" t="s">
        <v>1745</v>
      </c>
      <c r="H138" s="130" t="s">
        <v>1746</v>
      </c>
      <c r="I138" s="1788"/>
      <c r="J138" s="129" t="s">
        <v>1748</v>
      </c>
      <c r="K138" s="130" t="s">
        <v>1749</v>
      </c>
    </row>
    <row r="139" spans="1:17" ht="15">
      <c r="B139" s="814">
        <v>6</v>
      </c>
      <c r="C139" s="815">
        <v>96</v>
      </c>
      <c r="D139" s="1789" t="s">
        <v>1750</v>
      </c>
      <c r="E139" s="816">
        <v>100</v>
      </c>
      <c r="F139" s="817">
        <v>102.5</v>
      </c>
      <c r="G139" s="1789" t="s">
        <v>1750</v>
      </c>
      <c r="H139" s="818">
        <v>105</v>
      </c>
      <c r="I139" s="1790" t="s">
        <v>1751</v>
      </c>
      <c r="J139" s="815">
        <v>20</v>
      </c>
      <c r="K139" s="819">
        <f>C145/(J139-2)</f>
        <v>4.0555555555555553E-3</v>
      </c>
    </row>
    <row r="140" spans="1:17" ht="15">
      <c r="B140" s="820">
        <v>5</v>
      </c>
      <c r="C140" s="821">
        <v>100</v>
      </c>
      <c r="D140" s="821"/>
      <c r="E140" s="822"/>
      <c r="F140" s="823">
        <v>102</v>
      </c>
      <c r="G140" s="821"/>
      <c r="H140" s="824"/>
      <c r="I140" s="1791" t="s">
        <v>1752</v>
      </c>
      <c r="J140" s="263">
        <f>ROUNDUP((J139-1)/2,0)</f>
        <v>10</v>
      </c>
      <c r="K140" s="825">
        <v>100</v>
      </c>
    </row>
    <row r="141" spans="1:17" ht="15">
      <c r="B141" s="820">
        <v>4</v>
      </c>
      <c r="C141" s="821">
        <v>102</v>
      </c>
      <c r="D141" s="821"/>
      <c r="E141" s="822"/>
      <c r="F141" s="823">
        <v>101.5</v>
      </c>
      <c r="G141" s="821"/>
      <c r="H141" s="824"/>
      <c r="I141" s="1791" t="s">
        <v>1753</v>
      </c>
      <c r="J141" s="263">
        <v>1</v>
      </c>
      <c r="K141" s="826">
        <f>ROUND(100+(J141-J140)*K139*100,1)</f>
        <v>96.4</v>
      </c>
    </row>
    <row r="142" spans="1:17" ht="15">
      <c r="B142" s="820">
        <v>3</v>
      </c>
      <c r="C142" s="821">
        <v>103</v>
      </c>
      <c r="D142" s="821"/>
      <c r="E142" s="822"/>
      <c r="F142" s="823">
        <v>101</v>
      </c>
      <c r="G142" s="821"/>
      <c r="H142" s="824"/>
      <c r="I142" s="1791" t="s">
        <v>1754</v>
      </c>
      <c r="J142" s="263">
        <f>J139</f>
        <v>20</v>
      </c>
      <c r="K142" s="827">
        <v>95</v>
      </c>
    </row>
    <row r="143" spans="1:17" ht="15">
      <c r="B143" s="820">
        <v>2</v>
      </c>
      <c r="C143" s="821">
        <v>100</v>
      </c>
      <c r="D143" s="821"/>
      <c r="E143" s="822"/>
      <c r="F143" s="823">
        <v>100.5</v>
      </c>
      <c r="G143" s="821"/>
      <c r="H143" s="824"/>
      <c r="I143" s="1791" t="s">
        <v>1755</v>
      </c>
      <c r="J143" s="821">
        <v>15</v>
      </c>
      <c r="K143" s="826">
        <f>ROUND(100+(J143-J140)*K139*100,1)</f>
        <v>102</v>
      </c>
    </row>
    <row r="144" spans="1:17" ht="15">
      <c r="B144" s="820">
        <v>1</v>
      </c>
      <c r="C144" s="821">
        <v>98</v>
      </c>
      <c r="D144" s="1792" t="s">
        <v>1756</v>
      </c>
      <c r="E144" s="822">
        <v>102</v>
      </c>
      <c r="F144" s="828">
        <v>100</v>
      </c>
      <c r="G144" s="1792" t="s">
        <v>1756</v>
      </c>
      <c r="H144" s="824">
        <v>105</v>
      </c>
      <c r="I144" s="1791" t="s">
        <v>1755</v>
      </c>
      <c r="J144" s="821">
        <v>18</v>
      </c>
      <c r="K144" s="826">
        <f>ROUND(100+(J144-J140)*K139*100,1)</f>
        <v>103.2</v>
      </c>
    </row>
    <row r="145" spans="2:11" ht="15.75" thickBot="1">
      <c r="B145" s="1793" t="s">
        <v>1757</v>
      </c>
      <c r="C145" s="829">
        <f>ROUND(MAX(C139:C144)/MIN(C139:C144)-1,3)</f>
        <v>7.2999999999999995E-2</v>
      </c>
      <c r="D145" s="830"/>
      <c r="E145" s="830"/>
      <c r="F145" s="1794" t="s">
        <v>1758</v>
      </c>
      <c r="G145" s="1795"/>
      <c r="H145" s="1796"/>
      <c r="I145" s="1797" t="s">
        <v>1755</v>
      </c>
      <c r="J145" s="831">
        <v>8</v>
      </c>
      <c r="K145" s="832">
        <f>ROUND(100+(J145-J140)*K139*100,1)</f>
        <v>99.2</v>
      </c>
    </row>
    <row r="147" spans="2:11">
      <c r="B147" s="1778" t="s">
        <v>1759</v>
      </c>
    </row>
    <row r="148" spans="2:11">
      <c r="B148" s="1778" t="s">
        <v>1760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9" priority="14"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J52:J54">
    <cfRule type="containsText" dxfId="14" priority="15" stopIfTrue="1" operator="containsText" text="超过">
      <formula>NOT(ISERROR(SEARCH("超过",F52)))</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G54">
    <cfRule type="expression" dxfId="11" priority="12"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dataValidations count="24">
    <dataValidation type="list" allowBlank="1" showInputMessage="1" showErrorMessage="1" sqref="E24 G24 I24 C24" xr:uid="{00000000-0002-0000-2400-000000000000}">
      <formula1>环境</formula1>
    </dataValidation>
    <dataValidation type="list" allowBlank="1" showInputMessage="1" showErrorMessage="1" sqref="E16 G16 I16 C16" xr:uid="{00000000-0002-0000-2400-000001000000}">
      <formula1>居住社区成熟度</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E20 I20" xr:uid="{00000000-0002-0000-2400-000003000000}">
      <formula1>公共配套设施</formula1>
    </dataValidation>
    <dataValidation type="list" allowBlank="1" showInputMessage="1" showErrorMessage="1" sqref="E25 G25 I25 C25" xr:uid="{00000000-0002-0000-2400-000004000000}">
      <formula1>住宅楼层</formula1>
    </dataValidation>
    <dataValidation type="list" allowBlank="1" showInputMessage="1" showErrorMessage="1" sqref="E26 G26 I26 C26" xr:uid="{00000000-0002-0000-2400-000005000000}">
      <formula1>住宅朝向</formula1>
    </dataValidation>
    <dataValidation type="list" allowBlank="1" showInputMessage="1" showErrorMessage="1" sqref="E32 G32 I32 C32" xr:uid="{00000000-0002-0000-2400-000006000000}">
      <formula1>住宅建筑类型</formula1>
    </dataValidation>
    <dataValidation type="list" allowBlank="1" showInputMessage="1" showErrorMessage="1" sqref="E34 G34 I34 C34" xr:uid="{00000000-0002-0000-2400-000007000000}">
      <formula1>住宅建筑结构</formula1>
    </dataValidation>
    <dataValidation type="list" allowBlank="1" showInputMessage="1" showErrorMessage="1" sqref="E35 G35 I35 C35" xr:uid="{00000000-0002-0000-2400-000008000000}">
      <formula1>住宅建筑品质</formula1>
    </dataValidation>
    <dataValidation type="list" allowBlank="1" showInputMessage="1" showErrorMessage="1" sqref="E36 G36 I36 C36" xr:uid="{00000000-0002-0000-2400-000009000000}">
      <formula1>住宅公共部分装修</formula1>
    </dataValidation>
    <dataValidation type="list" allowBlank="1" showInputMessage="1" showErrorMessage="1" sqref="E38 G38 I38 C38" xr:uid="{00000000-0002-0000-2400-00000A000000}">
      <formula1>住宅物业管理</formula1>
    </dataValidation>
    <dataValidation type="list" allowBlank="1" showInputMessage="1" showErrorMessage="1" sqref="E39 G39 I39 C39" xr:uid="{00000000-0002-0000-2400-00000B000000}">
      <formula1>住宅基础设施水平</formula1>
    </dataValidation>
    <dataValidation type="list" allowBlank="1" showInputMessage="1" showErrorMessage="1" sqref="E40 G40 I40 C40" xr:uid="{00000000-0002-0000-2400-00000C000000}">
      <formula1>住宅房型</formula1>
    </dataValidation>
    <dataValidation type="list" allowBlank="1" showInputMessage="1" showErrorMessage="1" sqref="E42 G42 I42 C42" xr:uid="{00000000-0002-0000-2400-00000D000000}">
      <formula1>住宅内部装修</formula1>
    </dataValidation>
    <dataValidation type="list" allowBlank="1" showInputMessage="1" showErrorMessage="1" sqref="E43 G43 I43 C43" xr:uid="{00000000-0002-0000-2400-00000E000000}">
      <formula1>内部装修维护情况</formula1>
    </dataValidation>
    <dataValidation type="list" allowBlank="1" showInputMessage="1" showErrorMessage="1" sqref="E8 G8 I8 C8" xr:uid="{00000000-0002-0000-2400-00000F000000}">
      <formula1>住宅交易情况</formula1>
    </dataValidation>
    <dataValidation type="list" allowBlank="1" showInputMessage="1" showErrorMessage="1" sqref="D1" xr:uid="{00000000-0002-0000-2400-000010000000}">
      <formula1>项目类型</formula1>
    </dataValidation>
    <dataValidation type="list" allowBlank="1" showInputMessage="1" showErrorMessage="1" sqref="E9 G9 I9" xr:uid="{00000000-0002-0000-2400-000011000000}">
      <formula1>住宅用途</formula1>
    </dataValidation>
    <dataValidation type="list" allowBlank="1" showInputMessage="1" showErrorMessage="1" sqref="C22 E22 G22 I22" xr:uid="{00000000-0002-0000-2400-000012000000}">
      <formula1>基础设施水平</formula1>
    </dataValidation>
    <dataValidation type="list" allowBlank="1" showInputMessage="1" showErrorMessage="1" sqref="F1" xr:uid="{00000000-0002-0000-2400-000013000000}">
      <formula1>"售价,租金"</formula1>
    </dataValidation>
    <dataValidation type="list" allowBlank="1" showInputMessage="1" showErrorMessage="1" sqref="C2" xr:uid="{00000000-0002-0000-2400-000014000000}">
      <formula1>"需扣减承租人权益,——"</formula1>
    </dataValidation>
    <dataValidation type="list" allowBlank="1" showInputMessage="1" showErrorMessage="1" sqref="F2" xr:uid="{00000000-0002-0000-2400-000015000000}">
      <formula1>估价方法</formula1>
    </dataValidation>
    <dataValidation type="list" allowBlank="1" showInputMessage="1" showErrorMessage="1" sqref="D48" xr:uid="{00000000-0002-0000-2400-000016000000}">
      <formula1>"简单平均,加权平均"</formula1>
    </dataValidation>
    <dataValidation type="list" allowBlank="1" showInputMessage="1" showErrorMessage="1" sqref="E1" xr:uid="{00000000-0002-0000-24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85" zoomScaleNormal="80" zoomScaleSheetLayoutView="85" workbookViewId="0">
      <selection activeCell="G37" sqref="G37"/>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8" customWidth="1"/>
    <col min="33" max="36" width="9.375" style="1892" customWidth="1"/>
    <col min="37" max="38" width="9.375" style="1842" customWidth="1"/>
    <col min="39" max="16384" width="12" style="1842"/>
  </cols>
  <sheetData>
    <row r="1" spans="1:36" ht="28.5">
      <c r="A1" s="188" t="s">
        <v>1920</v>
      </c>
      <c r="B1" s="189"/>
      <c r="C1" s="193" t="s">
        <v>1921</v>
      </c>
      <c r="D1" s="333">
        <f>SUM(D33:D34,D37:D42)</f>
        <v>21560.34</v>
      </c>
      <c r="E1" s="1839"/>
      <c r="F1" s="1839"/>
      <c r="G1" s="1839"/>
      <c r="H1" s="1839"/>
      <c r="I1" s="1839"/>
      <c r="J1" s="1839"/>
      <c r="K1" s="1056"/>
      <c r="L1" s="1840" t="s">
        <v>1922</v>
      </c>
      <c r="M1" s="810">
        <f>SUMPRODUCT((区片价!B5:B9=I2)*(区片价!C3:G3=E2)*(区片价!C5:G9))</f>
        <v>0</v>
      </c>
      <c r="N1" s="813">
        <f>SUMPRODUCT((因素修正幅度!B5:B9=I2)*(因素修正幅度!C3:G3=E2)*(因素修正幅度!C5:G9))</f>
        <v>0</v>
      </c>
      <c r="O1" s="1841"/>
      <c r="P1" s="1841"/>
      <c r="Q1" s="1056"/>
      <c r="R1" s="1128" t="s">
        <v>1923</v>
      </c>
      <c r="S1" s="1128" t="s">
        <v>1924</v>
      </c>
      <c r="T1" s="1128" t="s">
        <v>1925</v>
      </c>
      <c r="U1" s="1128" t="s">
        <v>1926</v>
      </c>
      <c r="V1" s="1128" t="s">
        <v>1927</v>
      </c>
      <c r="W1" s="1132"/>
      <c r="X1" s="1132"/>
      <c r="Y1" s="1132"/>
      <c r="Z1" s="1132"/>
      <c r="AA1" s="1132"/>
      <c r="AB1" s="1132"/>
      <c r="AC1" s="1133"/>
      <c r="AD1" s="1134"/>
      <c r="AE1" s="1134"/>
      <c r="AF1" s="1134"/>
      <c r="AG1" s="1134"/>
      <c r="AH1" s="1134"/>
      <c r="AI1" s="1134"/>
      <c r="AJ1" s="1135"/>
    </row>
    <row r="2" spans="1:36" ht="15.75">
      <c r="A2" s="193" t="s">
        <v>1928</v>
      </c>
      <c r="B2" s="196">
        <f>C30</f>
        <v>16709</v>
      </c>
      <c r="C2" s="1843" t="s">
        <v>1929</v>
      </c>
      <c r="D2" s="162" t="s">
        <v>1930</v>
      </c>
      <c r="E2" s="3117" t="s">
        <v>21</v>
      </c>
      <c r="F2" s="162" t="s">
        <v>1931</v>
      </c>
      <c r="G2" s="163" t="str">
        <f>IF(E2="商业",项目基本情况!B37,IF(E2="办公",项目基本情况!C37,IF(E2="住宅",项目基本情况!D37,IF(E2="工业",项目基本情况!E37,项目基本情况!F37))))</f>
        <v>八级</v>
      </c>
      <c r="H2" s="162" t="s">
        <v>1932</v>
      </c>
      <c r="I2" s="163" t="str">
        <f>IF(E2="商业",项目基本情况!B38,IF(E2="办公",项目基本情况!C38,IF(E2="住宅",项目基本情况!D38,IF(E2="工业",项目基本情况!E38,项目基本情况!F38))))</f>
        <v>Ⅷ-昌4</v>
      </c>
      <c r="J2" s="1839"/>
      <c r="K2" s="1056"/>
      <c r="L2" s="1844" t="s">
        <v>1933</v>
      </c>
      <c r="M2" s="811">
        <f>SUMPRODUCT((区片价!B10:B29=I2)*(区片价!C3:G3=E2)*(区片价!C10:G29))</f>
        <v>0</v>
      </c>
      <c r="N2" s="813">
        <f>SUMPRODUCT((因素修正幅度!B10:B29=I2)*(因素修正幅度!C3:G3=E2)*(因素修正幅度!C10:G29))</f>
        <v>0</v>
      </c>
      <c r="O2" s="1056"/>
      <c r="P2" s="1056"/>
      <c r="Q2" s="1056"/>
      <c r="R2" s="1128">
        <v>1</v>
      </c>
      <c r="S2" s="3060">
        <f>ROUND(SUMPRODUCT((B106:B110=R2)*(C105:N105=G2)*(C106:N110)),4)</f>
        <v>1.5418000000000001</v>
      </c>
      <c r="T2" s="3060">
        <f t="shared" ref="T2:T16" si="0">ROUND($C$5*$C$22*$C$23*$C$24*S2*$C$28,0)</f>
        <v>9712</v>
      </c>
      <c r="U2" s="1129"/>
      <c r="V2" s="3060">
        <f>ROUND(T2*U2/10000,0)</f>
        <v>0</v>
      </c>
      <c r="W2" s="1132"/>
      <c r="X2" s="1132"/>
      <c r="Y2" s="1132"/>
      <c r="Z2" s="1132"/>
      <c r="AA2" s="1132"/>
      <c r="AB2" s="1132"/>
      <c r="AC2" s="1133"/>
      <c r="AD2" s="1134"/>
      <c r="AE2" s="1134"/>
      <c r="AF2" s="1134"/>
      <c r="AG2" s="1134"/>
      <c r="AH2" s="1134"/>
      <c r="AI2" s="1134"/>
      <c r="AJ2" s="1135"/>
    </row>
    <row r="3" spans="1:36" ht="15.75">
      <c r="A3" s="195" t="s">
        <v>1934</v>
      </c>
      <c r="B3" s="196">
        <f>ROUND(B2*10000/D1,0)</f>
        <v>7750</v>
      </c>
      <c r="C3" s="1843" t="s">
        <v>1935</v>
      </c>
      <c r="D3" s="162" t="s">
        <v>1936</v>
      </c>
      <c r="E3" s="3115" t="s">
        <v>3834</v>
      </c>
      <c r="F3" s="1845" t="s">
        <v>3835</v>
      </c>
      <c r="G3" s="708">
        <f>IF(F3="宗地容积率",'数据-汇总表'!I4,IF(F3="估价对象容积率",'数据-汇总表'!I6,'数据-汇总表'!I7))</f>
        <v>1</v>
      </c>
      <c r="H3" s="162" t="s">
        <v>1937</v>
      </c>
      <c r="I3" s="729"/>
      <c r="J3" s="1839" t="s">
        <v>1938</v>
      </c>
      <c r="K3" s="1056"/>
      <c r="L3" s="1844" t="s">
        <v>1939</v>
      </c>
      <c r="M3" s="811">
        <f>SUMPRODUCT((区片价!B30:B54=I2)*(区片价!C3:G3=E2)*(区片价!C30:G54))</f>
        <v>0</v>
      </c>
      <c r="N3" s="813">
        <f>SUMPRODUCT((因素修正幅度!B30:B54=I2)*(因素修正幅度!C3:G3=E2)*(因素修正幅度!C30:G54))</f>
        <v>0</v>
      </c>
      <c r="O3" s="1056"/>
      <c r="P3" s="1056"/>
      <c r="Q3" s="1056"/>
      <c r="R3" s="1128">
        <v>2</v>
      </c>
      <c r="S3" s="3060">
        <f>ROUND(SUMPRODUCT((B106:B110=R3)*(C105:N105=G2)*(C106:N110)),4)</f>
        <v>1.1883999999999999</v>
      </c>
      <c r="T3" s="3060">
        <f t="shared" si="0"/>
        <v>7486</v>
      </c>
      <c r="U3" s="1129"/>
      <c r="V3" s="3060">
        <f t="shared" ref="V3:V16" si="1">ROUND(T3*U3/10000,0)</f>
        <v>0</v>
      </c>
      <c r="W3" s="1132"/>
      <c r="X3" s="1132"/>
      <c r="Y3" s="1132"/>
      <c r="Z3" s="1132"/>
      <c r="AA3" s="1132"/>
      <c r="AB3" s="1132"/>
      <c r="AC3" s="1133"/>
      <c r="AD3" s="1134"/>
      <c r="AE3" s="1134"/>
      <c r="AF3" s="1134"/>
      <c r="AG3" s="1134"/>
      <c r="AH3" s="1134"/>
      <c r="AI3" s="1134"/>
      <c r="AJ3" s="1135"/>
    </row>
    <row r="4" spans="1:36" ht="15.75">
      <c r="A4" s="3505"/>
      <c r="B4" s="3506"/>
      <c r="C4" s="3506"/>
      <c r="D4" s="3507"/>
      <c r="E4" s="3507"/>
      <c r="F4" s="3507"/>
      <c r="G4" s="3507"/>
      <c r="H4" s="3507"/>
      <c r="I4" s="3507"/>
      <c r="J4" s="3508"/>
      <c r="K4" s="1056"/>
      <c r="L4" s="1844" t="s">
        <v>1940</v>
      </c>
      <c r="M4" s="811">
        <f>SUMPRODUCT((区片价!B55:B86=I2)*(区片价!C3:G3=E2)*(区片价!C55:G86))</f>
        <v>0</v>
      </c>
      <c r="N4" s="813">
        <f>SUMPRODUCT((因素修正幅度!B55:B86=I2)*(因素修正幅度!C3:G3=E2)*(因素修正幅度!C55:G86))</f>
        <v>0</v>
      </c>
      <c r="O4" s="1056"/>
      <c r="P4" s="1056"/>
      <c r="Q4" s="1056"/>
      <c r="R4" s="1128">
        <v>3</v>
      </c>
      <c r="S4" s="3060">
        <f>ROUND(SUMPRODUCT((B106:B110=R4)*(C105:N105=G2)*(C106:N110)),4)</f>
        <v>0.96940000000000004</v>
      </c>
      <c r="T4" s="3060">
        <f t="shared" si="0"/>
        <v>6107</v>
      </c>
      <c r="U4" s="1129"/>
      <c r="V4" s="3060">
        <f t="shared" si="1"/>
        <v>0</v>
      </c>
      <c r="W4" s="1132"/>
      <c r="X4" s="1132"/>
      <c r="Y4" s="1132"/>
      <c r="Z4" s="1132"/>
      <c r="AA4" s="1132"/>
      <c r="AB4" s="1132"/>
      <c r="AC4" s="1133"/>
      <c r="AD4" s="1134"/>
      <c r="AE4" s="1134"/>
      <c r="AF4" s="1134"/>
      <c r="AG4" s="1134"/>
      <c r="AH4" s="1134"/>
      <c r="AI4" s="1134"/>
      <c r="AJ4" s="1135"/>
    </row>
    <row r="5" spans="1:36" s="1855" customFormat="1" ht="15.75" thickBot="1">
      <c r="A5" s="1846" t="s">
        <v>362</v>
      </c>
      <c r="B5" s="1847" t="s">
        <v>1941</v>
      </c>
      <c r="C5" s="709">
        <f>ROUND(IF(E2="商业",C6*C7*C17+C20,(IF(E2="住宅",C6*C13*C17+C20,IF(E2="办公",C6*C12*C17+C20,C6+C20)))),0)</f>
        <v>6900</v>
      </c>
      <c r="D5" s="1251">
        <f>ROUND(C6*C17+C20,0)</f>
        <v>6900</v>
      </c>
      <c r="E5" s="1251"/>
      <c r="F5" s="1848"/>
      <c r="G5" s="1849"/>
      <c r="H5" s="1849"/>
      <c r="I5" s="1849"/>
      <c r="J5" s="1850"/>
      <c r="K5" s="1851"/>
      <c r="L5" s="1844" t="s">
        <v>1942</v>
      </c>
      <c r="M5" s="811">
        <f>SUMPRODUCT((区片价!B87:B126=I2)*(区片价!C3:G3=E2)*(区片价!C87:G126))</f>
        <v>0</v>
      </c>
      <c r="N5" s="813">
        <f>SUMPRODUCT((因素修正幅度!B87:B126=I2)*(因素修正幅度!C3:G3=E2)*(因素修正幅度!C87:G126))</f>
        <v>0</v>
      </c>
      <c r="O5" s="1056"/>
      <c r="P5" s="1056"/>
      <c r="Q5" s="1056"/>
      <c r="R5" s="1128">
        <v>4</v>
      </c>
      <c r="S5" s="3060">
        <f>ROUND(SUMPRODUCT((B106:B110=R5)*(C105:N105=G2)*(C106:N110)),4)</f>
        <v>0.82299999999999995</v>
      </c>
      <c r="T5" s="3060">
        <f t="shared" si="0"/>
        <v>5184</v>
      </c>
      <c r="U5" s="1129"/>
      <c r="V5" s="3060">
        <f t="shared" si="1"/>
        <v>0</v>
      </c>
      <c r="W5" s="1132"/>
      <c r="X5" s="1132"/>
      <c r="Y5" s="1132"/>
      <c r="Z5" s="1132"/>
      <c r="AA5" s="1132"/>
      <c r="AB5" s="1132"/>
      <c r="AC5" s="1852"/>
      <c r="AD5" s="1853"/>
      <c r="AE5" s="1853"/>
      <c r="AF5" s="1853"/>
      <c r="AG5" s="1853"/>
      <c r="AH5" s="1853"/>
      <c r="AI5" s="1853"/>
      <c r="AJ5" s="1854"/>
    </row>
    <row r="6" spans="1:36" ht="15.75" thickBot="1">
      <c r="A6" s="1856" t="s">
        <v>1943</v>
      </c>
      <c r="B6" s="1857" t="s">
        <v>1944</v>
      </c>
      <c r="C6" s="710">
        <f>SUMIF(L1:L12,G2,M1:M12)</f>
        <v>6890</v>
      </c>
      <c r="D6" s="1858"/>
      <c r="E6" s="1859"/>
      <c r="F6" s="1859"/>
      <c r="G6" s="1860"/>
      <c r="H6" s="1860"/>
      <c r="I6" s="1860"/>
      <c r="J6" s="1861"/>
      <c r="K6" s="1291"/>
      <c r="L6" s="1844" t="s">
        <v>1945</v>
      </c>
      <c r="M6" s="811">
        <f>SUMPRODUCT((区片价!B127:B189=I2)*(区片价!C3:G3=E2)*(区片价!C127:G189))</f>
        <v>0</v>
      </c>
      <c r="N6" s="813">
        <f>SUMPRODUCT((因素修正幅度!B127:B189=I2)*(因素修正幅度!C3:G3=E2)*(因素修正幅度!C127:G189))</f>
        <v>0</v>
      </c>
      <c r="O6" s="1056"/>
      <c r="P6" s="1056"/>
      <c r="Q6" s="1056"/>
      <c r="R6" s="1128">
        <v>5</v>
      </c>
      <c r="S6" s="3060">
        <f>ROUND(SUMPRODUCT((B106:B110=R6)*(C105:N105=G2)*(C106:N110)),4)</f>
        <v>0.74980000000000002</v>
      </c>
      <c r="T6" s="3060">
        <f t="shared" si="0"/>
        <v>4723</v>
      </c>
      <c r="U6" s="1129"/>
      <c r="V6" s="3060">
        <f t="shared" si="1"/>
        <v>0</v>
      </c>
      <c r="W6" s="1132"/>
      <c r="X6" s="1132"/>
      <c r="Y6" s="1132"/>
      <c r="Z6" s="1132"/>
      <c r="AA6" s="1132"/>
      <c r="AB6" s="1132"/>
      <c r="AC6" s="1852"/>
      <c r="AD6" s="1853"/>
      <c r="AE6" s="1853"/>
      <c r="AF6" s="1853"/>
      <c r="AG6" s="1853"/>
      <c r="AH6" s="1853"/>
      <c r="AI6" s="1853"/>
      <c r="AJ6" s="1854"/>
    </row>
    <row r="7" spans="1:36" ht="24.75" thickBot="1">
      <c r="A7" s="3009" t="s">
        <v>3224</v>
      </c>
      <c r="B7" s="1862" t="s">
        <v>1946</v>
      </c>
      <c r="C7" s="711">
        <f>IF(C8="不临65条商业街",1,ROUND(1+(1.6*E8+1.2*E9+0.8*E10+0.4*E11)*C9,4))</f>
        <v>1</v>
      </c>
      <c r="D7" s="1863" t="s">
        <v>1947</v>
      </c>
      <c r="E7" s="730"/>
      <c r="F7" s="1864"/>
      <c r="G7" s="1865"/>
      <c r="H7" s="1865"/>
      <c r="I7" s="1865"/>
      <c r="J7" s="1866"/>
      <c r="K7" s="1291"/>
      <c r="L7" s="1844" t="s">
        <v>1948</v>
      </c>
      <c r="M7" s="811">
        <f>SUMPRODUCT((区片价!B190:B233=I2)*(区片价!C3:G3=E2)*(区片价!C190:G233))</f>
        <v>0</v>
      </c>
      <c r="N7" s="813">
        <f>SUMPRODUCT((因素修正幅度!B190:B233=I2)*(因素修正幅度!C3:G3=E2)*(因素修正幅度!C190:G233))</f>
        <v>0</v>
      </c>
      <c r="O7" s="1056"/>
      <c r="P7" s="1056"/>
      <c r="Q7" s="1056"/>
      <c r="R7" s="1128">
        <v>6</v>
      </c>
      <c r="S7" s="3114"/>
      <c r="T7" s="3060">
        <f t="shared" si="0"/>
        <v>0</v>
      </c>
      <c r="U7" s="1129"/>
      <c r="V7" s="3060">
        <f t="shared" si="1"/>
        <v>0</v>
      </c>
      <c r="W7" s="1266" t="s">
        <v>1949</v>
      </c>
      <c r="X7" s="1130" t="str">
        <f>G2</f>
        <v>八级</v>
      </c>
      <c r="Y7" s="1130" t="s">
        <v>1950</v>
      </c>
      <c r="Z7" s="1131">
        <f>G3</f>
        <v>1</v>
      </c>
      <c r="AA7" s="1132"/>
      <c r="AB7" s="1132"/>
      <c r="AC7" s="1133"/>
      <c r="AD7" s="1134"/>
      <c r="AE7" s="1134"/>
      <c r="AF7" s="1134"/>
      <c r="AG7" s="1134"/>
      <c r="AH7" s="1134"/>
      <c r="AI7" s="1134"/>
      <c r="AJ7" s="1135"/>
    </row>
    <row r="8" spans="1:36" ht="25.5">
      <c r="A8" s="3006"/>
      <c r="B8" s="162" t="s">
        <v>1951</v>
      </c>
      <c r="C8" s="1867" t="s">
        <v>3836</v>
      </c>
      <c r="D8" s="712" t="s">
        <v>112</v>
      </c>
      <c r="E8" s="713" t="e">
        <f>ROUND(C11/E7,4)</f>
        <v>#DIV/0!</v>
      </c>
      <c r="F8" s="1868" t="s">
        <v>1952</v>
      </c>
      <c r="G8" s="1869"/>
      <c r="H8" s="1869"/>
      <c r="I8" s="1869"/>
      <c r="J8" s="1870"/>
      <c r="K8" s="1056"/>
      <c r="L8" s="1844" t="s">
        <v>1953</v>
      </c>
      <c r="M8" s="811">
        <f>SUMPRODUCT((区片价!B234:B276=I2)*(区片价!C3:G3=E2)*(区片价!C234:G276))</f>
        <v>6890</v>
      </c>
      <c r="N8" s="813">
        <f>SUMPRODUCT((因素修正幅度!B234:B276=I2)*(因素修正幅度!C3:G3=E2)*(因素修正幅度!C234:G276))</f>
        <v>0.14299999999999999</v>
      </c>
      <c r="O8" s="1056"/>
      <c r="P8" s="1056"/>
      <c r="Q8" s="1056"/>
      <c r="R8" s="1128">
        <v>7</v>
      </c>
      <c r="S8" s="1129"/>
      <c r="T8" s="3060">
        <f t="shared" si="0"/>
        <v>0</v>
      </c>
      <c r="U8" s="1129"/>
      <c r="V8" s="3060">
        <f t="shared" si="1"/>
        <v>0</v>
      </c>
      <c r="W8" s="3502" t="s">
        <v>1954</v>
      </c>
      <c r="X8" s="3503"/>
      <c r="Y8" s="1136" t="s">
        <v>1955</v>
      </c>
      <c r="Z8" s="1136" t="s">
        <v>1956</v>
      </c>
      <c r="AA8" s="1136" t="s">
        <v>1957</v>
      </c>
      <c r="AB8" s="1136" t="s">
        <v>1958</v>
      </c>
      <c r="AC8" s="1136" t="s">
        <v>1959</v>
      </c>
      <c r="AD8" s="1136" t="s">
        <v>1960</v>
      </c>
      <c r="AE8" s="1136" t="s">
        <v>1961</v>
      </c>
      <c r="AF8" s="1136" t="s">
        <v>1962</v>
      </c>
      <c r="AG8" s="1136" t="s">
        <v>1963</v>
      </c>
      <c r="AH8" s="1136" t="s">
        <v>1964</v>
      </c>
      <c r="AI8" s="1136" t="s">
        <v>1965</v>
      </c>
      <c r="AJ8" s="1136" t="s">
        <v>1966</v>
      </c>
    </row>
    <row r="9" spans="1:36" ht="15">
      <c r="A9" s="3006"/>
      <c r="B9" s="162" t="s">
        <v>1967</v>
      </c>
      <c r="C9" s="714">
        <f>SUMIF(修正!C71:C138,C8,修正!E71:E138)</f>
        <v>0</v>
      </c>
      <c r="D9" s="163" t="s">
        <v>113</v>
      </c>
      <c r="E9" s="163" t="e">
        <f>ROUND(C11/E7,4)</f>
        <v>#DIV/0!</v>
      </c>
      <c r="F9" s="1868" t="s">
        <v>1968</v>
      </c>
      <c r="G9" s="1869"/>
      <c r="H9" s="1869"/>
      <c r="I9" s="1869"/>
      <c r="J9" s="1870"/>
      <c r="K9" s="1056"/>
      <c r="L9" s="1844" t="s">
        <v>1969</v>
      </c>
      <c r="M9" s="811">
        <f>SUMPRODUCT((区片价!B277:B326=I2)*(区片价!C3:G3=E2)*(区片价!C277:G326))</f>
        <v>0</v>
      </c>
      <c r="N9" s="813">
        <f>SUMPRODUCT((因素修正幅度!B277:B326=I2)*(因素修正幅度!C3:G3=E2)*(因素修正幅度!C277:G326))</f>
        <v>0</v>
      </c>
      <c r="O9" s="1056"/>
      <c r="P9" s="1056"/>
      <c r="Q9" s="1056"/>
      <c r="R9" s="1128">
        <v>8</v>
      </c>
      <c r="S9" s="1129"/>
      <c r="T9" s="3060">
        <f t="shared" si="0"/>
        <v>0</v>
      </c>
      <c r="U9" s="1129"/>
      <c r="V9" s="3060">
        <f t="shared" si="1"/>
        <v>0</v>
      </c>
      <c r="W9" s="3504"/>
      <c r="X9" s="3061" t="s">
        <v>3254</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1970</v>
      </c>
      <c r="C10" s="163">
        <f>SUMIF(修正!C71:C138,C8,修正!F71:F138)</f>
        <v>0</v>
      </c>
      <c r="D10" s="163" t="s">
        <v>114</v>
      </c>
      <c r="E10" s="163" t="e">
        <f>ROUND(C11/E7,4)</f>
        <v>#DIV/0!</v>
      </c>
      <c r="F10" s="1868" t="s">
        <v>1971</v>
      </c>
      <c r="G10" s="1869"/>
      <c r="H10" s="1869"/>
      <c r="I10" s="1869"/>
      <c r="J10" s="1870"/>
      <c r="K10" s="1056"/>
      <c r="L10" s="1844" t="s">
        <v>1972</v>
      </c>
      <c r="M10" s="811">
        <f>SUMPRODUCT((区片价!B327:B357=I2)*(区片价!C3:G3=E2)*(区片价!C327:G357))</f>
        <v>0</v>
      </c>
      <c r="N10" s="813">
        <f>SUMPRODUCT((因素修正幅度!B327:B357=I2)*(因素修正幅度!C3:G3=E2)*(因素修正幅度!C327:G357))</f>
        <v>0</v>
      </c>
      <c r="O10" s="1056"/>
      <c r="P10" s="1056"/>
      <c r="Q10" s="1056"/>
      <c r="R10" s="1128">
        <v>9</v>
      </c>
      <c r="S10" s="1129"/>
      <c r="T10" s="3060">
        <f t="shared" si="0"/>
        <v>0</v>
      </c>
      <c r="U10" s="1129"/>
      <c r="V10" s="3060">
        <f t="shared" si="1"/>
        <v>0</v>
      </c>
      <c r="W10" s="3504"/>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1" t="s">
        <v>1973</v>
      </c>
      <c r="C11" s="715">
        <f>C10/4</f>
        <v>0</v>
      </c>
      <c r="D11" s="715" t="s">
        <v>115</v>
      </c>
      <c r="E11" s="715" t="e">
        <f>ROUND(C11/E7,4)</f>
        <v>#DIV/0!</v>
      </c>
      <c r="F11" s="1872" t="s">
        <v>1974</v>
      </c>
      <c r="G11" s="1873"/>
      <c r="H11" s="1873"/>
      <c r="I11" s="1873"/>
      <c r="J11" s="1874"/>
      <c r="K11" s="1056"/>
      <c r="L11" s="1844" t="s">
        <v>1975</v>
      </c>
      <c r="M11" s="811">
        <f>SUMPRODUCT((区片价!B358:B377=I2)*(区片价!C3:G3=E2)*(区片价!C358:G377))</f>
        <v>0</v>
      </c>
      <c r="N11" s="813">
        <f>SUMPRODUCT((因素修正幅度!B358:B377=I2)*(因素修正幅度!C3:G3=E2)*(因素修正幅度!C358:G377))</f>
        <v>0</v>
      </c>
      <c r="O11" s="1056"/>
      <c r="P11" s="1056"/>
      <c r="Q11" s="1056"/>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5" thickBot="1">
      <c r="A12" s="3009" t="s">
        <v>3225</v>
      </c>
      <c r="B12" s="3010" t="s">
        <v>3226</v>
      </c>
      <c r="C12" s="3011">
        <v>1</v>
      </c>
      <c r="D12" s="3012" t="s">
        <v>3227</v>
      </c>
      <c r="E12" s="3013" t="s">
        <v>3228</v>
      </c>
      <c r="F12" s="3014"/>
      <c r="G12" s="3015"/>
      <c r="H12" s="3015"/>
      <c r="I12" s="3015"/>
      <c r="J12" s="3016"/>
      <c r="K12" s="1056"/>
      <c r="L12" s="1793" t="s">
        <v>1978</v>
      </c>
      <c r="M12" s="812">
        <f>SUMPRODUCT((区片价!B378:B384=I2)*(区片价!C3:G3=E2)*(区片价!C378:G384))</f>
        <v>0</v>
      </c>
      <c r="N12" s="813">
        <f>SUMPRODUCT((因素修正幅度!B378:B384=I2)*(因素修正幅度!C3:G3=E2)*(因素修正幅度!C378:G384))</f>
        <v>0</v>
      </c>
      <c r="O12" s="1056"/>
      <c r="P12" s="1056"/>
      <c r="Q12" s="1056"/>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15.75" thickBot="1">
      <c r="A13" s="3009" t="s">
        <v>3229</v>
      </c>
      <c r="B13" s="1875" t="s">
        <v>1976</v>
      </c>
      <c r="C13" s="711">
        <f>ROUND(C16*D16*E16*F16*G16*H16*I16*J16,4)</f>
        <v>0</v>
      </c>
      <c r="D13" s="1876" t="s">
        <v>1977</v>
      </c>
      <c r="E13" s="1877"/>
      <c r="F13" s="1877"/>
      <c r="G13" s="1878"/>
      <c r="H13" s="1878"/>
      <c r="I13" s="1878"/>
      <c r="J13" s="1879"/>
      <c r="K13" s="1056"/>
      <c r="L13" s="3"/>
      <c r="M13" s="4"/>
      <c r="N13" s="3007"/>
      <c r="O13" s="1056"/>
      <c r="P13" s="1056"/>
      <c r="Q13" s="1056"/>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15">
      <c r="A14" s="3005"/>
      <c r="B14" s="1880" t="s">
        <v>1979</v>
      </c>
      <c r="C14" s="1881" t="s">
        <v>1980</v>
      </c>
      <c r="D14" s="1260" t="s">
        <v>1981</v>
      </c>
      <c r="E14" s="27" t="s">
        <v>1982</v>
      </c>
      <c r="F14" s="3017" t="s">
        <v>3230</v>
      </c>
      <c r="G14" s="3017" t="s">
        <v>3230</v>
      </c>
      <c r="H14" s="3017" t="s">
        <v>3230</v>
      </c>
      <c r="I14" s="3017" t="s">
        <v>3230</v>
      </c>
      <c r="J14" s="3017" t="s">
        <v>3230</v>
      </c>
      <c r="K14" s="1056"/>
      <c r="L14" s="1056"/>
      <c r="M14" s="1056"/>
      <c r="N14" s="1056"/>
      <c r="O14" s="1056"/>
      <c r="P14" s="1056"/>
      <c r="Q14" s="1056"/>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2"/>
      <c r="C15" s="1883"/>
      <c r="D15" s="1884"/>
      <c r="E15" s="1885"/>
      <c r="F15" s="1469" t="s">
        <v>3231</v>
      </c>
      <c r="G15" s="1925"/>
      <c r="H15" s="3018"/>
      <c r="I15" s="3019"/>
      <c r="J15" s="3020"/>
      <c r="K15" s="1056"/>
      <c r="L15" s="1056"/>
      <c r="M15" s="1056"/>
      <c r="N15" s="1056"/>
      <c r="O15" s="1056"/>
      <c r="P15" s="1056"/>
      <c r="Q15" s="1056"/>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75" thickBot="1">
      <c r="A16" s="3005"/>
      <c r="B16" s="3023" t="s">
        <v>1983</v>
      </c>
      <c r="C16" s="3021"/>
      <c r="D16" s="3021"/>
      <c r="E16" s="3021"/>
      <c r="F16" s="3021">
        <v>1</v>
      </c>
      <c r="G16" s="3021">
        <v>1</v>
      </c>
      <c r="H16" s="3021">
        <v>1</v>
      </c>
      <c r="I16" s="3021">
        <v>1</v>
      </c>
      <c r="J16" s="3022">
        <v>1</v>
      </c>
      <c r="K16" s="1056"/>
      <c r="L16" s="1841"/>
      <c r="M16" s="1841"/>
      <c r="N16" s="1841"/>
      <c r="O16" s="1841"/>
      <c r="P16" s="1841"/>
      <c r="Q16" s="1056"/>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c r="A17" s="3032" t="s">
        <v>3232</v>
      </c>
      <c r="B17" s="3024" t="s">
        <v>3233</v>
      </c>
      <c r="C17" s="3033">
        <f>ROUND(IF(OR(E2="工业",E2="公共服务"),1,IF(AND(E18=0,E19=0),1,IF(AND(E18=J24,E19=G19),0.8,IF(E19=0,1+E17*(-0.2),1+E17*G17*(-0.2))))),4)</f>
        <v>1</v>
      </c>
      <c r="D17" s="3025" t="s">
        <v>3234</v>
      </c>
      <c r="E17" s="3033">
        <f>ROUND(G18/I18,2)</f>
        <v>0</v>
      </c>
      <c r="F17" s="3025" t="s">
        <v>3237</v>
      </c>
      <c r="G17" s="3033" t="e">
        <f>ROUND(E19/G19,2)</f>
        <v>#DIV/0!</v>
      </c>
      <c r="H17" s="3033"/>
      <c r="I17" s="3033"/>
      <c r="J17" s="3034"/>
      <c r="K17" s="1056"/>
      <c r="L17" s="1841"/>
      <c r="M17" s="1841"/>
      <c r="N17" s="1841"/>
      <c r="O17" s="1841"/>
      <c r="P17" s="1841"/>
      <c r="Q17" s="1056"/>
      <c r="R17" s="1056"/>
      <c r="S17" s="1056"/>
      <c r="T17" s="1056"/>
      <c r="U17" s="1056"/>
      <c r="V17" s="1056"/>
      <c r="W17" s="1056"/>
      <c r="X17" s="1056"/>
      <c r="Y17" s="1056"/>
      <c r="Z17" s="1057"/>
      <c r="AA17" s="1057"/>
      <c r="AB17" s="1057"/>
      <c r="AC17" s="1057"/>
      <c r="AD17" s="1057"/>
      <c r="AE17" s="1056"/>
      <c r="AF17" s="1056"/>
      <c r="AG17" s="1841"/>
      <c r="AH17" s="1841"/>
      <c r="AI17" s="1841"/>
      <c r="AJ17" s="1841"/>
    </row>
    <row r="18" spans="1:37" s="1855" customFormat="1" ht="14.25">
      <c r="A18" s="3035"/>
      <c r="B18" s="2306"/>
      <c r="C18" s="3031"/>
      <c r="D18" s="3026" t="s">
        <v>3235</v>
      </c>
      <c r="E18" s="2353"/>
      <c r="F18" s="3027" t="s">
        <v>3238</v>
      </c>
      <c r="G18" s="3031">
        <f>ROUND(1-(1/(POWER(1+G24,E18))),4)</f>
        <v>0</v>
      </c>
      <c r="H18" s="3027" t="s">
        <v>3240</v>
      </c>
      <c r="I18" s="3031">
        <f>ROUND(1-(1/(POWER(1+G24,J24))),4)</f>
        <v>0.93120000000000003</v>
      </c>
      <c r="J18" s="3036"/>
      <c r="K18" s="1056"/>
      <c r="L18" s="1841"/>
      <c r="M18" s="1841"/>
      <c r="N18" s="1841"/>
      <c r="O18" s="1841"/>
      <c r="P18" s="1841"/>
      <c r="Q18" s="1056"/>
      <c r="R18" s="1060"/>
      <c r="S18" s="1060"/>
      <c r="T18" s="1057"/>
      <c r="U18" s="1057"/>
      <c r="V18" s="1057"/>
      <c r="W18" s="1056"/>
      <c r="X18" s="1056"/>
      <c r="Y18" s="1056"/>
      <c r="Z18" s="1061"/>
      <c r="AA18" s="1061"/>
      <c r="AB18" s="1061"/>
      <c r="AC18" s="1061"/>
      <c r="AD18" s="1061"/>
      <c r="AE18" s="1057"/>
      <c r="AF18" s="1057"/>
      <c r="AG18" s="1977"/>
      <c r="AH18" s="1977"/>
      <c r="AI18" s="1977"/>
      <c r="AJ18" s="2549"/>
    </row>
    <row r="19" spans="1:37" s="1855" customFormat="1" ht="15" thickBot="1">
      <c r="A19" s="3037"/>
      <c r="B19" s="3038"/>
      <c r="C19" s="3039"/>
      <c r="D19" s="3039" t="s">
        <v>3236</v>
      </c>
      <c r="E19" s="3040"/>
      <c r="F19" s="3041" t="s">
        <v>3239</v>
      </c>
      <c r="G19" s="3040"/>
      <c r="H19" s="3039"/>
      <c r="I19" s="3039"/>
      <c r="J19" s="3042"/>
      <c r="K19" s="1056"/>
      <c r="L19" s="1841"/>
      <c r="M19" s="1841"/>
      <c r="N19" s="1841"/>
      <c r="O19" s="1841"/>
      <c r="P19" s="1841"/>
      <c r="Q19" s="1060"/>
      <c r="R19" s="1060"/>
      <c r="S19" s="1060"/>
      <c r="T19" s="1057"/>
      <c r="U19" s="1057"/>
      <c r="V19" s="1057"/>
      <c r="W19" s="1056"/>
      <c r="X19" s="1056"/>
      <c r="Y19" s="1056"/>
      <c r="Z19" s="1061"/>
      <c r="AA19" s="1061"/>
      <c r="AB19" s="1061"/>
      <c r="AC19" s="1061"/>
      <c r="AD19" s="1061"/>
      <c r="AE19" s="1061"/>
      <c r="AF19" s="1060"/>
      <c r="AG19" s="2552"/>
      <c r="AH19" s="1977"/>
      <c r="AI19" s="561"/>
      <c r="AJ19" s="561"/>
      <c r="AK19" s="1896"/>
    </row>
    <row r="20" spans="1:37" s="1855" customFormat="1" ht="14.25">
      <c r="A20" s="3509" t="s">
        <v>3241</v>
      </c>
      <c r="B20" s="159" t="s">
        <v>1988</v>
      </c>
      <c r="C20" s="3028">
        <f>ROUND(IF(F21="与级别开发程度一致",0,(G21-E21)/C21),0)</f>
        <v>10</v>
      </c>
      <c r="D20" s="3043" t="s">
        <v>1992</v>
      </c>
      <c r="E20" s="3044"/>
      <c r="F20" s="3515" t="s">
        <v>1989</v>
      </c>
      <c r="G20" s="3516"/>
      <c r="H20" s="3029" t="s">
        <v>3837</v>
      </c>
      <c r="I20" s="3029" t="s">
        <v>3838</v>
      </c>
      <c r="J20" s="3030" t="s">
        <v>3839</v>
      </c>
      <c r="K20" s="1886" t="s">
        <v>3840</v>
      </c>
      <c r="L20" s="1886" t="s">
        <v>3841</v>
      </c>
      <c r="M20" s="1886" t="s">
        <v>3842</v>
      </c>
      <c r="N20" s="1886"/>
      <c r="O20" s="1887"/>
      <c r="P20" s="1841"/>
      <c r="Q20" s="1060"/>
      <c r="R20" s="1060"/>
      <c r="S20" s="1060"/>
      <c r="T20" s="1057"/>
      <c r="U20" s="1057"/>
      <c r="V20" s="1057"/>
      <c r="W20" s="1056"/>
      <c r="X20" s="1056"/>
      <c r="Y20" s="1056"/>
      <c r="Z20" s="1061"/>
      <c r="AA20" s="1061"/>
      <c r="AB20" s="1061"/>
      <c r="AC20" s="1061"/>
      <c r="AD20" s="1061"/>
      <c r="AE20" s="1061"/>
      <c r="AF20" s="1061"/>
      <c r="AG20" s="2549"/>
      <c r="AH20" s="2549"/>
      <c r="AI20" s="2549"/>
      <c r="AJ20" s="2549"/>
    </row>
    <row r="21" spans="1:37" s="1855" customFormat="1" ht="26.25" thickBot="1">
      <c r="A21" s="3510"/>
      <c r="B21" s="1999" t="s">
        <v>1991</v>
      </c>
      <c r="C21" s="2000">
        <f>IF(E3="M4科研用地",SUMPRODUCT((修正!A2:A7=E3)*(修正!B1:M1=G2)*(修正!B2:M7)),SUMPRODUCT((修正!A2:A7=E2)*(修正!B1:M1=G2)*(修正!B2:M7)))</f>
        <v>2</v>
      </c>
      <c r="D21" s="179" t="str">
        <f>IF(OR(G2="八级",G2="九级",G2="十级",G2="十一级",G2="十二级"),"五通一平","七通一平")</f>
        <v>五通一平</v>
      </c>
      <c r="E21" s="1990">
        <f>SUMPRODUCT((修正!B1:M1=G2)*(修正!B17:M17))</f>
        <v>185</v>
      </c>
      <c r="F21" s="1991" t="s">
        <v>3843</v>
      </c>
      <c r="G21" s="1992">
        <f>SUM(H21:O21)</f>
        <v>205</v>
      </c>
      <c r="H21" s="2000">
        <f>SUMPRODUCT((七通一平=H20)*(修正!B1:M1=G2)*(修正!B8:M16))</f>
        <v>60</v>
      </c>
      <c r="I21" s="2000">
        <f>SUMPRODUCT((七通一平=I20)*(修正!B1:M1=G2)*(修正!B8:M16))</f>
        <v>50</v>
      </c>
      <c r="J21" s="2001">
        <f>SUMPRODUCT((七通一平=J20)*(修正!B1:M1=G2)*(修正!B8:M16))</f>
        <v>10</v>
      </c>
      <c r="K21" s="2000">
        <f>SUMPRODUCT((七通一平=K20)*(修正!B1:M1=G2)*(修正!B8:M16))</f>
        <v>20</v>
      </c>
      <c r="L21" s="2000">
        <f>SUMPRODUCT((七通一平=L20)*(修正!B1:M1=G2)*(修正!B8:M16))</f>
        <v>35</v>
      </c>
      <c r="M21" s="2000">
        <f>SUMPRODUCT((七通一平=M20)*(修正!B1:M1=G2)*(修正!B8:M16))</f>
        <v>30</v>
      </c>
      <c r="N21" s="2000">
        <f>SUMPRODUCT((七通一平=N20)*(修正!B1:M1=G2)*(修正!B8:M16))</f>
        <v>0</v>
      </c>
      <c r="O21" s="2002">
        <f>SUMPRODUCT((七通一平=O20)*(修正!B1:M1=G2)*(修正!B8:M16))</f>
        <v>0</v>
      </c>
      <c r="P21" s="1841"/>
      <c r="Q21" s="2549"/>
      <c r="R21" s="1060"/>
      <c r="S21" s="1060"/>
      <c r="T21" s="1057"/>
      <c r="U21" s="1057"/>
      <c r="V21" s="1057"/>
      <c r="W21" s="1056"/>
      <c r="X21" s="1056"/>
      <c r="Y21" s="1056"/>
      <c r="Z21" s="1061"/>
      <c r="AA21" s="1061"/>
      <c r="AB21" s="1061"/>
      <c r="AC21" s="1061"/>
      <c r="AD21" s="1061"/>
      <c r="AE21" s="1061"/>
      <c r="AF21" s="1061"/>
      <c r="AG21" s="2549"/>
      <c r="AH21" s="2549"/>
      <c r="AI21" s="2549"/>
      <c r="AJ21" s="2549"/>
    </row>
    <row r="22" spans="1:37" s="1855" customFormat="1" ht="15.75" thickBot="1">
      <c r="A22" s="1993" t="s">
        <v>363</v>
      </c>
      <c r="B22" s="1994" t="s">
        <v>1994</v>
      </c>
      <c r="C22" s="1995">
        <f>SUMIF(修正!C20:C51,E3,修正!E20:E51)</f>
        <v>1</v>
      </c>
      <c r="D22" s="1996"/>
      <c r="E22" s="1997"/>
      <c r="F22" s="1997"/>
      <c r="G22" s="1997"/>
      <c r="H22" s="1997"/>
      <c r="I22" s="1997"/>
      <c r="J22" s="1998"/>
      <c r="K22" s="1061"/>
      <c r="L22" s="2549"/>
      <c r="M22" s="2549"/>
      <c r="N22" s="2549"/>
      <c r="O22" s="1059"/>
      <c r="P22" s="1059"/>
      <c r="Q22" s="2549"/>
      <c r="R22" s="1060"/>
      <c r="S22" s="1060"/>
      <c r="T22" s="1057"/>
      <c r="U22" s="1057"/>
      <c r="V22" s="1057"/>
      <c r="W22" s="1056"/>
      <c r="X22" s="1056"/>
      <c r="Y22" s="1056"/>
      <c r="Z22" s="1061"/>
      <c r="AA22" s="1061"/>
      <c r="AB22" s="1061"/>
      <c r="AC22" s="1061"/>
      <c r="AD22" s="1061"/>
      <c r="AE22" s="1061"/>
      <c r="AF22" s="1061"/>
      <c r="AG22" s="2549"/>
      <c r="AH22" s="2549"/>
      <c r="AI22" s="2549"/>
      <c r="AJ22" s="2549"/>
    </row>
    <row r="23" spans="1:37" ht="26.25" thickBot="1">
      <c r="A23" s="1889" t="s">
        <v>364</v>
      </c>
      <c r="B23" s="1890" t="s">
        <v>1995</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1.0298</v>
      </c>
      <c r="D23" s="1893" t="s">
        <v>1996</v>
      </c>
      <c r="E23" s="717">
        <v>44197</v>
      </c>
      <c r="F23" s="1893" t="s">
        <v>1997</v>
      </c>
      <c r="G23" s="718">
        <f>'数据-取费表'!B2</f>
        <v>45383</v>
      </c>
      <c r="H23" s="3045" t="s">
        <v>3242</v>
      </c>
      <c r="I23" s="3046" t="str">
        <f>IF(H23="季度增幅（自定义）",SUMIF(N25:N28,E2,O25:O28),"")</f>
        <v/>
      </c>
      <c r="J23" s="3138" t="s">
        <v>3844</v>
      </c>
      <c r="K23" s="1061"/>
      <c r="L23" s="1894" t="s">
        <v>1998</v>
      </c>
      <c r="M23" s="1240">
        <f>ROUND(SUMIF(地价!B2:G2,E2,地价!B16:G16),0)</f>
        <v>350</v>
      </c>
      <c r="N23" s="1895" t="s">
        <v>1999</v>
      </c>
      <c r="O23" s="719">
        <f>ROUNDDOWN(DATEDIF(E23,G23,"M")/3,0)</f>
        <v>13</v>
      </c>
      <c r="P23" s="1057"/>
      <c r="Q23" s="2549"/>
      <c r="R23" s="1060"/>
      <c r="S23" s="1060"/>
      <c r="T23" s="1057"/>
      <c r="U23" s="1057"/>
      <c r="V23" s="1057"/>
      <c r="W23" s="1056"/>
      <c r="X23" s="1056"/>
      <c r="Y23" s="1056"/>
      <c r="Z23" s="1061"/>
      <c r="AA23" s="1061"/>
      <c r="AB23" s="1061"/>
      <c r="AC23" s="1061"/>
      <c r="AD23" s="1061"/>
      <c r="AE23" s="1057"/>
      <c r="AF23" s="1057"/>
      <c r="AG23" s="1977"/>
      <c r="AH23" s="1977"/>
      <c r="AI23" s="1977"/>
      <c r="AJ23" s="1977"/>
      <c r="AK23" s="1892"/>
    </row>
    <row r="24" spans="1:37" s="1855" customFormat="1" ht="24.75" thickBot="1">
      <c r="A24" s="1897" t="s">
        <v>365</v>
      </c>
      <c r="B24" s="1898" t="s">
        <v>2000</v>
      </c>
      <c r="C24" s="720">
        <f>ROUND(POWER(1+G24,J24-I24)*(POWER(1+G24,I24)-1)/(POWER(1+G24,J24)-1),4)</f>
        <v>0.91859999999999997</v>
      </c>
      <c r="D24" s="1899" t="s">
        <v>2001</v>
      </c>
      <c r="E24" s="1247">
        <f>存贷款利率!E27/100</f>
        <v>4.3499999999999997E-2</v>
      </c>
      <c r="F24" s="1899" t="s">
        <v>1993</v>
      </c>
      <c r="G24" s="724">
        <f>SUMIF(M30:Q30,E2,M33:Q33)</f>
        <v>5.5E-2</v>
      </c>
      <c r="H24" s="1899" t="s">
        <v>2002</v>
      </c>
      <c r="I24" s="725">
        <f>SUMIF('数据-取费表'!C6:C15,E2,'数据-取费表'!F6:F15)/COUNTIF('数据-取费表'!C6:C15,E2)</f>
        <v>36.119999999999997</v>
      </c>
      <c r="J24" s="726">
        <f>IF(E2="住宅",70,IF(E2="商业",40,50))</f>
        <v>50</v>
      </c>
      <c r="K24" s="1061"/>
      <c r="L24" s="1900" t="s">
        <v>2003</v>
      </c>
      <c r="M24" s="1241">
        <f>ROUND(SUMPRODUCT((地价!A4:A16=YEAR(G23)&amp;"-"&amp;ROUNDUP(MONTH(G23)/3,0))*(地价!B2:G2=E2)*(地价!B4:G16)),0)</f>
        <v>0</v>
      </c>
      <c r="N24" s="1901" t="s">
        <v>2004</v>
      </c>
      <c r="O24" s="1902" t="s">
        <v>2005</v>
      </c>
      <c r="P24" s="1903" t="s">
        <v>2006</v>
      </c>
      <c r="Q24" s="1841"/>
      <c r="R24" s="1060"/>
      <c r="S24" s="1060"/>
      <c r="T24" s="1057"/>
      <c r="U24" s="1057"/>
      <c r="V24" s="1057"/>
      <c r="W24" s="1056"/>
      <c r="X24" s="1056"/>
      <c r="Y24" s="1056"/>
      <c r="Z24" s="1061"/>
      <c r="AA24" s="1061"/>
      <c r="AB24" s="1061"/>
      <c r="AC24" s="1061"/>
      <c r="AD24" s="1061"/>
      <c r="AE24" s="1061"/>
      <c r="AF24" s="1061"/>
      <c r="AG24" s="2549"/>
      <c r="AH24" s="2549"/>
      <c r="AI24" s="2549"/>
      <c r="AJ24" s="2549"/>
    </row>
    <row r="25" spans="1:37" ht="15">
      <c r="A25" s="1904" t="s">
        <v>366</v>
      </c>
      <c r="B25" s="1905" t="s">
        <v>3321</v>
      </c>
      <c r="C25" s="461">
        <f>IF(B25="容积率修正",IF(G3&lt;10,D26,J26),C27)</f>
        <v>1.2302</v>
      </c>
      <c r="D25" s="1906"/>
      <c r="E25" s="1906"/>
      <c r="F25" s="1906"/>
      <c r="G25" s="1906"/>
      <c r="H25" s="1906"/>
      <c r="I25" s="1906"/>
      <c r="J25" s="1907"/>
      <c r="K25" s="1061"/>
      <c r="L25" s="2549"/>
      <c r="M25" s="2549"/>
      <c r="N25" s="1908" t="s">
        <v>2007</v>
      </c>
      <c r="O25" s="1093"/>
      <c r="P25" s="1094">
        <f>SUMPRODUCT((地价!A3:A40=YEAR(G23)&amp;"-"&amp;ROUNDUP(MONTH(G23)/3,0))*(地价!AD2:AH2=N25)*(地价!AD3:AH40))</f>
        <v>0</v>
      </c>
      <c r="Q25" s="2549"/>
      <c r="R25" s="1060"/>
      <c r="S25" s="1060"/>
      <c r="T25" s="1057"/>
      <c r="U25" s="1057"/>
      <c r="V25" s="1057"/>
      <c r="W25" s="1056"/>
      <c r="X25" s="1056"/>
      <c r="Y25" s="1056"/>
      <c r="Z25" s="1061"/>
      <c r="AA25" s="1061"/>
      <c r="AB25" s="1061"/>
      <c r="AC25" s="1061"/>
      <c r="AD25" s="1061"/>
      <c r="AE25" s="1057"/>
      <c r="AF25" s="1057"/>
      <c r="AG25" s="1977"/>
      <c r="AH25" s="1977"/>
      <c r="AI25" s="1977"/>
      <c r="AJ25" s="1977"/>
    </row>
    <row r="26" spans="1:37" ht="14.25">
      <c r="A26" s="1803" t="s">
        <v>2008</v>
      </c>
      <c r="B26" s="1909" t="s">
        <v>2009</v>
      </c>
      <c r="C26" s="1909" t="s">
        <v>3243</v>
      </c>
      <c r="D26" s="1262">
        <f>IF(E26=G26,F26,IF(G3&lt;10,ROUND(F26+(H26-F26)*(G3-E26)/(G26-E26),4),"——"))</f>
        <v>1.2302</v>
      </c>
      <c r="E26" s="708">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1.2302</v>
      </c>
      <c r="G26" s="708">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1.2302</v>
      </c>
      <c r="I26" s="1909" t="s">
        <v>3244</v>
      </c>
      <c r="J26" s="374" t="str">
        <f>IF(G3&gt;=10,D115,"——")</f>
        <v>——</v>
      </c>
      <c r="K26" s="1061"/>
      <c r="L26" s="2549"/>
      <c r="M26" s="2549"/>
      <c r="N26" s="1908" t="s">
        <v>2010</v>
      </c>
      <c r="O26" s="1093"/>
      <c r="P26" s="1094">
        <f>SUMPRODUCT((地价!A3:A40=YEAR(G23)&amp;"-"&amp;ROUNDUP(MONTH(G23)/3,0))*(地价!AD2:AH2=N26)*(地价!AD3:AH40))</f>
        <v>0</v>
      </c>
      <c r="Q26" s="1841"/>
      <c r="R26" s="1060"/>
      <c r="S26" s="1060"/>
      <c r="T26" s="1057"/>
      <c r="U26" s="1057"/>
      <c r="V26" s="1057"/>
      <c r="W26" s="1056"/>
      <c r="X26" s="1056"/>
      <c r="Y26" s="1056"/>
      <c r="Z26" s="1061"/>
      <c r="AA26" s="1061"/>
      <c r="AB26" s="1061"/>
      <c r="AC26" s="1061"/>
      <c r="AD26" s="1061"/>
      <c r="AE26" s="1057"/>
      <c r="AF26" s="1057"/>
      <c r="AG26" s="1977"/>
      <c r="AH26" s="1977"/>
      <c r="AI26" s="1977"/>
      <c r="AJ26" s="1977"/>
    </row>
    <row r="27" spans="1:37" ht="15.75" thickBot="1">
      <c r="A27" s="1803" t="s">
        <v>2011</v>
      </c>
      <c r="B27" s="1910" t="s">
        <v>2012</v>
      </c>
      <c r="C27" s="791">
        <f>ROUND(IF(I3&lt;6,SUMPRODUCT((B106:B110=I3)*(C105:N105=G2)*(C106:N110)),SUMIF(C105:N105,G2,C112:N112)),4)</f>
        <v>0</v>
      </c>
      <c r="D27" s="1839"/>
      <c r="E27" s="1839"/>
      <c r="F27" s="1911"/>
      <c r="G27" s="1912"/>
      <c r="H27" s="1913"/>
      <c r="I27" s="1914"/>
      <c r="J27" s="1915"/>
      <c r="K27" s="1056"/>
      <c r="L27" s="1841"/>
      <c r="M27" s="1841"/>
      <c r="N27" s="1908" t="s">
        <v>2013</v>
      </c>
      <c r="O27" s="1093"/>
      <c r="P27" s="1094">
        <f>SUMPRODUCT((地价!A3:A40=YEAR(G23)&amp;"-"&amp;ROUNDUP(MONTH(G23)/3,0))*(地价!AD2:AH2=N27)*(地价!AD3:AH40))</f>
        <v>0</v>
      </c>
      <c r="Q27" s="1841"/>
      <c r="R27" s="1060"/>
      <c r="S27" s="1060"/>
      <c r="T27" s="1057"/>
      <c r="U27" s="1057"/>
      <c r="V27" s="1057"/>
      <c r="W27" s="1056"/>
      <c r="X27" s="1056"/>
      <c r="Y27" s="1056"/>
      <c r="Z27" s="1061"/>
      <c r="AA27" s="1061"/>
      <c r="AB27" s="1061"/>
      <c r="AC27" s="1061"/>
      <c r="AD27" s="1061"/>
      <c r="AE27" s="1057"/>
      <c r="AF27" s="1057"/>
      <c r="AG27" s="1977"/>
      <c r="AH27" s="1977"/>
      <c r="AI27" s="1977"/>
      <c r="AJ27" s="1977"/>
    </row>
    <row r="28" spans="1:37" ht="15.75" thickBot="1">
      <c r="A28" s="1897" t="s">
        <v>367</v>
      </c>
      <c r="B28" s="1890" t="s">
        <v>2014</v>
      </c>
      <c r="C28" s="716">
        <f>SUMIF(A47:A101,E2,B47:B101)</f>
        <v>0.96509999999999996</v>
      </c>
      <c r="D28" s="1891"/>
      <c r="E28" s="1916"/>
      <c r="F28" s="1916"/>
      <c r="G28" s="1916"/>
      <c r="H28" s="1916"/>
      <c r="I28" s="1916"/>
      <c r="J28" s="1917"/>
      <c r="K28" s="1061"/>
      <c r="L28" s="2549"/>
      <c r="M28" s="2549"/>
      <c r="N28" s="1918" t="s">
        <v>2015</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7"/>
      <c r="AH28" s="1977"/>
      <c r="AI28" s="1977"/>
      <c r="AJ28" s="1977"/>
    </row>
    <row r="29" spans="1:37" ht="15.75" thickBot="1">
      <c r="A29" s="1897" t="s">
        <v>368</v>
      </c>
      <c r="B29" s="1919" t="s">
        <v>2016</v>
      </c>
      <c r="C29" s="721"/>
      <c r="D29" s="1865"/>
      <c r="E29" s="1865"/>
      <c r="F29" s="1920"/>
      <c r="G29" s="1865"/>
      <c r="H29" s="1865"/>
      <c r="I29" s="1865"/>
      <c r="J29" s="1866"/>
      <c r="K29" s="1056"/>
      <c r="L29" s="1841"/>
      <c r="M29" s="1841"/>
      <c r="N29" s="2546" t="s">
        <v>2017</v>
      </c>
      <c r="O29" s="2547"/>
      <c r="P29" s="254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1"/>
      <c r="AH29" s="1841"/>
      <c r="AI29" s="1841"/>
      <c r="AJ29" s="1841"/>
    </row>
    <row r="30" spans="1:37" ht="15">
      <c r="A30" s="1921"/>
      <c r="B30" s="1909" t="s">
        <v>2018</v>
      </c>
      <c r="C30" s="2142">
        <f>IF(B25="容积率修正",E33+SUM(E37:E42),SUM(V2:V16)+SUM(E37:E42))</f>
        <v>16709</v>
      </c>
      <c r="D30" s="1922"/>
      <c r="E30" s="1839"/>
      <c r="F30" s="1923"/>
      <c r="G30" s="1839"/>
      <c r="H30" s="1839"/>
      <c r="I30" s="1839"/>
      <c r="J30" s="1924"/>
      <c r="K30" s="1056"/>
      <c r="L30" s="3052" t="s">
        <v>1930</v>
      </c>
      <c r="M30" s="3053" t="s">
        <v>1984</v>
      </c>
      <c r="N30" s="3053" t="s">
        <v>1985</v>
      </c>
      <c r="O30" s="3053" t="s">
        <v>1986</v>
      </c>
      <c r="P30" s="3053" t="s">
        <v>1987</v>
      </c>
      <c r="Q30" s="3056" t="s">
        <v>3248</v>
      </c>
      <c r="R30" s="1060"/>
      <c r="S30" s="1060"/>
      <c r="T30" s="1057"/>
      <c r="U30" s="1057"/>
      <c r="V30" s="1057"/>
      <c r="W30" s="1056"/>
      <c r="X30" s="1056"/>
      <c r="Y30" s="1056"/>
      <c r="Z30" s="1061"/>
      <c r="AA30" s="1061"/>
      <c r="AB30" s="1061"/>
      <c r="AC30" s="1061"/>
      <c r="AD30" s="1061"/>
      <c r="AE30" s="1056"/>
      <c r="AF30" s="1056"/>
      <c r="AG30" s="1841"/>
      <c r="AH30" s="1841"/>
      <c r="AI30" s="1841"/>
      <c r="AJ30" s="1841"/>
    </row>
    <row r="31" spans="1:37" ht="15.75" thickBot="1">
      <c r="A31" s="1921"/>
      <c r="B31" s="1925" t="s">
        <v>2019</v>
      </c>
      <c r="C31" s="722">
        <f>E34+SUM(I37:I42)</f>
        <v>0</v>
      </c>
      <c r="D31" s="1926"/>
      <c r="E31" s="1927"/>
      <c r="F31" s="1928"/>
      <c r="G31" s="1927"/>
      <c r="H31" s="1927"/>
      <c r="I31" s="1927"/>
      <c r="J31" s="1929"/>
      <c r="K31" s="1056"/>
      <c r="L31" s="3054" t="s">
        <v>1990</v>
      </c>
      <c r="M31" s="162">
        <v>0.25</v>
      </c>
      <c r="N31" s="162">
        <v>0.2</v>
      </c>
      <c r="O31" s="162">
        <v>0.15</v>
      </c>
      <c r="P31" s="162">
        <v>0.1</v>
      </c>
      <c r="Q31" s="3049">
        <v>0.15</v>
      </c>
      <c r="R31" s="1060"/>
      <c r="S31" s="1060"/>
      <c r="T31" s="1057"/>
      <c r="U31" s="1057"/>
      <c r="V31" s="1057"/>
      <c r="W31" s="1056"/>
      <c r="X31" s="1056"/>
      <c r="Y31" s="1056"/>
      <c r="Z31" s="1061"/>
      <c r="AA31" s="1061"/>
      <c r="AB31" s="1061"/>
      <c r="AC31" s="1061"/>
      <c r="AD31" s="1061"/>
      <c r="AE31" s="1056"/>
      <c r="AF31" s="1056"/>
      <c r="AG31" s="1841"/>
      <c r="AH31" s="1841"/>
      <c r="AI31" s="1841"/>
      <c r="AJ31" s="1841"/>
    </row>
    <row r="32" spans="1:37" ht="15.75" thickBot="1">
      <c r="A32" s="1930"/>
      <c r="B32" s="1931" t="s">
        <v>2020</v>
      </c>
      <c r="C32" s="1932" t="s">
        <v>2021</v>
      </c>
      <c r="D32" s="1932" t="s">
        <v>2022</v>
      </c>
      <c r="E32" s="1933" t="s">
        <v>2023</v>
      </c>
      <c r="F32" s="1934"/>
      <c r="G32" s="1878"/>
      <c r="H32" s="1878"/>
      <c r="I32" s="1878"/>
      <c r="J32" s="1879"/>
      <c r="K32" s="1056"/>
      <c r="L32" s="3055" t="s">
        <v>1993</v>
      </c>
      <c r="M32" s="2352">
        <f>ROUND($E$24*(1+M31),3)</f>
        <v>5.3999999999999999E-2</v>
      </c>
      <c r="N32" s="2352">
        <f>ROUND($E$24*(1+N31),3)</f>
        <v>5.1999999999999998E-2</v>
      </c>
      <c r="O32" s="2352">
        <f>ROUND($E$24*(1+O31),3)</f>
        <v>0.05</v>
      </c>
      <c r="P32" s="2352">
        <f>ROUND($E$24*(1+P31),3)</f>
        <v>4.8000000000000001E-2</v>
      </c>
      <c r="Q32" s="3057">
        <f>ROUND($E$24*(1+Q31),3)</f>
        <v>0.05</v>
      </c>
      <c r="R32" s="1060"/>
      <c r="S32" s="1060"/>
      <c r="T32" s="1057"/>
      <c r="U32" s="1057"/>
      <c r="V32" s="1057"/>
      <c r="W32" s="1056"/>
      <c r="X32" s="1056"/>
      <c r="Y32" s="1056"/>
      <c r="Z32" s="1061"/>
      <c r="AA32" s="1061"/>
      <c r="AB32" s="1061"/>
      <c r="AC32" s="1061"/>
      <c r="AD32" s="1061"/>
      <c r="AE32" s="1056"/>
      <c r="AF32" s="1056"/>
      <c r="AG32" s="1841"/>
      <c r="AH32" s="1841"/>
      <c r="AI32" s="1841"/>
      <c r="AJ32" s="1841"/>
    </row>
    <row r="33" spans="1:37" ht="14.25">
      <c r="A33" s="1935"/>
      <c r="B33" s="1936" t="s">
        <v>2024</v>
      </c>
      <c r="C33" s="167">
        <f>ROUND(C5*C22*C23*C24*C25*C28,0)</f>
        <v>7750</v>
      </c>
      <c r="D33" s="1937">
        <f>'数据-基础表'!A3</f>
        <v>21560.34</v>
      </c>
      <c r="E33" s="727">
        <f>ROUND(C33*D33/10000,0)</f>
        <v>16709</v>
      </c>
      <c r="F33" s="3047" t="s">
        <v>3246</v>
      </c>
      <c r="G33" s="1938"/>
      <c r="H33" s="1938"/>
      <c r="I33" s="1938"/>
      <c r="J33" s="1939"/>
      <c r="K33" s="1056"/>
      <c r="L33" s="3050" t="s">
        <v>3249</v>
      </c>
      <c r="M33" s="3051">
        <v>5.5E-2</v>
      </c>
      <c r="N33" s="3051">
        <v>5.5E-2</v>
      </c>
      <c r="O33" s="3051">
        <v>0.05</v>
      </c>
      <c r="P33" s="3051">
        <v>0.05</v>
      </c>
      <c r="Q33" s="3051">
        <v>0.05</v>
      </c>
      <c r="R33" s="1060"/>
      <c r="S33" s="1060"/>
      <c r="T33" s="1057"/>
      <c r="U33" s="1057"/>
      <c r="V33" s="1057"/>
      <c r="W33" s="1056"/>
      <c r="X33" s="1056"/>
      <c r="Y33" s="1056"/>
      <c r="Z33" s="1061"/>
      <c r="AA33" s="1061"/>
      <c r="AB33" s="1061"/>
      <c r="AC33" s="1061"/>
      <c r="AD33" s="1061"/>
      <c r="AE33" s="1057"/>
      <c r="AF33" s="1057"/>
      <c r="AG33" s="1977"/>
      <c r="AH33" s="1977"/>
      <c r="AI33" s="1977"/>
      <c r="AJ33" s="1977"/>
    </row>
    <row r="34" spans="1:37" ht="25.5" thickBot="1">
      <c r="A34" s="1940"/>
      <c r="B34" s="1941" t="s">
        <v>2025</v>
      </c>
      <c r="C34" s="179">
        <f>ROUND(IF(E2="工业",C33*M42,IF(B25="楼层修正",SUM(V2:V16)*M41*10000/D34,C33*M41)),0)</f>
        <v>1938</v>
      </c>
      <c r="D34" s="1942"/>
      <c r="E34" s="727">
        <f>ROUND(IF(B25="楼层修正",SUM(V2:V16)*M40,C34*D34/10000),0)</f>
        <v>0</v>
      </c>
      <c r="F34" s="1943" t="s">
        <v>2026</v>
      </c>
      <c r="G34" s="1944"/>
      <c r="H34" s="1944"/>
      <c r="I34" s="1944"/>
      <c r="J34" s="1945"/>
      <c r="K34" s="1056"/>
      <c r="L34" s="3050" t="s">
        <v>3250</v>
      </c>
      <c r="M34" s="3051">
        <v>6.5000000000000002E-2</v>
      </c>
      <c r="N34" s="3051">
        <v>6.5000000000000002E-2</v>
      </c>
      <c r="O34" s="3051">
        <v>0.06</v>
      </c>
      <c r="P34" s="3051">
        <v>0.06</v>
      </c>
      <c r="Q34" s="3051">
        <v>0.06</v>
      </c>
      <c r="R34" s="1060"/>
      <c r="S34" s="1060"/>
      <c r="T34" s="1057"/>
      <c r="U34" s="1057"/>
      <c r="V34" s="1057"/>
      <c r="W34" s="1056"/>
      <c r="X34" s="1056"/>
      <c r="Y34" s="1056"/>
      <c r="Z34" s="1061"/>
      <c r="AA34" s="1061"/>
      <c r="AB34" s="1061"/>
      <c r="AC34" s="1061"/>
      <c r="AD34" s="1061"/>
      <c r="AE34" s="1057"/>
      <c r="AF34" s="1057"/>
      <c r="AG34" s="1977"/>
      <c r="AH34" s="1977"/>
      <c r="AI34" s="1977"/>
      <c r="AJ34" s="1977"/>
    </row>
    <row r="35" spans="1:37">
      <c r="A35" s="1946"/>
      <c r="B35" s="1947" t="s">
        <v>2027</v>
      </c>
      <c r="C35" s="3048" t="s">
        <v>3247</v>
      </c>
      <c r="D35" s="1878"/>
      <c r="E35" s="1948"/>
      <c r="F35" s="1948"/>
      <c r="G35" s="1876" t="s">
        <v>2028</v>
      </c>
      <c r="H35" s="1878"/>
      <c r="I35" s="1949"/>
      <c r="J35" s="1879"/>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7"/>
      <c r="AH35" s="1977"/>
      <c r="AI35" s="1977"/>
      <c r="AJ35" s="1977"/>
    </row>
    <row r="36" spans="1:37" ht="24.75" thickBot="1">
      <c r="A36" s="1935"/>
      <c r="B36" s="1950"/>
      <c r="C36" s="436" t="s">
        <v>2021</v>
      </c>
      <c r="D36" s="433" t="s">
        <v>2022</v>
      </c>
      <c r="E36" s="433" t="s">
        <v>2023</v>
      </c>
      <c r="F36" s="333" t="s">
        <v>2029</v>
      </c>
      <c r="G36" s="1951" t="s">
        <v>2021</v>
      </c>
      <c r="H36" s="1951" t="s">
        <v>2022</v>
      </c>
      <c r="I36" s="1951" t="s">
        <v>2023</v>
      </c>
      <c r="J36" s="235"/>
      <c r="K36" s="1961" t="s">
        <v>3251</v>
      </c>
      <c r="L36" s="3139">
        <f ca="1">'数据-取费表'!B40</f>
        <v>3.4500000000000003E-2</v>
      </c>
      <c r="M36" s="2362">
        <f ca="1">ROUND($L$36*(1+M31),3)</f>
        <v>4.2999999999999997E-2</v>
      </c>
      <c r="N36" s="2362">
        <f ca="1">ROUND($L$36*(1+N31),3)</f>
        <v>4.1000000000000002E-2</v>
      </c>
      <c r="O36" s="2362">
        <f ca="1">ROUND($L$36*(1+O31),3)</f>
        <v>0.04</v>
      </c>
      <c r="P36" s="2362">
        <f ca="1">ROUND($L$36*(1+P31),3)</f>
        <v>3.7999999999999999E-2</v>
      </c>
      <c r="Q36" s="2362">
        <f ca="1">ROUND($L$36*(1+Q31),3)</f>
        <v>0.04</v>
      </c>
      <c r="R36" s="1056"/>
      <c r="S36" s="1056"/>
      <c r="T36" s="1056"/>
      <c r="U36" s="1056"/>
      <c r="V36" s="1056"/>
      <c r="W36" s="1056"/>
      <c r="X36" s="1056"/>
      <c r="Y36" s="1056"/>
      <c r="Z36" s="1057"/>
      <c r="AA36" s="1057"/>
      <c r="AB36" s="1057"/>
      <c r="AC36" s="1057"/>
      <c r="AD36" s="1057"/>
      <c r="AE36" s="1057"/>
      <c r="AF36" s="1057"/>
      <c r="AG36" s="1977"/>
      <c r="AH36" s="1977"/>
      <c r="AI36" s="1977"/>
      <c r="AJ36" s="1977"/>
    </row>
    <row r="37" spans="1:37" ht="24.75" thickBot="1">
      <c r="A37" s="3513"/>
      <c r="B37" s="1952" t="s">
        <v>2030</v>
      </c>
      <c r="C37" s="167">
        <f>ROUND(D5*C22*C23*C24*C28*F37,0)</f>
        <v>3150</v>
      </c>
      <c r="D37" s="1937"/>
      <c r="E37" s="163">
        <f>ROUND(C37*D37/10000,0)</f>
        <v>0</v>
      </c>
      <c r="F37" s="163">
        <f>SUMIF(修正!A57:A68,G2,修正!B57:B68)</f>
        <v>0.5</v>
      </c>
      <c r="G37" s="163">
        <f>ROUND(IF(E2="工业",C37*$M$42,C37*$M$41),0)</f>
        <v>788</v>
      </c>
      <c r="H37" s="163">
        <f>D37</f>
        <v>0</v>
      </c>
      <c r="I37" s="163">
        <f>ROUND(G37*H37/10000,0)</f>
        <v>0</v>
      </c>
      <c r="J37" s="2751"/>
      <c r="K37" s="3058" t="s">
        <v>3252</v>
      </c>
      <c r="L37" s="1961">
        <f ca="1">L36+K38</f>
        <v>3.95E-2</v>
      </c>
      <c r="M37" s="2362">
        <f ca="1">ROUND($L$37*(1+M31),3)</f>
        <v>4.9000000000000002E-2</v>
      </c>
      <c r="N37" s="2362">
        <f t="shared" ref="N37:Q37" ca="1" si="3">ROUND($L$37*(1+N31),3)</f>
        <v>4.7E-2</v>
      </c>
      <c r="O37" s="2362">
        <f t="shared" ca="1" si="3"/>
        <v>4.4999999999999998E-2</v>
      </c>
      <c r="P37" s="2362">
        <f t="shared" ca="1" si="3"/>
        <v>4.2999999999999997E-2</v>
      </c>
      <c r="Q37" s="2362">
        <f t="shared" ca="1" si="3"/>
        <v>4.4999999999999998E-2</v>
      </c>
      <c r="R37" s="1056"/>
      <c r="S37" s="1056"/>
      <c r="T37" s="1056"/>
      <c r="U37" s="1056"/>
      <c r="V37" s="1056"/>
      <c r="W37" s="1056"/>
      <c r="X37" s="1056"/>
      <c r="Y37" s="1056"/>
      <c r="Z37" s="1057"/>
      <c r="AA37" s="1057"/>
      <c r="AB37" s="1057"/>
      <c r="AC37" s="1057"/>
      <c r="AD37" s="1057"/>
      <c r="AE37" s="1057"/>
      <c r="AF37" s="1057"/>
      <c r="AG37" s="1977"/>
      <c r="AH37" s="1977"/>
      <c r="AI37" s="1977"/>
      <c r="AJ37" s="1977"/>
    </row>
    <row r="38" spans="1:37">
      <c r="A38" s="3514"/>
      <c r="B38" s="1881" t="s">
        <v>2031</v>
      </c>
      <c r="C38" s="167">
        <f>ROUND(D5*C22*C23*C24*C28*F38,0)</f>
        <v>1260</v>
      </c>
      <c r="D38" s="1937"/>
      <c r="E38" s="163">
        <f t="shared" ref="E38:E42" si="4">ROUND(C38*D38/10000,0)</f>
        <v>0</v>
      </c>
      <c r="F38" s="163">
        <f>SUMIF(修正!A57:A68,G2,修正!C57:C68)</f>
        <v>0.2</v>
      </c>
      <c r="G38" s="163">
        <f>ROUND(IF(E2="工业",C38*$M$42,C38*$M$41),0)</f>
        <v>315</v>
      </c>
      <c r="H38" s="163">
        <f t="shared" ref="H38:H42" si="5">D38</f>
        <v>0</v>
      </c>
      <c r="I38" s="163">
        <f t="shared" ref="I38:I42" si="6">ROUND(G38*H38/10000,0)</f>
        <v>0</v>
      </c>
      <c r="J38" s="2750"/>
      <c r="K38" s="1961">
        <v>5.0000000000000001E-3</v>
      </c>
      <c r="L38" s="1961"/>
      <c r="M38" s="1961"/>
      <c r="N38" s="1961"/>
      <c r="O38" s="1961"/>
      <c r="P38" s="1961"/>
      <c r="Q38" s="1961"/>
      <c r="R38" s="1056"/>
      <c r="S38" s="1056"/>
      <c r="T38" s="1056"/>
      <c r="U38" s="1056"/>
      <c r="V38" s="1056"/>
      <c r="W38" s="1056"/>
      <c r="X38" s="1056"/>
      <c r="Y38" s="1056"/>
      <c r="Z38" s="1057"/>
      <c r="AA38" s="1057"/>
      <c r="AB38" s="1057"/>
      <c r="AC38" s="1057"/>
      <c r="AD38" s="1057"/>
    </row>
    <row r="39" spans="1:37" ht="13.5" thickBot="1">
      <c r="A39" s="3514"/>
      <c r="B39" s="1881" t="s">
        <v>3245</v>
      </c>
      <c r="C39" s="167">
        <f>ROUND(D5*C22*C23*C24*C28*F39,0)</f>
        <v>1260</v>
      </c>
      <c r="D39" s="1937"/>
      <c r="E39" s="163">
        <f t="shared" si="4"/>
        <v>0</v>
      </c>
      <c r="F39" s="163">
        <f>SUMIF(修正!A57:A68,G2,修正!D57:D68)</f>
        <v>0.2</v>
      </c>
      <c r="G39" s="163">
        <f>ROUND(IF(E2="工业",C39*$M$42,C39*$M$41),0)</f>
        <v>315</v>
      </c>
      <c r="H39" s="163">
        <f t="shared" si="5"/>
        <v>0</v>
      </c>
      <c r="I39" s="163">
        <f t="shared" si="6"/>
        <v>0</v>
      </c>
      <c r="J39" s="2750"/>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3"/>
      <c r="B40" s="1881" t="s">
        <v>2032</v>
      </c>
      <c r="C40" s="163">
        <f>ROUND(D5*C22*C23*C24*C28*F40,0)</f>
        <v>1260</v>
      </c>
      <c r="D40" s="1937"/>
      <c r="E40" s="163">
        <f t="shared" si="4"/>
        <v>0</v>
      </c>
      <c r="F40" s="167">
        <f>SUMIF(修正!A57:A68,G2,修正!E57:E68)</f>
        <v>0.2</v>
      </c>
      <c r="G40" s="163">
        <f>ROUND(IF(E2="工业",C40*$M$42,C40*$M$41),0)</f>
        <v>315</v>
      </c>
      <c r="H40" s="163">
        <f t="shared" si="5"/>
        <v>0</v>
      </c>
      <c r="I40" s="163">
        <f t="shared" si="6"/>
        <v>0</v>
      </c>
      <c r="J40" s="939"/>
      <c r="L40" s="1954" t="s">
        <v>2033</v>
      </c>
      <c r="M40" s="1955"/>
      <c r="Z40" s="1057"/>
      <c r="AA40" s="1057"/>
      <c r="AB40" s="1057"/>
      <c r="AC40" s="1057"/>
      <c r="AD40" s="1057"/>
      <c r="AE40" s="1057"/>
      <c r="AF40" s="1057"/>
      <c r="AG40" s="1057"/>
      <c r="AH40" s="1057"/>
      <c r="AI40" s="1057"/>
      <c r="AJ40" s="1057"/>
    </row>
    <row r="41" spans="1:37" s="1056" customFormat="1">
      <c r="A41" s="1953"/>
      <c r="B41" s="1881" t="s">
        <v>2034</v>
      </c>
      <c r="C41" s="163">
        <f>ROUND(D5*C22*C23*C44*C28*F41,0)</f>
        <v>1260</v>
      </c>
      <c r="D41" s="1937"/>
      <c r="E41" s="163">
        <f t="shared" si="4"/>
        <v>0</v>
      </c>
      <c r="F41" s="167">
        <f>SUMIF(修正!A57:A68,G2,修正!F57:F68)</f>
        <v>0.2</v>
      </c>
      <c r="G41" s="163">
        <f>ROUND(IF(E2="工业",C41*$M$42,C41*$M$41),0)</f>
        <v>315</v>
      </c>
      <c r="H41" s="163">
        <f t="shared" si="5"/>
        <v>0</v>
      </c>
      <c r="I41" s="163">
        <f t="shared" si="6"/>
        <v>0</v>
      </c>
      <c r="J41" s="939"/>
      <c r="L41" s="3059" t="s">
        <v>3253</v>
      </c>
      <c r="M41" s="1956">
        <v>0.25</v>
      </c>
      <c r="Z41" s="1057"/>
      <c r="AA41" s="1057"/>
      <c r="AB41" s="1057"/>
      <c r="AC41" s="1057"/>
      <c r="AD41" s="1057"/>
      <c r="AE41" s="1057"/>
      <c r="AF41" s="1057"/>
      <c r="AG41" s="1057"/>
      <c r="AH41" s="1057"/>
      <c r="AI41" s="1057"/>
      <c r="AJ41" s="1057"/>
    </row>
    <row r="42" spans="1:37" s="1056" customFormat="1" ht="13.5" thickBot="1">
      <c r="A42" s="1940"/>
      <c r="B42" s="1957" t="s">
        <v>2035</v>
      </c>
      <c r="C42" s="179">
        <f>ROUND(D5*C22*C23*C44*C28*F42,0)</f>
        <v>630</v>
      </c>
      <c r="D42" s="1942"/>
      <c r="E42" s="179">
        <f t="shared" si="4"/>
        <v>0</v>
      </c>
      <c r="F42" s="723">
        <f>SUMIF(修正!A57:A68,G2,修正!G57:G68)</f>
        <v>0.1</v>
      </c>
      <c r="G42" s="179">
        <f>ROUND(IF(E2="工业",C42*$M$42,C42*$M$41),0)</f>
        <v>158</v>
      </c>
      <c r="H42" s="179">
        <f t="shared" si="5"/>
        <v>0</v>
      </c>
      <c r="I42" s="179">
        <f t="shared" si="6"/>
        <v>0</v>
      </c>
      <c r="J42" s="1958"/>
      <c r="L42" s="1959" t="s">
        <v>1987</v>
      </c>
      <c r="M42" s="1960">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89" t="s">
        <v>2116</v>
      </c>
      <c r="C44" s="333">
        <f>ROUND(POWER(1+E44,H44-G44)*(POWER(1+E44,G44)-1)/(POWER(1+E44,H44)-1),4)</f>
        <v>0.91859999999999997</v>
      </c>
      <c r="D44" s="163" t="s">
        <v>1993</v>
      </c>
      <c r="E44" s="1988">
        <f>G24</f>
        <v>5.5E-2</v>
      </c>
      <c r="F44" s="163" t="s">
        <v>2002</v>
      </c>
      <c r="G44" s="175">
        <f>项目基本情况!E15</f>
        <v>36.119999999999997</v>
      </c>
      <c r="H44" s="163">
        <v>50</v>
      </c>
      <c r="Z44" s="1057"/>
      <c r="AA44" s="1057"/>
      <c r="AB44" s="1057"/>
      <c r="AC44" s="1057"/>
      <c r="AD44" s="1057"/>
      <c r="AE44" s="1057"/>
      <c r="AF44" s="1057"/>
      <c r="AG44" s="1057"/>
      <c r="AH44" s="1057"/>
      <c r="AI44" s="1057"/>
      <c r="AJ44" s="1057"/>
    </row>
    <row r="45" spans="1:37" s="1056" customFormat="1">
      <c r="A45" s="1057"/>
      <c r="B45" s="1961"/>
      <c r="Z45" s="1057"/>
      <c r="AA45" s="1057"/>
      <c r="AB45" s="1057"/>
      <c r="AC45" s="1057"/>
      <c r="AD45" s="1057"/>
      <c r="AE45" s="1057"/>
      <c r="AF45" s="1057"/>
      <c r="AG45" s="1057"/>
      <c r="AH45" s="1057"/>
      <c r="AI45" s="1057"/>
      <c r="AJ45" s="1057"/>
    </row>
    <row r="46" spans="1:37" s="1056" customFormat="1">
      <c r="A46" s="1057"/>
      <c r="B46" s="1961"/>
      <c r="AA46" s="1057"/>
      <c r="AB46" s="1057"/>
      <c r="AC46" s="1057"/>
      <c r="AD46" s="1057"/>
      <c r="AE46" s="1057"/>
      <c r="AF46" s="1057"/>
      <c r="AG46" s="1057"/>
      <c r="AH46" s="1057"/>
      <c r="AI46" s="1057"/>
      <c r="AJ46" s="1057"/>
      <c r="AK46" s="1057"/>
    </row>
    <row r="47" spans="1:37" s="1056" customFormat="1" ht="15.75" thickBot="1">
      <c r="A47" s="1962" t="s">
        <v>2036</v>
      </c>
      <c r="B47" s="1963"/>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4" t="s">
        <v>2037</v>
      </c>
      <c r="B48" s="1965">
        <f>1+E50</f>
        <v>1</v>
      </c>
      <c r="C48" s="1725"/>
      <c r="D48" s="699"/>
      <c r="E48" s="700"/>
      <c r="F48" s="1966"/>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7" t="s">
        <v>2038</v>
      </c>
      <c r="B49" s="1261" t="s">
        <v>2039</v>
      </c>
      <c r="C49" s="1261" t="s">
        <v>2040</v>
      </c>
      <c r="D49" s="1261" t="s">
        <v>2041</v>
      </c>
      <c r="E49" s="701" t="s">
        <v>2042</v>
      </c>
      <c r="F49" s="1968" t="s">
        <v>2043</v>
      </c>
      <c r="G49" s="1261" t="s">
        <v>310</v>
      </c>
      <c r="H49" s="1969" t="s">
        <v>2044</v>
      </c>
      <c r="I49" s="1261" t="s">
        <v>2045</v>
      </c>
      <c r="J49" s="530" t="s">
        <v>1716</v>
      </c>
      <c r="K49" s="530" t="s">
        <v>1717</v>
      </c>
      <c r="L49" s="530" t="s">
        <v>1718</v>
      </c>
      <c r="M49" s="530" t="s">
        <v>1719</v>
      </c>
      <c r="N49" s="530" t="s">
        <v>1720</v>
      </c>
      <c r="AA49" s="1057"/>
      <c r="AB49" s="1057"/>
      <c r="AC49" s="1057"/>
      <c r="AD49" s="1057"/>
      <c r="AE49" s="1057"/>
      <c r="AF49" s="1057"/>
      <c r="AG49" s="1057"/>
      <c r="AH49" s="1057"/>
      <c r="AI49" s="1057"/>
      <c r="AJ49" s="1057"/>
      <c r="AK49" s="1057"/>
    </row>
    <row r="50" spans="1:37" s="1056" customFormat="1" ht="24.75">
      <c r="A50" s="1967" t="s">
        <v>2046</v>
      </c>
      <c r="B50" s="1970">
        <f>估价对象房地状况!C4</f>
        <v>0</v>
      </c>
      <c r="C50" s="1884"/>
      <c r="D50" s="1002">
        <f t="shared" ref="D50:D58" si="7">SUMIF($J$49:$N$49,C50,J50:N50)</f>
        <v>0</v>
      </c>
      <c r="E50" s="702">
        <f>ROUND(SUM(D50:D58),4)</f>
        <v>0</v>
      </c>
      <c r="F50" s="1674" t="str">
        <f>IF(E2="商业",SUMIF(L1:L12,G2,N1:N12),"——")</f>
        <v>——</v>
      </c>
      <c r="G50" s="1000"/>
      <c r="H50" s="1003" t="str">
        <f t="shared" ref="H50:H58" si="8">IFERROR(ROUNDDOWN($F$50*I50/2,4),"——")</f>
        <v>——</v>
      </c>
      <c r="I50" s="3065">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67" t="s">
        <v>2047</v>
      </c>
      <c r="B51" s="1261">
        <f>估价对象房地状况!C18</f>
        <v>0</v>
      </c>
      <c r="C51" s="1884"/>
      <c r="D51" s="1002">
        <f t="shared" si="7"/>
        <v>0</v>
      </c>
      <c r="E51" s="703"/>
      <c r="F51" s="1674"/>
      <c r="G51" s="1000"/>
      <c r="H51" s="1003" t="str">
        <f t="shared" si="8"/>
        <v>——</v>
      </c>
      <c r="I51" s="3065">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7" t="s">
        <v>3255</v>
      </c>
      <c r="B52" s="1261">
        <f>估价对象房地状况!C19</f>
        <v>0</v>
      </c>
      <c r="C52" s="1884"/>
      <c r="D52" s="1002">
        <f t="shared" si="7"/>
        <v>0</v>
      </c>
      <c r="E52" s="703"/>
      <c r="F52" s="1674"/>
      <c r="G52" s="1000"/>
      <c r="H52" s="1003" t="str">
        <f t="shared" si="8"/>
        <v>——</v>
      </c>
      <c r="I52" s="3065">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7" t="s">
        <v>2048</v>
      </c>
      <c r="B53" s="1971" t="s">
        <v>2049</v>
      </c>
      <c r="C53" s="1884"/>
      <c r="D53" s="1002">
        <f t="shared" si="7"/>
        <v>0</v>
      </c>
      <c r="E53" s="703"/>
      <c r="F53" s="1674"/>
      <c r="G53" s="1000"/>
      <c r="H53" s="1003" t="str">
        <f t="shared" si="8"/>
        <v>——</v>
      </c>
      <c r="I53" s="3065">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7" t="s">
        <v>2050</v>
      </c>
      <c r="B54" s="1261">
        <f>估价对象房地状况!C24</f>
        <v>0</v>
      </c>
      <c r="C54" s="1884"/>
      <c r="D54" s="1002">
        <f t="shared" si="7"/>
        <v>0</v>
      </c>
      <c r="E54" s="703"/>
      <c r="F54" s="1674"/>
      <c r="G54" s="1000"/>
      <c r="H54" s="1003" t="str">
        <f t="shared" si="8"/>
        <v>——</v>
      </c>
      <c r="I54" s="3065">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7" t="s">
        <v>2051</v>
      </c>
      <c r="B55" s="1972" t="s">
        <v>2052</v>
      </c>
      <c r="C55" s="1884"/>
      <c r="D55" s="1002">
        <f t="shared" si="7"/>
        <v>0</v>
      </c>
      <c r="E55" s="703"/>
      <c r="F55" s="1674"/>
      <c r="G55" s="1000"/>
      <c r="H55" s="1003" t="str">
        <f t="shared" si="8"/>
        <v>——</v>
      </c>
      <c r="I55" s="3065">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3" t="s">
        <v>2053</v>
      </c>
      <c r="B56" s="1239">
        <f>估价对象房地状况!C21</f>
        <v>0</v>
      </c>
      <c r="C56" s="1884"/>
      <c r="D56" s="1002">
        <f t="shared" si="7"/>
        <v>0</v>
      </c>
      <c r="E56" s="703"/>
      <c r="F56" s="1674"/>
      <c r="G56" s="1000"/>
      <c r="H56" s="1003" t="str">
        <f t="shared" si="8"/>
        <v>——</v>
      </c>
      <c r="I56" s="3065">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3" t="s">
        <v>2054</v>
      </c>
      <c r="B57" s="1261">
        <f>估价对象房地状况!C22</f>
        <v>0</v>
      </c>
      <c r="C57" s="1884"/>
      <c r="D57" s="1002">
        <f t="shared" si="7"/>
        <v>0</v>
      </c>
      <c r="E57" s="703"/>
      <c r="F57" s="1674"/>
      <c r="G57" s="1000"/>
      <c r="H57" s="1003" t="str">
        <f t="shared" si="8"/>
        <v>——</v>
      </c>
      <c r="I57" s="3065">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4" t="s">
        <v>2055</v>
      </c>
      <c r="B58" s="1975">
        <f>估价对象房地状况!C20</f>
        <v>0</v>
      </c>
      <c r="C58" s="1884"/>
      <c r="D58" s="1002">
        <f t="shared" si="7"/>
        <v>0</v>
      </c>
      <c r="E58" s="704"/>
      <c r="F58" s="1674"/>
      <c r="G58" s="1000"/>
      <c r="H58" s="1003" t="str">
        <f t="shared" si="8"/>
        <v>——</v>
      </c>
      <c r="I58" s="3066">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4" t="s">
        <v>2056</v>
      </c>
      <c r="B59" s="1965">
        <f>1+E61</f>
        <v>0.96509999999999996</v>
      </c>
      <c r="C59" s="699"/>
      <c r="D59" s="699"/>
      <c r="E59" s="700"/>
      <c r="F59" s="1966"/>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7" t="s">
        <v>2038</v>
      </c>
      <c r="B60" s="1261"/>
      <c r="C60" s="1261" t="s">
        <v>2040</v>
      </c>
      <c r="D60" s="1261" t="s">
        <v>2041</v>
      </c>
      <c r="E60" s="701" t="s">
        <v>2042</v>
      </c>
      <c r="F60" s="1968" t="s">
        <v>2057</v>
      </c>
      <c r="G60" s="1261" t="s">
        <v>310</v>
      </c>
      <c r="H60" s="1969" t="s">
        <v>2044</v>
      </c>
      <c r="I60" s="1261" t="s">
        <v>2045</v>
      </c>
      <c r="J60" s="530" t="s">
        <v>1716</v>
      </c>
      <c r="K60" s="530" t="s">
        <v>1717</v>
      </c>
      <c r="L60" s="530" t="s">
        <v>1718</v>
      </c>
      <c r="M60" s="530" t="s">
        <v>1719</v>
      </c>
      <c r="N60" s="530" t="s">
        <v>1720</v>
      </c>
      <c r="AA60" s="1057"/>
      <c r="AB60" s="1057"/>
      <c r="AC60" s="1057"/>
      <c r="AD60" s="1057"/>
      <c r="AE60" s="1057"/>
      <c r="AF60" s="1057"/>
      <c r="AG60" s="1057"/>
      <c r="AH60" s="1057"/>
      <c r="AI60" s="1057"/>
      <c r="AJ60" s="1057"/>
      <c r="AK60" s="1057"/>
    </row>
    <row r="61" spans="1:37" s="1056" customFormat="1" ht="24">
      <c r="A61" s="1967" t="s">
        <v>2058</v>
      </c>
      <c r="B61" s="1970">
        <f>估价对象房地状况!C17</f>
        <v>0</v>
      </c>
      <c r="C61" s="1884" t="s">
        <v>3816</v>
      </c>
      <c r="D61" s="1002">
        <f t="shared" ref="D61:D69" si="12">SUMIF($J$60:$N$60,C61,J61:N61)</f>
        <v>-1.78E-2</v>
      </c>
      <c r="E61" s="702">
        <f>ROUND(SUM(D61:D69),4)</f>
        <v>-3.49E-2</v>
      </c>
      <c r="F61" s="1674">
        <f>IF(E2="办公",SUMIF(L1:L12,G2,N1:N12),"——")</f>
        <v>0.14299999999999999</v>
      </c>
      <c r="G61" s="1000">
        <f>H61</f>
        <v>1.78E-2</v>
      </c>
      <c r="H61" s="1003">
        <f t="shared" ref="H61:H69" si="13">IFERROR(ROUNDDOWN($F$61*I61/2,4),"——")</f>
        <v>1.78E-2</v>
      </c>
      <c r="I61" s="3065">
        <v>0.25</v>
      </c>
      <c r="J61" s="1001">
        <f t="shared" ref="J61:J69" si="14">K61+$G61</f>
        <v>3.56E-2</v>
      </c>
      <c r="K61" s="1001">
        <f t="shared" ref="K61:K69" si="15">$L61+$G61</f>
        <v>1.78E-2</v>
      </c>
      <c r="L61" s="1001">
        <v>0</v>
      </c>
      <c r="M61" s="1001">
        <f t="shared" ref="M61:N69" si="16">L61-$G61</f>
        <v>-1.78E-2</v>
      </c>
      <c r="N61" s="1001">
        <f t="shared" si="16"/>
        <v>-3.56E-2</v>
      </c>
      <c r="AA61" s="1057"/>
      <c r="AB61" s="1057"/>
      <c r="AC61" s="1057"/>
      <c r="AD61" s="1057"/>
      <c r="AE61" s="1057"/>
      <c r="AF61" s="1057"/>
      <c r="AG61" s="1057"/>
      <c r="AH61" s="1057"/>
      <c r="AI61" s="1057"/>
      <c r="AJ61" s="1057"/>
      <c r="AK61" s="1057"/>
    </row>
    <row r="62" spans="1:37" s="1056" customFormat="1" ht="14.25">
      <c r="A62" s="1967" t="s">
        <v>2047</v>
      </c>
      <c r="B62" s="1261">
        <f>估价对象房地状况!C18</f>
        <v>0</v>
      </c>
      <c r="C62" s="1884" t="s">
        <v>3816</v>
      </c>
      <c r="D62" s="1002">
        <f t="shared" si="12"/>
        <v>-1.8499999999999999E-2</v>
      </c>
      <c r="E62" s="703"/>
      <c r="F62" s="1674"/>
      <c r="G62" s="1000">
        <f t="shared" ref="G62:G69" si="17">H62</f>
        <v>1.8499999999999999E-2</v>
      </c>
      <c r="H62" s="1003">
        <f t="shared" si="13"/>
        <v>1.8499999999999999E-2</v>
      </c>
      <c r="I62" s="3065">
        <v>0.26</v>
      </c>
      <c r="J62" s="1001">
        <f t="shared" si="14"/>
        <v>3.6999999999999998E-2</v>
      </c>
      <c r="K62" s="1001">
        <f t="shared" si="15"/>
        <v>1.8499999999999999E-2</v>
      </c>
      <c r="L62" s="1001">
        <v>0</v>
      </c>
      <c r="M62" s="1001">
        <f t="shared" si="16"/>
        <v>-1.8499999999999999E-2</v>
      </c>
      <c r="N62" s="1001">
        <f t="shared" si="16"/>
        <v>-3.6999999999999998E-2</v>
      </c>
      <c r="AA62" s="1057"/>
      <c r="AB62" s="1057"/>
      <c r="AC62" s="1057"/>
      <c r="AD62" s="1057"/>
      <c r="AE62" s="1057"/>
      <c r="AF62" s="1057"/>
      <c r="AG62" s="1057"/>
      <c r="AH62" s="1057"/>
      <c r="AI62" s="1057"/>
      <c r="AJ62" s="1057"/>
      <c r="AK62" s="1057"/>
    </row>
    <row r="63" spans="1:37" s="1056" customFormat="1" ht="36">
      <c r="A63" s="3067" t="s">
        <v>3255</v>
      </c>
      <c r="B63" s="1261">
        <f>估价对象房地状况!C19</f>
        <v>0</v>
      </c>
      <c r="C63" s="1884" t="s">
        <v>3817</v>
      </c>
      <c r="D63" s="1002">
        <f t="shared" si="12"/>
        <v>0</v>
      </c>
      <c r="E63" s="703"/>
      <c r="F63" s="1674"/>
      <c r="G63" s="1000">
        <f t="shared" si="17"/>
        <v>7.7999999999999996E-3</v>
      </c>
      <c r="H63" s="1003">
        <f t="shared" si="13"/>
        <v>7.7999999999999996E-3</v>
      </c>
      <c r="I63" s="3065">
        <v>0.11</v>
      </c>
      <c r="J63" s="1001">
        <f t="shared" si="14"/>
        <v>1.5599999999999999E-2</v>
      </c>
      <c r="K63" s="1001">
        <f t="shared" si="15"/>
        <v>7.7999999999999996E-3</v>
      </c>
      <c r="L63" s="1001">
        <v>0</v>
      </c>
      <c r="M63" s="1001">
        <f t="shared" si="16"/>
        <v>-7.7999999999999996E-3</v>
      </c>
      <c r="N63" s="1001">
        <f t="shared" si="16"/>
        <v>-1.5599999999999999E-2</v>
      </c>
      <c r="AA63" s="1057"/>
      <c r="AB63" s="1057"/>
      <c r="AC63" s="1057"/>
      <c r="AD63" s="1057"/>
      <c r="AE63" s="1057"/>
      <c r="AF63" s="1057"/>
      <c r="AG63" s="1057"/>
      <c r="AH63" s="1057"/>
      <c r="AI63" s="1057"/>
      <c r="AJ63" s="1057"/>
      <c r="AK63" s="1057"/>
    </row>
    <row r="64" spans="1:37" s="1056" customFormat="1" ht="36.75">
      <c r="A64" s="1967" t="s">
        <v>2048</v>
      </c>
      <c r="B64" s="1971" t="s">
        <v>2049</v>
      </c>
      <c r="C64" s="1884" t="s">
        <v>3817</v>
      </c>
      <c r="D64" s="1002">
        <f t="shared" si="12"/>
        <v>0</v>
      </c>
      <c r="E64" s="703"/>
      <c r="F64" s="1674"/>
      <c r="G64" s="1000">
        <f t="shared" si="17"/>
        <v>3.5000000000000001E-3</v>
      </c>
      <c r="H64" s="1003">
        <f t="shared" si="13"/>
        <v>3.5000000000000001E-3</v>
      </c>
      <c r="I64" s="3065">
        <v>0.05</v>
      </c>
      <c r="J64" s="1001">
        <f t="shared" si="14"/>
        <v>7.0000000000000001E-3</v>
      </c>
      <c r="K64" s="1001">
        <f t="shared" si="15"/>
        <v>3.5000000000000001E-3</v>
      </c>
      <c r="L64" s="1001">
        <v>0</v>
      </c>
      <c r="M64" s="1001">
        <f t="shared" si="16"/>
        <v>-3.5000000000000001E-3</v>
      </c>
      <c r="N64" s="1001">
        <f t="shared" si="16"/>
        <v>-7.0000000000000001E-3</v>
      </c>
      <c r="AA64" s="1057"/>
      <c r="AB64" s="1057"/>
      <c r="AC64" s="1057"/>
      <c r="AD64" s="1057"/>
      <c r="AE64" s="1057"/>
      <c r="AF64" s="1057"/>
      <c r="AG64" s="1057"/>
      <c r="AH64" s="1057"/>
      <c r="AI64" s="1057"/>
      <c r="AJ64" s="1057"/>
      <c r="AK64" s="1057"/>
    </row>
    <row r="65" spans="1:37" s="1056" customFormat="1" ht="24">
      <c r="A65" s="1967" t="s">
        <v>2050</v>
      </c>
      <c r="B65" s="1261">
        <f>估价对象房地状况!C24</f>
        <v>0</v>
      </c>
      <c r="C65" s="1884" t="s">
        <v>3817</v>
      </c>
      <c r="D65" s="1002">
        <f t="shared" si="12"/>
        <v>0</v>
      </c>
      <c r="E65" s="703"/>
      <c r="F65" s="1674"/>
      <c r="G65" s="1000">
        <f t="shared" si="17"/>
        <v>3.5000000000000001E-3</v>
      </c>
      <c r="H65" s="1003">
        <f t="shared" si="13"/>
        <v>3.5000000000000001E-3</v>
      </c>
      <c r="I65" s="3065">
        <v>0.05</v>
      </c>
      <c r="J65" s="1001">
        <f t="shared" si="14"/>
        <v>7.0000000000000001E-3</v>
      </c>
      <c r="K65" s="1001">
        <f t="shared" si="15"/>
        <v>3.5000000000000001E-3</v>
      </c>
      <c r="L65" s="1001">
        <v>0</v>
      </c>
      <c r="M65" s="1001">
        <f t="shared" si="16"/>
        <v>-3.5000000000000001E-3</v>
      </c>
      <c r="N65" s="1001">
        <f t="shared" si="16"/>
        <v>-7.0000000000000001E-3</v>
      </c>
      <c r="AA65" s="1057"/>
      <c r="AB65" s="1057"/>
      <c r="AC65" s="1057"/>
      <c r="AD65" s="1057"/>
      <c r="AE65" s="1057"/>
      <c r="AF65" s="1057"/>
      <c r="AG65" s="1057"/>
      <c r="AH65" s="1057"/>
      <c r="AI65" s="1057"/>
      <c r="AJ65" s="1057"/>
      <c r="AK65" s="1057"/>
    </row>
    <row r="66" spans="1:37" s="1056" customFormat="1" ht="24">
      <c r="A66" s="1967" t="s">
        <v>2051</v>
      </c>
      <c r="B66" s="1972" t="s">
        <v>2052</v>
      </c>
      <c r="C66" s="1884" t="s">
        <v>3817</v>
      </c>
      <c r="D66" s="1002">
        <f t="shared" si="12"/>
        <v>0</v>
      </c>
      <c r="E66" s="703"/>
      <c r="F66" s="1674"/>
      <c r="G66" s="1000">
        <f t="shared" si="17"/>
        <v>4.1999999999999997E-3</v>
      </c>
      <c r="H66" s="1003">
        <f t="shared" si="13"/>
        <v>4.1999999999999997E-3</v>
      </c>
      <c r="I66" s="3065">
        <v>0.06</v>
      </c>
      <c r="J66" s="1001">
        <f t="shared" si="14"/>
        <v>8.3999999999999995E-3</v>
      </c>
      <c r="K66" s="1001">
        <f t="shared" si="15"/>
        <v>4.1999999999999997E-3</v>
      </c>
      <c r="L66" s="1001">
        <v>0</v>
      </c>
      <c r="M66" s="1001">
        <f t="shared" si="16"/>
        <v>-4.1999999999999997E-3</v>
      </c>
      <c r="N66" s="1001">
        <f t="shared" si="16"/>
        <v>-8.3999999999999995E-3</v>
      </c>
      <c r="AA66" s="1057"/>
      <c r="AB66" s="1057"/>
      <c r="AC66" s="1057"/>
      <c r="AD66" s="1057"/>
      <c r="AE66" s="1057"/>
      <c r="AF66" s="1057"/>
      <c r="AG66" s="1057"/>
      <c r="AH66" s="1057"/>
      <c r="AI66" s="1057"/>
      <c r="AJ66" s="1057"/>
      <c r="AK66" s="1057"/>
    </row>
    <row r="67" spans="1:37" s="1056" customFormat="1" ht="24">
      <c r="A67" s="1967" t="s">
        <v>2053</v>
      </c>
      <c r="B67" s="1239">
        <f>估价对象房地状况!C21</f>
        <v>0</v>
      </c>
      <c r="C67" s="1884" t="s">
        <v>3817</v>
      </c>
      <c r="D67" s="1002">
        <f t="shared" si="12"/>
        <v>0</v>
      </c>
      <c r="E67" s="703"/>
      <c r="F67" s="1674"/>
      <c r="G67" s="1000">
        <f t="shared" si="17"/>
        <v>4.1999999999999997E-3</v>
      </c>
      <c r="H67" s="1003">
        <f t="shared" si="13"/>
        <v>4.1999999999999997E-3</v>
      </c>
      <c r="I67" s="3065">
        <v>0.06</v>
      </c>
      <c r="J67" s="1001">
        <f t="shared" si="14"/>
        <v>8.3999999999999995E-3</v>
      </c>
      <c r="K67" s="1001">
        <f t="shared" si="15"/>
        <v>4.1999999999999997E-3</v>
      </c>
      <c r="L67" s="1001">
        <v>0</v>
      </c>
      <c r="M67" s="1001">
        <f t="shared" si="16"/>
        <v>-4.1999999999999997E-3</v>
      </c>
      <c r="N67" s="1001">
        <f t="shared" si="16"/>
        <v>-8.3999999999999995E-3</v>
      </c>
      <c r="AA67" s="1057"/>
      <c r="AB67" s="1057"/>
      <c r="AC67" s="1057"/>
      <c r="AD67" s="1057"/>
      <c r="AE67" s="1057"/>
      <c r="AF67" s="1057"/>
      <c r="AG67" s="1057"/>
      <c r="AH67" s="1057"/>
      <c r="AI67" s="1057"/>
      <c r="AJ67" s="1057"/>
      <c r="AK67" s="1057"/>
    </row>
    <row r="68" spans="1:37" s="1056" customFormat="1" ht="24">
      <c r="A68" s="1967" t="s">
        <v>2054</v>
      </c>
      <c r="B68" s="1239">
        <f>估价对象房地状况!C22</f>
        <v>0</v>
      </c>
      <c r="C68" s="1884" t="s">
        <v>3821</v>
      </c>
      <c r="D68" s="1002">
        <f t="shared" si="12"/>
        <v>6.4000000000000003E-3</v>
      </c>
      <c r="E68" s="703"/>
      <c r="F68" s="1674"/>
      <c r="G68" s="1000">
        <f t="shared" si="17"/>
        <v>6.4000000000000003E-3</v>
      </c>
      <c r="H68" s="1003">
        <f t="shared" si="13"/>
        <v>6.4000000000000003E-3</v>
      </c>
      <c r="I68" s="3065">
        <v>0.09</v>
      </c>
      <c r="J68" s="1001">
        <f t="shared" si="14"/>
        <v>1.2800000000000001E-2</v>
      </c>
      <c r="K68" s="1001">
        <f t="shared" si="15"/>
        <v>6.4000000000000003E-3</v>
      </c>
      <c r="L68" s="1001">
        <v>0</v>
      </c>
      <c r="M68" s="1001">
        <f t="shared" si="16"/>
        <v>-6.4000000000000003E-3</v>
      </c>
      <c r="N68" s="1001">
        <f t="shared" si="16"/>
        <v>-1.2800000000000001E-2</v>
      </c>
      <c r="AA68" s="1057"/>
      <c r="AB68" s="1057"/>
      <c r="AC68" s="1057"/>
      <c r="AD68" s="1057"/>
      <c r="AE68" s="1057"/>
      <c r="AF68" s="1057"/>
      <c r="AG68" s="1057"/>
      <c r="AH68" s="1057"/>
      <c r="AI68" s="1057"/>
      <c r="AJ68" s="1057"/>
      <c r="AK68" s="1057"/>
    </row>
    <row r="69" spans="1:37" s="1056" customFormat="1" ht="24.75" thickBot="1">
      <c r="A69" s="1974" t="s">
        <v>2055</v>
      </c>
      <c r="B69" s="1976">
        <f>估价对象房地状况!C20</f>
        <v>0</v>
      </c>
      <c r="C69" s="1884" t="s">
        <v>3816</v>
      </c>
      <c r="D69" s="1002">
        <f t="shared" si="12"/>
        <v>-5.0000000000000001E-3</v>
      </c>
      <c r="E69" s="704"/>
      <c r="F69" s="1674"/>
      <c r="G69" s="1000">
        <f t="shared" si="17"/>
        <v>5.0000000000000001E-3</v>
      </c>
      <c r="H69" s="1003">
        <f t="shared" si="13"/>
        <v>5.0000000000000001E-3</v>
      </c>
      <c r="I69" s="3066">
        <v>7.0000000000000007E-2</v>
      </c>
      <c r="J69" s="1001">
        <f t="shared" si="14"/>
        <v>0.01</v>
      </c>
      <c r="K69" s="1001">
        <f t="shared" si="15"/>
        <v>5.0000000000000001E-3</v>
      </c>
      <c r="L69" s="1001">
        <v>0</v>
      </c>
      <c r="M69" s="1001">
        <f t="shared" si="16"/>
        <v>-5.0000000000000001E-3</v>
      </c>
      <c r="N69" s="1001">
        <f t="shared" si="16"/>
        <v>-0.01</v>
      </c>
      <c r="AA69" s="1057"/>
      <c r="AB69" s="1057"/>
      <c r="AC69" s="1057"/>
      <c r="AD69" s="1057"/>
      <c r="AE69" s="1057"/>
      <c r="AF69" s="1057"/>
      <c r="AG69" s="1057"/>
      <c r="AH69" s="1057"/>
      <c r="AI69" s="1057"/>
      <c r="AJ69" s="1057"/>
      <c r="AK69" s="1057"/>
    </row>
    <row r="70" spans="1:37" s="1056" customFormat="1" ht="15">
      <c r="A70" s="1964" t="s">
        <v>2059</v>
      </c>
      <c r="B70" s="1965">
        <f>1+E72</f>
        <v>1</v>
      </c>
      <c r="C70" s="699"/>
      <c r="D70" s="699"/>
      <c r="E70" s="700"/>
      <c r="F70" s="1966"/>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7" t="s">
        <v>2038</v>
      </c>
      <c r="B71" s="1261"/>
      <c r="C71" s="1261" t="s">
        <v>2040</v>
      </c>
      <c r="D71" s="1261" t="s">
        <v>2041</v>
      </c>
      <c r="E71" s="701" t="s">
        <v>2042</v>
      </c>
      <c r="F71" s="1968" t="s">
        <v>2057</v>
      </c>
      <c r="G71" s="1261" t="s">
        <v>310</v>
      </c>
      <c r="H71" s="1969" t="s">
        <v>2044</v>
      </c>
      <c r="I71" s="1261" t="s">
        <v>2045</v>
      </c>
      <c r="J71" s="530" t="s">
        <v>1716</v>
      </c>
      <c r="K71" s="530" t="s">
        <v>1717</v>
      </c>
      <c r="L71" s="530" t="s">
        <v>1718</v>
      </c>
      <c r="M71" s="530" t="s">
        <v>1719</v>
      </c>
      <c r="N71" s="530" t="s">
        <v>1720</v>
      </c>
      <c r="AA71" s="1057"/>
      <c r="AB71" s="1057"/>
      <c r="AC71" s="1057"/>
      <c r="AD71" s="1057"/>
      <c r="AE71" s="1057"/>
      <c r="AF71" s="1057"/>
      <c r="AG71" s="1057"/>
      <c r="AH71" s="1057"/>
      <c r="AI71" s="1057"/>
      <c r="AJ71" s="1057"/>
      <c r="AK71" s="1057"/>
    </row>
    <row r="72" spans="1:37" s="1056" customFormat="1" ht="24">
      <c r="A72" s="1967" t="s">
        <v>2060</v>
      </c>
      <c r="B72" s="1970">
        <f>估价对象房地状况!C15</f>
        <v>0</v>
      </c>
      <c r="C72" s="1884"/>
      <c r="D72" s="1002">
        <f t="shared" ref="D72:D80" si="18">SUMIF($J$71:$N$71,C72,J72:N72)</f>
        <v>0</v>
      </c>
      <c r="E72" s="702">
        <f>ROUND(SUM(D72:D80),4)</f>
        <v>0</v>
      </c>
      <c r="F72" s="1674" t="str">
        <f>IF(E2="住宅",SUMIF(L1:L12,G2,N1:N12),"——")</f>
        <v>——</v>
      </c>
      <c r="G72" s="1000"/>
      <c r="H72" s="1003" t="str">
        <f t="shared" ref="H72:H80" si="19">IFERROR(ROUNDDOWN($F$72*I72/2,4),"——")</f>
        <v>——</v>
      </c>
      <c r="I72" s="3065">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67" t="s">
        <v>2047</v>
      </c>
      <c r="B73" s="1261">
        <f>估价对象房地状况!C18</f>
        <v>0</v>
      </c>
      <c r="C73" s="1884"/>
      <c r="D73" s="1002">
        <f t="shared" si="18"/>
        <v>0</v>
      </c>
      <c r="E73" s="705"/>
      <c r="F73" s="1674"/>
      <c r="G73" s="1000"/>
      <c r="H73" s="1003" t="str">
        <f t="shared" si="19"/>
        <v>——</v>
      </c>
      <c r="I73" s="3065">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1" customFormat="1" ht="36">
      <c r="A74" s="3067" t="s">
        <v>3255</v>
      </c>
      <c r="B74" s="1261">
        <f>估价对象房地状况!C19</f>
        <v>0</v>
      </c>
      <c r="C74" s="1884"/>
      <c r="D74" s="1002">
        <f t="shared" si="18"/>
        <v>0</v>
      </c>
      <c r="E74" s="705"/>
      <c r="F74" s="1674"/>
      <c r="G74" s="1000"/>
      <c r="H74" s="1003" t="str">
        <f t="shared" si="19"/>
        <v>——</v>
      </c>
      <c r="I74" s="3065">
        <v>0.1</v>
      </c>
      <c r="J74" s="1001">
        <f t="shared" si="20"/>
        <v>0</v>
      </c>
      <c r="K74" s="1001">
        <f t="shared" si="21"/>
        <v>0</v>
      </c>
      <c r="L74" s="1001">
        <v>0</v>
      </c>
      <c r="M74" s="1001">
        <f t="shared" si="22"/>
        <v>0</v>
      </c>
      <c r="N74" s="1001">
        <f t="shared" si="22"/>
        <v>0</v>
      </c>
      <c r="O74" s="1056"/>
      <c r="P74" s="1056"/>
      <c r="Q74" s="1056"/>
      <c r="AA74" s="1977"/>
      <c r="AB74" s="1057"/>
      <c r="AC74" s="1057"/>
      <c r="AD74" s="1057"/>
      <c r="AE74" s="1057"/>
      <c r="AF74" s="1057"/>
      <c r="AG74" s="1057"/>
      <c r="AH74" s="1977"/>
      <c r="AI74" s="1977"/>
      <c r="AJ74" s="1977"/>
      <c r="AK74" s="1977"/>
    </row>
    <row r="75" spans="1:37" ht="14.25">
      <c r="A75" s="1967" t="s">
        <v>2061</v>
      </c>
      <c r="B75" s="1261">
        <f>估价对象房地状况!C24</f>
        <v>0</v>
      </c>
      <c r="C75" s="1884"/>
      <c r="D75" s="1002">
        <f t="shared" si="18"/>
        <v>0</v>
      </c>
      <c r="E75" s="705"/>
      <c r="F75" s="1674"/>
      <c r="G75" s="1000"/>
      <c r="H75" s="1003" t="str">
        <f t="shared" si="19"/>
        <v>——</v>
      </c>
      <c r="I75" s="3065">
        <v>0.05</v>
      </c>
      <c r="J75" s="1001">
        <f t="shared" si="20"/>
        <v>0</v>
      </c>
      <c r="K75" s="1001">
        <f t="shared" si="21"/>
        <v>0</v>
      </c>
      <c r="L75" s="1001">
        <v>0</v>
      </c>
      <c r="M75" s="1001">
        <f t="shared" si="22"/>
        <v>0</v>
      </c>
      <c r="N75" s="1001">
        <f t="shared" si="22"/>
        <v>0</v>
      </c>
      <c r="O75" s="1056"/>
      <c r="P75" s="1056"/>
      <c r="Q75" s="1841"/>
      <c r="Z75" s="1842"/>
      <c r="AA75" s="1892"/>
      <c r="AG75" s="1058"/>
      <c r="AK75" s="1892"/>
    </row>
    <row r="76" spans="1:37" ht="24">
      <c r="A76" s="1967" t="s">
        <v>2053</v>
      </c>
      <c r="B76" s="1239">
        <f>估价对象房地状况!C21</f>
        <v>0</v>
      </c>
      <c r="C76" s="1884"/>
      <c r="D76" s="1002">
        <f t="shared" si="18"/>
        <v>0</v>
      </c>
      <c r="E76" s="705"/>
      <c r="F76" s="1674"/>
      <c r="G76" s="1000"/>
      <c r="H76" s="1003" t="str">
        <f t="shared" si="19"/>
        <v>——</v>
      </c>
      <c r="I76" s="3065">
        <v>0.08</v>
      </c>
      <c r="J76" s="1001">
        <f t="shared" si="20"/>
        <v>0</v>
      </c>
      <c r="K76" s="1001">
        <f t="shared" si="21"/>
        <v>0</v>
      </c>
      <c r="L76" s="1001">
        <v>0</v>
      </c>
      <c r="M76" s="1001">
        <f t="shared" si="22"/>
        <v>0</v>
      </c>
      <c r="N76" s="1001">
        <f t="shared" si="22"/>
        <v>0</v>
      </c>
      <c r="O76" s="1056"/>
      <c r="P76" s="1056"/>
      <c r="Z76" s="1842"/>
      <c r="AA76" s="1892"/>
      <c r="AG76" s="1058"/>
      <c r="AK76" s="1892"/>
    </row>
    <row r="77" spans="1:37" ht="24">
      <c r="A77" s="1967" t="s">
        <v>2054</v>
      </c>
      <c r="B77" s="1239">
        <f>估价对象房地状况!C22</f>
        <v>0</v>
      </c>
      <c r="C77" s="1884"/>
      <c r="D77" s="1002">
        <f t="shared" si="18"/>
        <v>0</v>
      </c>
      <c r="E77" s="705"/>
      <c r="F77" s="1674"/>
      <c r="G77" s="1000"/>
      <c r="H77" s="1003" t="str">
        <f t="shared" si="19"/>
        <v>——</v>
      </c>
      <c r="I77" s="3065">
        <v>0.09</v>
      </c>
      <c r="J77" s="1001">
        <f t="shared" si="20"/>
        <v>0</v>
      </c>
      <c r="K77" s="1001">
        <f t="shared" si="21"/>
        <v>0</v>
      </c>
      <c r="L77" s="1001">
        <v>0</v>
      </c>
      <c r="M77" s="1001">
        <f t="shared" si="22"/>
        <v>0</v>
      </c>
      <c r="N77" s="1001">
        <f t="shared" si="22"/>
        <v>0</v>
      </c>
      <c r="O77" s="1056"/>
      <c r="P77" s="1056"/>
      <c r="Z77" s="1842"/>
      <c r="AA77" s="1892"/>
      <c r="AG77" s="1058"/>
      <c r="AK77" s="1892"/>
    </row>
    <row r="78" spans="1:37" ht="24">
      <c r="A78" s="1967" t="s">
        <v>2051</v>
      </c>
      <c r="B78" s="1972" t="s">
        <v>2052</v>
      </c>
      <c r="C78" s="1884"/>
      <c r="D78" s="1002">
        <f t="shared" si="18"/>
        <v>0</v>
      </c>
      <c r="E78" s="705"/>
      <c r="F78" s="1674"/>
      <c r="G78" s="1000"/>
      <c r="H78" s="1003" t="str">
        <f t="shared" si="19"/>
        <v>——</v>
      </c>
      <c r="I78" s="3065">
        <v>0.05</v>
      </c>
      <c r="J78" s="1001">
        <f t="shared" si="20"/>
        <v>0</v>
      </c>
      <c r="K78" s="1001">
        <f t="shared" si="21"/>
        <v>0</v>
      </c>
      <c r="L78" s="1001">
        <v>0</v>
      </c>
      <c r="M78" s="1001">
        <f t="shared" si="22"/>
        <v>0</v>
      </c>
      <c r="N78" s="1001">
        <f t="shared" si="22"/>
        <v>0</v>
      </c>
      <c r="O78" s="1841"/>
      <c r="P78" s="1841"/>
      <c r="Z78" s="1842"/>
      <c r="AA78" s="1892"/>
      <c r="AG78" s="1058"/>
      <c r="AK78" s="1892"/>
    </row>
    <row r="79" spans="1:37" ht="24">
      <c r="A79" s="1967" t="s">
        <v>2055</v>
      </c>
      <c r="B79" s="1970">
        <f>估价对象房地状况!C20</f>
        <v>0</v>
      </c>
      <c r="C79" s="1884"/>
      <c r="D79" s="1002">
        <f t="shared" si="18"/>
        <v>0</v>
      </c>
      <c r="E79" s="705"/>
      <c r="F79" s="1674"/>
      <c r="G79" s="1000"/>
      <c r="H79" s="1003" t="str">
        <f t="shared" si="19"/>
        <v>——</v>
      </c>
      <c r="I79" s="3065">
        <v>0.12</v>
      </c>
      <c r="J79" s="1001">
        <f t="shared" si="20"/>
        <v>0</v>
      </c>
      <c r="K79" s="1001">
        <f t="shared" si="21"/>
        <v>0</v>
      </c>
      <c r="L79" s="1001">
        <v>0</v>
      </c>
      <c r="M79" s="1001">
        <f t="shared" si="22"/>
        <v>0</v>
      </c>
      <c r="N79" s="1001">
        <f t="shared" si="22"/>
        <v>0</v>
      </c>
      <c r="Z79" s="1842"/>
      <c r="AA79" s="1892"/>
      <c r="AG79" s="1058"/>
      <c r="AK79" s="1892"/>
    </row>
    <row r="80" spans="1:37" ht="24.75" thickBot="1">
      <c r="A80" s="1974" t="s">
        <v>2062</v>
      </c>
      <c r="B80" s="1978"/>
      <c r="C80" s="1884"/>
      <c r="D80" s="1002">
        <f t="shared" si="18"/>
        <v>0</v>
      </c>
      <c r="E80" s="706"/>
      <c r="F80" s="1674"/>
      <c r="G80" s="1000"/>
      <c r="H80" s="1003" t="str">
        <f t="shared" si="19"/>
        <v>——</v>
      </c>
      <c r="I80" s="3066">
        <v>0.05</v>
      </c>
      <c r="J80" s="1001">
        <f t="shared" si="20"/>
        <v>0</v>
      </c>
      <c r="K80" s="1001">
        <f t="shared" si="21"/>
        <v>0</v>
      </c>
      <c r="L80" s="1001">
        <v>0</v>
      </c>
      <c r="M80" s="1001">
        <f t="shared" si="22"/>
        <v>0</v>
      </c>
      <c r="N80" s="1001">
        <f t="shared" si="22"/>
        <v>0</v>
      </c>
      <c r="Z80" s="1842"/>
      <c r="AA80" s="1892"/>
      <c r="AG80" s="1058"/>
      <c r="AK80" s="1892"/>
    </row>
    <row r="81" spans="1:37" ht="15">
      <c r="A81" s="1964" t="s">
        <v>2063</v>
      </c>
      <c r="B81" s="1965">
        <f>1+E83</f>
        <v>1</v>
      </c>
      <c r="C81" s="699"/>
      <c r="D81" s="699"/>
      <c r="E81" s="700"/>
      <c r="F81" s="1966"/>
      <c r="G81" s="3"/>
      <c r="H81" s="3"/>
      <c r="I81" s="3"/>
      <c r="J81" s="4"/>
      <c r="K81" s="4"/>
      <c r="L81" s="4"/>
      <c r="M81" s="4"/>
      <c r="N81" s="4"/>
      <c r="Z81" s="1842"/>
      <c r="AA81" s="1892"/>
      <c r="AG81" s="1058"/>
      <c r="AK81" s="1892"/>
    </row>
    <row r="82" spans="1:37" ht="24.75">
      <c r="A82" s="1967" t="s">
        <v>2038</v>
      </c>
      <c r="B82" s="1261"/>
      <c r="C82" s="1261" t="s">
        <v>2040</v>
      </c>
      <c r="D82" s="1261" t="s">
        <v>2041</v>
      </c>
      <c r="E82" s="701" t="s">
        <v>2042</v>
      </c>
      <c r="F82" s="1968" t="s">
        <v>2057</v>
      </c>
      <c r="G82" s="1261" t="s">
        <v>310</v>
      </c>
      <c r="H82" s="1969" t="s">
        <v>2044</v>
      </c>
      <c r="I82" s="1261" t="s">
        <v>2045</v>
      </c>
      <c r="J82" s="530" t="s">
        <v>1716</v>
      </c>
      <c r="K82" s="530" t="s">
        <v>1717</v>
      </c>
      <c r="L82" s="530" t="s">
        <v>1718</v>
      </c>
      <c r="M82" s="530" t="s">
        <v>1719</v>
      </c>
      <c r="N82" s="530" t="s">
        <v>1720</v>
      </c>
      <c r="Z82" s="1842"/>
      <c r="AA82" s="1892"/>
      <c r="AG82" s="1058"/>
      <c r="AK82" s="1892"/>
    </row>
    <row r="83" spans="1:37" ht="24">
      <c r="A83" s="1967" t="s">
        <v>2064</v>
      </c>
      <c r="B83" s="1261">
        <f>估价对象房地状况!G15</f>
        <v>0</v>
      </c>
      <c r="C83" s="1884"/>
      <c r="D83" s="1002">
        <f t="shared" ref="D83:D90" si="23">SUMIF($J$82:$N$82,C83,J83:N83)</f>
        <v>0</v>
      </c>
      <c r="E83" s="702">
        <f>ROUND(SUM(D83:D90),4)</f>
        <v>0</v>
      </c>
      <c r="F83" s="1674" t="str">
        <f>IF(E2="工业",SUMIF(L1:L12,G2,N1:N12),"——")</f>
        <v>——</v>
      </c>
      <c r="G83" s="1000"/>
      <c r="H83" s="1003" t="str">
        <f t="shared" ref="H83:H90" si="24">IFERROR(ROUNDDOWN($F$83*I83/2,4),"——")</f>
        <v>——</v>
      </c>
      <c r="I83" s="3065">
        <v>0.26</v>
      </c>
      <c r="J83" s="1001">
        <f t="shared" ref="J83:J90" si="25">K83+$G83</f>
        <v>0</v>
      </c>
      <c r="K83" s="1001">
        <f t="shared" ref="K83:K90" si="26">$L83+$G83</f>
        <v>0</v>
      </c>
      <c r="L83" s="1001">
        <v>0</v>
      </c>
      <c r="M83" s="1001">
        <f t="shared" ref="M83:N90" si="27">L83-$G83</f>
        <v>0</v>
      </c>
      <c r="N83" s="1001">
        <f t="shared" si="27"/>
        <v>0</v>
      </c>
      <c r="Z83" s="1842"/>
      <c r="AA83" s="1892"/>
      <c r="AG83" s="1058"/>
      <c r="AK83" s="1892"/>
    </row>
    <row r="84" spans="1:37" ht="14.25">
      <c r="A84" s="1967" t="s">
        <v>2047</v>
      </c>
      <c r="B84" s="1261">
        <f>估价对象房地状况!G16</f>
        <v>0</v>
      </c>
      <c r="C84" s="1884"/>
      <c r="D84" s="1002">
        <f t="shared" si="23"/>
        <v>0</v>
      </c>
      <c r="E84" s="705"/>
      <c r="F84" s="1674"/>
      <c r="G84" s="1000"/>
      <c r="H84" s="1003" t="str">
        <f t="shared" si="24"/>
        <v>——</v>
      </c>
      <c r="I84" s="3065">
        <v>0.3</v>
      </c>
      <c r="J84" s="1001">
        <f t="shared" si="25"/>
        <v>0</v>
      </c>
      <c r="K84" s="1001">
        <f t="shared" si="26"/>
        <v>0</v>
      </c>
      <c r="L84" s="1001">
        <v>0</v>
      </c>
      <c r="M84" s="1001">
        <f t="shared" si="27"/>
        <v>0</v>
      </c>
      <c r="N84" s="1001">
        <f t="shared" si="27"/>
        <v>0</v>
      </c>
      <c r="Z84" s="1842"/>
      <c r="AA84" s="1892"/>
      <c r="AG84" s="1058"/>
      <c r="AK84" s="1892"/>
    </row>
    <row r="85" spans="1:37" ht="36">
      <c r="A85" s="3067" t="s">
        <v>3256</v>
      </c>
      <c r="B85" s="1261">
        <f>估价对象房地状况!G17</f>
        <v>0</v>
      </c>
      <c r="C85" s="1884"/>
      <c r="D85" s="1002">
        <f t="shared" si="23"/>
        <v>0</v>
      </c>
      <c r="E85" s="705"/>
      <c r="F85" s="1674"/>
      <c r="G85" s="1000"/>
      <c r="H85" s="1003" t="str">
        <f t="shared" si="24"/>
        <v>——</v>
      </c>
      <c r="I85" s="3065">
        <v>0.1</v>
      </c>
      <c r="J85" s="1001">
        <f t="shared" si="25"/>
        <v>0</v>
      </c>
      <c r="K85" s="1001">
        <f t="shared" si="26"/>
        <v>0</v>
      </c>
      <c r="L85" s="1001">
        <v>0</v>
      </c>
      <c r="M85" s="1001">
        <f t="shared" si="27"/>
        <v>0</v>
      </c>
      <c r="N85" s="1001">
        <f t="shared" si="27"/>
        <v>0</v>
      </c>
      <c r="Z85" s="1842"/>
      <c r="AA85" s="1892"/>
      <c r="AG85" s="1058"/>
      <c r="AK85" s="1892"/>
    </row>
    <row r="86" spans="1:37" ht="14.25">
      <c r="A86" s="1967" t="s">
        <v>2061</v>
      </c>
      <c r="B86" s="1261">
        <f>估价对象房地状况!G22</f>
        <v>0</v>
      </c>
      <c r="C86" s="1884"/>
      <c r="D86" s="1002">
        <f t="shared" si="23"/>
        <v>0</v>
      </c>
      <c r="E86" s="705"/>
      <c r="F86" s="1674"/>
      <c r="G86" s="1000"/>
      <c r="H86" s="1003" t="str">
        <f t="shared" si="24"/>
        <v>——</v>
      </c>
      <c r="I86" s="3065">
        <v>0.05</v>
      </c>
      <c r="J86" s="1001">
        <f t="shared" si="25"/>
        <v>0</v>
      </c>
      <c r="K86" s="1001">
        <f t="shared" si="26"/>
        <v>0</v>
      </c>
      <c r="L86" s="1001">
        <v>0</v>
      </c>
      <c r="M86" s="1001">
        <f t="shared" si="27"/>
        <v>0</v>
      </c>
      <c r="N86" s="1001">
        <f t="shared" si="27"/>
        <v>0</v>
      </c>
      <c r="Z86" s="1842"/>
      <c r="AA86" s="1892"/>
      <c r="AG86" s="1058"/>
      <c r="AK86" s="1892"/>
    </row>
    <row r="87" spans="1:37" ht="24">
      <c r="A87" s="1967" t="s">
        <v>2053</v>
      </c>
      <c r="B87" s="1239">
        <f>估价对象房地状况!G19</f>
        <v>0</v>
      </c>
      <c r="C87" s="1884"/>
      <c r="D87" s="1002">
        <f t="shared" si="23"/>
        <v>0</v>
      </c>
      <c r="E87" s="705"/>
      <c r="F87" s="1674"/>
      <c r="G87" s="1000"/>
      <c r="H87" s="1003" t="str">
        <f t="shared" si="24"/>
        <v>——</v>
      </c>
      <c r="I87" s="3065">
        <v>0.06</v>
      </c>
      <c r="J87" s="1001">
        <f t="shared" si="25"/>
        <v>0</v>
      </c>
      <c r="K87" s="1001">
        <f t="shared" si="26"/>
        <v>0</v>
      </c>
      <c r="L87" s="1001">
        <v>0</v>
      </c>
      <c r="M87" s="1001">
        <f t="shared" si="27"/>
        <v>0</v>
      </c>
      <c r="N87" s="1001">
        <f t="shared" si="27"/>
        <v>0</v>
      </c>
    </row>
    <row r="88" spans="1:37" ht="24">
      <c r="A88" s="1967" t="s">
        <v>2054</v>
      </c>
      <c r="B88" s="1239">
        <f>估价对象房地状况!G20</f>
        <v>0</v>
      </c>
      <c r="C88" s="1884"/>
      <c r="D88" s="1002">
        <f t="shared" si="23"/>
        <v>0</v>
      </c>
      <c r="E88" s="705"/>
      <c r="F88" s="1674"/>
      <c r="G88" s="1000"/>
      <c r="H88" s="1003" t="str">
        <f t="shared" si="24"/>
        <v>——</v>
      </c>
      <c r="I88" s="3065">
        <v>0.12</v>
      </c>
      <c r="J88" s="1001">
        <f t="shared" si="25"/>
        <v>0</v>
      </c>
      <c r="K88" s="1001">
        <f t="shared" si="26"/>
        <v>0</v>
      </c>
      <c r="L88" s="1001">
        <v>0</v>
      </c>
      <c r="M88" s="1001">
        <f t="shared" si="27"/>
        <v>0</v>
      </c>
      <c r="N88" s="1001">
        <f t="shared" si="27"/>
        <v>0</v>
      </c>
    </row>
    <row r="89" spans="1:37" ht="24">
      <c r="A89" s="1967" t="s">
        <v>2051</v>
      </c>
      <c r="B89" s="1972" t="s">
        <v>2065</v>
      </c>
      <c r="C89" s="1884"/>
      <c r="D89" s="1002">
        <f t="shared" si="23"/>
        <v>0</v>
      </c>
      <c r="E89" s="705"/>
      <c r="F89" s="1674"/>
      <c r="G89" s="1000"/>
      <c r="H89" s="1003" t="str">
        <f t="shared" si="24"/>
        <v>——</v>
      </c>
      <c r="I89" s="3065">
        <v>0.06</v>
      </c>
      <c r="J89" s="1001">
        <f t="shared" si="25"/>
        <v>0</v>
      </c>
      <c r="K89" s="1001">
        <f t="shared" si="26"/>
        <v>0</v>
      </c>
      <c r="L89" s="1001">
        <v>0</v>
      </c>
      <c r="M89" s="1001">
        <f t="shared" si="27"/>
        <v>0</v>
      </c>
      <c r="N89" s="1001">
        <f t="shared" si="27"/>
        <v>0</v>
      </c>
    </row>
    <row r="90" spans="1:37" ht="15" thickBot="1">
      <c r="A90" s="1974" t="s">
        <v>2066</v>
      </c>
      <c r="B90" s="1979">
        <f>估价对象房地状况!G18</f>
        <v>0</v>
      </c>
      <c r="C90" s="1884"/>
      <c r="D90" s="1002">
        <f t="shared" si="23"/>
        <v>0</v>
      </c>
      <c r="E90" s="706"/>
      <c r="F90" s="1674"/>
      <c r="G90" s="1000"/>
      <c r="H90" s="1003" t="str">
        <f t="shared" si="24"/>
        <v>——</v>
      </c>
      <c r="I90" s="3066">
        <v>0.05</v>
      </c>
      <c r="J90" s="1001">
        <f t="shared" si="25"/>
        <v>0</v>
      </c>
      <c r="K90" s="1001">
        <f t="shared" si="26"/>
        <v>0</v>
      </c>
      <c r="L90" s="1001">
        <v>0</v>
      </c>
      <c r="M90" s="1001">
        <f t="shared" si="27"/>
        <v>0</v>
      </c>
      <c r="N90" s="1001">
        <f t="shared" si="27"/>
        <v>0</v>
      </c>
    </row>
    <row r="91" spans="1:37" ht="15">
      <c r="A91" s="3075" t="s">
        <v>2599</v>
      </c>
      <c r="B91" s="3076">
        <f>1+E93</f>
        <v>1</v>
      </c>
      <c r="C91" s="3069"/>
      <c r="D91" s="3070"/>
      <c r="E91" s="1674"/>
      <c r="F91" s="1674"/>
      <c r="G91" s="3071"/>
      <c r="H91" s="3072"/>
      <c r="I91" s="3073"/>
      <c r="J91" s="3074"/>
      <c r="K91" s="3074"/>
      <c r="L91" s="3074"/>
      <c r="M91" s="3074"/>
      <c r="N91" s="3074"/>
    </row>
    <row r="92" spans="1:37" ht="24.75">
      <c r="A92" s="3077" t="s">
        <v>3257</v>
      </c>
      <c r="B92" s="2306"/>
      <c r="C92" s="2306" t="s">
        <v>3266</v>
      </c>
      <c r="D92" s="2306" t="s">
        <v>3267</v>
      </c>
      <c r="E92" s="3049" t="s">
        <v>3268</v>
      </c>
      <c r="F92" s="3079" t="s">
        <v>3269</v>
      </c>
      <c r="G92" s="2306" t="s">
        <v>3270</v>
      </c>
      <c r="H92" s="3086" t="s">
        <v>3273</v>
      </c>
      <c r="I92" s="2306" t="s">
        <v>3274</v>
      </c>
      <c r="J92" s="2147" t="s">
        <v>3275</v>
      </c>
      <c r="K92" s="2147" t="s">
        <v>3276</v>
      </c>
      <c r="L92" s="2147" t="s">
        <v>3277</v>
      </c>
      <c r="M92" s="2147" t="s">
        <v>3278</v>
      </c>
      <c r="N92" s="2147" t="s">
        <v>3279</v>
      </c>
    </row>
    <row r="93" spans="1:37" ht="24">
      <c r="A93" s="3067" t="s">
        <v>3258</v>
      </c>
      <c r="B93" s="1220"/>
      <c r="C93" s="1884"/>
      <c r="D93" s="2306">
        <f>SUMIF($J$92:$N$92,C93,J93:N93)</f>
        <v>0</v>
      </c>
      <c r="E93" s="3080">
        <f>ROUND(SUM(D93:D101),4)</f>
        <v>0</v>
      </c>
      <c r="F93" s="1674" t="str">
        <f>IF(E2="公共服务",SUMIF(L1:L12,G2,N1:N12),"——")</f>
        <v>——</v>
      </c>
      <c r="G93" s="3071"/>
      <c r="H93" s="3116" t="str">
        <f>IFERROR(ROUNDDOWN($F$93*I93/2,4),"——")</f>
        <v>——</v>
      </c>
      <c r="I93" s="3065">
        <v>0.25</v>
      </c>
      <c r="J93" s="1909">
        <f t="shared" ref="J93:J101" si="28">K93+$G93</f>
        <v>0</v>
      </c>
      <c r="K93" s="1909">
        <f t="shared" ref="K93:K101" si="29">$L93+$G93</f>
        <v>0</v>
      </c>
      <c r="L93" s="1909">
        <v>0</v>
      </c>
      <c r="M93" s="1909">
        <f t="shared" ref="M93:N101" si="30">L93-$G93</f>
        <v>0</v>
      </c>
      <c r="N93" s="1909">
        <f t="shared" si="30"/>
        <v>0</v>
      </c>
    </row>
    <row r="94" spans="1:37" ht="14.25">
      <c r="A94" s="3077" t="s">
        <v>3259</v>
      </c>
      <c r="B94" s="3068">
        <f>估价对象房地状况!C18</f>
        <v>0</v>
      </c>
      <c r="C94" s="1884"/>
      <c r="D94" s="2306">
        <f t="shared" ref="D94:D101" si="31">SUMIF($J$60:$N$60,C94,J94:N94)</f>
        <v>0</v>
      </c>
      <c r="E94" s="3081"/>
      <c r="F94" s="1674"/>
      <c r="G94" s="3071"/>
      <c r="H94" s="3116" t="str">
        <f>IFERROR(ROUNDDOWN($F$93*I94/2,4),"——")</f>
        <v>——</v>
      </c>
      <c r="I94" s="3065">
        <v>0.26</v>
      </c>
      <c r="J94" s="1909">
        <f t="shared" si="28"/>
        <v>0</v>
      </c>
      <c r="K94" s="1909">
        <f t="shared" si="29"/>
        <v>0</v>
      </c>
      <c r="L94" s="1909">
        <v>0</v>
      </c>
      <c r="M94" s="1909">
        <f t="shared" si="30"/>
        <v>0</v>
      </c>
      <c r="N94" s="1909">
        <f t="shared" si="30"/>
        <v>0</v>
      </c>
    </row>
    <row r="95" spans="1:37" ht="36">
      <c r="A95" s="3067" t="s">
        <v>3255</v>
      </c>
      <c r="B95" s="3068">
        <f>估价对象房地状况!C19</f>
        <v>0</v>
      </c>
      <c r="C95" s="1884"/>
      <c r="D95" s="2306">
        <f t="shared" si="31"/>
        <v>0</v>
      </c>
      <c r="E95" s="3081"/>
      <c r="F95" s="1674"/>
      <c r="G95" s="3071"/>
      <c r="H95" s="3116" t="str">
        <f t="shared" ref="H95:H101" si="32">IFERROR(ROUNDDOWN($F$93*I95/2,4),"——")</f>
        <v>——</v>
      </c>
      <c r="I95" s="3065">
        <v>0.11</v>
      </c>
      <c r="J95" s="1909">
        <f t="shared" si="28"/>
        <v>0</v>
      </c>
      <c r="K95" s="1909">
        <f t="shared" si="29"/>
        <v>0</v>
      </c>
      <c r="L95" s="1909">
        <v>0</v>
      </c>
      <c r="M95" s="1909">
        <f t="shared" si="30"/>
        <v>0</v>
      </c>
      <c r="N95" s="1909">
        <f t="shared" si="30"/>
        <v>0</v>
      </c>
    </row>
    <row r="96" spans="1:37" ht="36.75">
      <c r="A96" s="3077" t="s">
        <v>3260</v>
      </c>
      <c r="B96" s="3083" t="s">
        <v>3271</v>
      </c>
      <c r="C96" s="1884"/>
      <c r="D96" s="2306">
        <f t="shared" si="31"/>
        <v>0</v>
      </c>
      <c r="E96" s="3081"/>
      <c r="F96" s="1674"/>
      <c r="G96" s="3071"/>
      <c r="H96" s="3116" t="str">
        <f t="shared" si="32"/>
        <v>——</v>
      </c>
      <c r="I96" s="3065">
        <v>0.05</v>
      </c>
      <c r="J96" s="1909">
        <f t="shared" si="28"/>
        <v>0</v>
      </c>
      <c r="K96" s="1909">
        <f t="shared" si="29"/>
        <v>0</v>
      </c>
      <c r="L96" s="1909">
        <v>0</v>
      </c>
      <c r="M96" s="1909">
        <f t="shared" si="30"/>
        <v>0</v>
      </c>
      <c r="N96" s="1909">
        <f t="shared" si="30"/>
        <v>0</v>
      </c>
    </row>
    <row r="97" spans="1:14" ht="24">
      <c r="A97" s="3077" t="s">
        <v>3261</v>
      </c>
      <c r="B97" s="3068">
        <f>估价对象房地状况!C24</f>
        <v>0</v>
      </c>
      <c r="C97" s="1884"/>
      <c r="D97" s="2306">
        <f t="shared" si="31"/>
        <v>0</v>
      </c>
      <c r="E97" s="3081"/>
      <c r="F97" s="1674"/>
      <c r="G97" s="3071"/>
      <c r="H97" s="3116" t="str">
        <f t="shared" si="32"/>
        <v>——</v>
      </c>
      <c r="I97" s="3065">
        <v>0.05</v>
      </c>
      <c r="J97" s="1909">
        <f t="shared" si="28"/>
        <v>0</v>
      </c>
      <c r="K97" s="1909">
        <f t="shared" si="29"/>
        <v>0</v>
      </c>
      <c r="L97" s="1909">
        <v>0</v>
      </c>
      <c r="M97" s="1909">
        <f t="shared" si="30"/>
        <v>0</v>
      </c>
      <c r="N97" s="1909">
        <f t="shared" si="30"/>
        <v>0</v>
      </c>
    </row>
    <row r="98" spans="1:14" ht="24">
      <c r="A98" s="3077" t="s">
        <v>3262</v>
      </c>
      <c r="B98" s="3084" t="s">
        <v>3272</v>
      </c>
      <c r="C98" s="1884"/>
      <c r="D98" s="2306">
        <f t="shared" si="31"/>
        <v>0</v>
      </c>
      <c r="E98" s="3081"/>
      <c r="F98" s="1674"/>
      <c r="G98" s="3071"/>
      <c r="H98" s="3116" t="str">
        <f t="shared" si="32"/>
        <v>——</v>
      </c>
      <c r="I98" s="3065">
        <v>0.06</v>
      </c>
      <c r="J98" s="1909">
        <f t="shared" si="28"/>
        <v>0</v>
      </c>
      <c r="K98" s="1909">
        <f t="shared" si="29"/>
        <v>0</v>
      </c>
      <c r="L98" s="1909">
        <v>0</v>
      </c>
      <c r="M98" s="1909">
        <f t="shared" si="30"/>
        <v>0</v>
      </c>
      <c r="N98" s="1909">
        <f t="shared" si="30"/>
        <v>0</v>
      </c>
    </row>
    <row r="99" spans="1:14" ht="24">
      <c r="A99" s="3077" t="s">
        <v>3263</v>
      </c>
      <c r="B99" s="3068">
        <f>估价对象房地状况!C21</f>
        <v>0</v>
      </c>
      <c r="C99" s="1884"/>
      <c r="D99" s="2306">
        <f t="shared" si="31"/>
        <v>0</v>
      </c>
      <c r="E99" s="3081"/>
      <c r="F99" s="1674"/>
      <c r="G99" s="3071"/>
      <c r="H99" s="3116" t="str">
        <f t="shared" si="32"/>
        <v>——</v>
      </c>
      <c r="I99" s="3065">
        <v>0.06</v>
      </c>
      <c r="J99" s="1909">
        <f t="shared" si="28"/>
        <v>0</v>
      </c>
      <c r="K99" s="1909">
        <f t="shared" si="29"/>
        <v>0</v>
      </c>
      <c r="L99" s="1909">
        <v>0</v>
      </c>
      <c r="M99" s="1909">
        <f t="shared" si="30"/>
        <v>0</v>
      </c>
      <c r="N99" s="1909">
        <f t="shared" si="30"/>
        <v>0</v>
      </c>
    </row>
    <row r="100" spans="1:14" ht="24">
      <c r="A100" s="3077" t="s">
        <v>3264</v>
      </c>
      <c r="B100" s="3068">
        <f>估价对象房地状况!C22</f>
        <v>0</v>
      </c>
      <c r="C100" s="1884"/>
      <c r="D100" s="2306">
        <f t="shared" si="31"/>
        <v>0</v>
      </c>
      <c r="E100" s="3081"/>
      <c r="F100" s="1674"/>
      <c r="G100" s="3071"/>
      <c r="H100" s="3116" t="str">
        <f t="shared" si="32"/>
        <v>——</v>
      </c>
      <c r="I100" s="3065">
        <v>0.09</v>
      </c>
      <c r="J100" s="1909">
        <f t="shared" si="28"/>
        <v>0</v>
      </c>
      <c r="K100" s="1909">
        <f t="shared" si="29"/>
        <v>0</v>
      </c>
      <c r="L100" s="1909">
        <v>0</v>
      </c>
      <c r="M100" s="1909">
        <f t="shared" si="30"/>
        <v>0</v>
      </c>
      <c r="N100" s="1909">
        <f t="shared" si="30"/>
        <v>0</v>
      </c>
    </row>
    <row r="101" spans="1:14" ht="24.75" thickBot="1">
      <c r="A101" s="3078" t="s">
        <v>3265</v>
      </c>
      <c r="B101" s="3085">
        <f>估价对象房地状况!C20</f>
        <v>0</v>
      </c>
      <c r="C101" s="1884"/>
      <c r="D101" s="2306">
        <f t="shared" si="31"/>
        <v>0</v>
      </c>
      <c r="E101" s="3082"/>
      <c r="F101" s="1674"/>
      <c r="G101" s="3071"/>
      <c r="H101" s="3116" t="str">
        <f t="shared" si="32"/>
        <v>——</v>
      </c>
      <c r="I101" s="3066">
        <v>7.0000000000000007E-2</v>
      </c>
      <c r="J101" s="1909">
        <f t="shared" si="28"/>
        <v>0</v>
      </c>
      <c r="K101" s="1909">
        <f t="shared" si="29"/>
        <v>0</v>
      </c>
      <c r="L101" s="1909">
        <v>0</v>
      </c>
      <c r="M101" s="1909">
        <f t="shared" si="30"/>
        <v>0</v>
      </c>
      <c r="N101" s="1909">
        <f t="shared" si="30"/>
        <v>0</v>
      </c>
    </row>
    <row r="103" spans="1:14">
      <c r="A103" s="3511" t="s">
        <v>3280</v>
      </c>
      <c r="B103" s="3511"/>
      <c r="C103" s="3511"/>
      <c r="D103" s="3511"/>
      <c r="E103" s="3511"/>
      <c r="F103" s="3511"/>
      <c r="G103" s="3511"/>
      <c r="H103" s="3511"/>
      <c r="I103" s="3511"/>
      <c r="J103" s="3511"/>
      <c r="K103" s="1666"/>
      <c r="L103" s="1666"/>
      <c r="M103" s="1666"/>
      <c r="N103" s="1666"/>
    </row>
    <row r="104" spans="1:14">
      <c r="A104" s="3512" t="s">
        <v>3281</v>
      </c>
      <c r="B104" s="3512" t="s">
        <v>3282</v>
      </c>
      <c r="C104" s="3087" t="s">
        <v>3283</v>
      </c>
      <c r="D104" s="3088"/>
      <c r="E104" s="3088"/>
      <c r="F104" s="3088"/>
      <c r="G104" s="3088"/>
      <c r="H104" s="3088"/>
      <c r="I104" s="3088"/>
      <c r="J104" s="3089"/>
      <c r="K104" s="3090"/>
      <c r="L104" s="3090"/>
      <c r="M104" s="3090"/>
      <c r="N104" s="3090"/>
    </row>
    <row r="105" spans="1:14">
      <c r="A105" s="3512"/>
      <c r="B105" s="3512"/>
      <c r="C105" s="3091" t="s">
        <v>3284</v>
      </c>
      <c r="D105" s="3091" t="s">
        <v>3285</v>
      </c>
      <c r="E105" s="3091" t="s">
        <v>3286</v>
      </c>
      <c r="F105" s="3091" t="s">
        <v>3287</v>
      </c>
      <c r="G105" s="3091" t="s">
        <v>3288</v>
      </c>
      <c r="H105" s="3091" t="s">
        <v>3289</v>
      </c>
      <c r="I105" s="3091" t="s">
        <v>3290</v>
      </c>
      <c r="J105" s="3091" t="s">
        <v>3291</v>
      </c>
      <c r="K105" s="3091" t="s">
        <v>3292</v>
      </c>
      <c r="L105" s="3091" t="s">
        <v>3293</v>
      </c>
      <c r="M105" s="3091" t="s">
        <v>3294</v>
      </c>
      <c r="N105" s="3091" t="s">
        <v>3295</v>
      </c>
    </row>
    <row r="106" spans="1:14">
      <c r="A106" s="3498" t="s">
        <v>3296</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99"/>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99"/>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99"/>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99"/>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99"/>
      <c r="B111" s="3091" t="s">
        <v>3254</v>
      </c>
      <c r="C111" s="3092">
        <f>$I$3</f>
        <v>0</v>
      </c>
      <c r="D111" s="3092">
        <f t="shared" ref="D111:M111" si="33">$I$3</f>
        <v>0</v>
      </c>
      <c r="E111" s="3092">
        <f t="shared" si="33"/>
        <v>0</v>
      </c>
      <c r="F111" s="3092">
        <f t="shared" si="33"/>
        <v>0</v>
      </c>
      <c r="G111" s="3092">
        <f t="shared" si="33"/>
        <v>0</v>
      </c>
      <c r="H111" s="3092">
        <f t="shared" si="33"/>
        <v>0</v>
      </c>
      <c r="I111" s="3092">
        <f t="shared" si="33"/>
        <v>0</v>
      </c>
      <c r="J111" s="3092">
        <f t="shared" si="33"/>
        <v>0</v>
      </c>
      <c r="K111" s="3092">
        <f t="shared" si="33"/>
        <v>0</v>
      </c>
      <c r="L111" s="3092">
        <f t="shared" si="33"/>
        <v>0</v>
      </c>
      <c r="M111" s="3092">
        <f t="shared" si="33"/>
        <v>0</v>
      </c>
      <c r="N111" s="3092">
        <f>$I$3</f>
        <v>0</v>
      </c>
    </row>
    <row r="112" spans="1:14">
      <c r="A112" s="3500"/>
      <c r="B112" s="3091">
        <v>6</v>
      </c>
      <c r="C112" s="3086">
        <f>(-0.5556*(C111^2)-0.2719*C111+8944)*(10^(-4))</f>
        <v>0.89440000000000008</v>
      </c>
      <c r="D112" s="3086">
        <f>(-0.5556*(D111^2)-0.2719*D111+8944)*(10^(-4))</f>
        <v>0.89440000000000008</v>
      </c>
      <c r="E112" s="3086">
        <f>(-0.7912*(E111^2)-11.3794*E111+8482)*(10^(-4))</f>
        <v>0.84820000000000007</v>
      </c>
      <c r="F112" s="3086">
        <f t="shared" ref="F112:I112" si="34">(-0.7912*(F111^2)-11.3794*F111+8482)*(10^(-4))</f>
        <v>0.84820000000000007</v>
      </c>
      <c r="G112" s="3086">
        <f t="shared" si="34"/>
        <v>0.84820000000000007</v>
      </c>
      <c r="H112" s="3086">
        <f t="shared" si="34"/>
        <v>0.84820000000000007</v>
      </c>
      <c r="I112" s="3086">
        <f t="shared" si="34"/>
        <v>0.84820000000000007</v>
      </c>
      <c r="J112" s="3086">
        <f>(-0.989*(J111^2)-63.78*J111+7771)*(10^(-4))</f>
        <v>0.77710000000000001</v>
      </c>
      <c r="K112" s="3086">
        <f t="shared" ref="K112:N112" si="35">(-0.989*(K111^2)-63.78*K111+7771)*(10^(-4))</f>
        <v>0.77710000000000001</v>
      </c>
      <c r="L112" s="3086">
        <f t="shared" si="35"/>
        <v>0.77710000000000001</v>
      </c>
      <c r="M112" s="3086">
        <f t="shared" si="35"/>
        <v>0.77710000000000001</v>
      </c>
      <c r="N112" s="3086">
        <f t="shared" si="35"/>
        <v>0.77710000000000001</v>
      </c>
    </row>
    <row r="113" spans="1:14">
      <c r="A113" s="3501" t="s">
        <v>3297</v>
      </c>
      <c r="B113" s="3501"/>
      <c r="C113" s="3501"/>
      <c r="D113" s="3501"/>
      <c r="E113" s="3501"/>
      <c r="F113" s="3501"/>
      <c r="G113" s="3501"/>
      <c r="H113" s="3501"/>
      <c r="I113" s="3501"/>
      <c r="J113" s="3501"/>
      <c r="K113" s="3093"/>
      <c r="L113" s="3093"/>
      <c r="M113" s="3093"/>
      <c r="N113" s="3093"/>
    </row>
    <row r="114" spans="1:14">
      <c r="A114" s="3094"/>
      <c r="B114" s="3094"/>
      <c r="C114" s="3094"/>
      <c r="D114" s="3094"/>
      <c r="E114" s="3094"/>
      <c r="F114" s="3094"/>
      <c r="G114" s="3094"/>
      <c r="H114" s="3094"/>
      <c r="I114" s="3094"/>
      <c r="J114" s="3094"/>
      <c r="K114" s="1961"/>
      <c r="L114" s="3094"/>
      <c r="M114" s="3094"/>
      <c r="N114" s="3094"/>
    </row>
    <row r="115" spans="1:14" ht="13.5" thickBot="1">
      <c r="A115" s="3094"/>
      <c r="B115" s="3094"/>
      <c r="C115" s="3094"/>
      <c r="D115" s="3094"/>
      <c r="E115" s="3094"/>
      <c r="F115" s="3094"/>
      <c r="G115" s="3094"/>
      <c r="H115" s="3094"/>
      <c r="I115" s="3094"/>
      <c r="J115" s="3094"/>
      <c r="K115" s="1961"/>
      <c r="L115" s="3094"/>
      <c r="M115" s="3094"/>
      <c r="N115" s="3094"/>
    </row>
    <row r="116" spans="1:14" ht="25.5" thickBot="1">
      <c r="A116" s="3095" t="s">
        <v>3298</v>
      </c>
      <c r="B116" s="3111">
        <f>G3</f>
        <v>1</v>
      </c>
      <c r="C116" s="3096" t="s">
        <v>3299</v>
      </c>
      <c r="D116" s="3097">
        <f>SUMPRODUCT((A118:A122=F116)*(B117:M117=H116)*B118:M122)</f>
        <v>0.81979999999999997</v>
      </c>
      <c r="E116" s="162" t="s">
        <v>3300</v>
      </c>
      <c r="F116" s="3098" t="str">
        <f>E2</f>
        <v>办公</v>
      </c>
      <c r="G116" s="162" t="s">
        <v>3301</v>
      </c>
      <c r="H116" s="3098" t="str">
        <f>G2</f>
        <v>八级</v>
      </c>
      <c r="I116" s="162"/>
      <c r="J116" s="3099"/>
      <c r="K116" s="3099"/>
      <c r="L116" s="3099"/>
      <c r="M116" s="3099"/>
      <c r="N116" s="3094"/>
    </row>
    <row r="117" spans="1:14">
      <c r="A117" s="3100"/>
      <c r="B117" s="3101" t="s">
        <v>3302</v>
      </c>
      <c r="C117" s="3101" t="s">
        <v>3303</v>
      </c>
      <c r="D117" s="3101" t="s">
        <v>3304</v>
      </c>
      <c r="E117" s="3102" t="s">
        <v>3305</v>
      </c>
      <c r="F117" s="3102" t="s">
        <v>3306</v>
      </c>
      <c r="G117" s="3102" t="s">
        <v>3307</v>
      </c>
      <c r="H117" s="3103" t="s">
        <v>3308</v>
      </c>
      <c r="I117" s="3103" t="s">
        <v>3309</v>
      </c>
      <c r="J117" s="3104" t="s">
        <v>3310</v>
      </c>
      <c r="K117" s="3104" t="s">
        <v>3311</v>
      </c>
      <c r="L117" s="3104" t="s">
        <v>3312</v>
      </c>
      <c r="M117" s="3105" t="s">
        <v>3313</v>
      </c>
      <c r="N117" s="3094"/>
    </row>
    <row r="118" spans="1:14">
      <c r="A118" s="3054" t="s">
        <v>3314</v>
      </c>
      <c r="B118" s="3086">
        <f>ROUND(0.9968-0.011*B116,4)</f>
        <v>0.98580000000000001</v>
      </c>
      <c r="C118" s="3086">
        <f>B118</f>
        <v>0.98580000000000001</v>
      </c>
      <c r="D118" s="3086">
        <f>ROUND(0.949-0.014*B116,4)</f>
        <v>0.93500000000000005</v>
      </c>
      <c r="E118" s="3086">
        <f>D118</f>
        <v>0.93500000000000005</v>
      </c>
      <c r="F118" s="3086">
        <f>E118</f>
        <v>0.93500000000000005</v>
      </c>
      <c r="G118" s="3086">
        <f>F118</f>
        <v>0.93500000000000005</v>
      </c>
      <c r="H118" s="3086">
        <f>G118</f>
        <v>0.93500000000000005</v>
      </c>
      <c r="I118" s="3086">
        <f>ROUND(0.8486-0.018*B116,4)</f>
        <v>0.8306</v>
      </c>
      <c r="J118" s="3086">
        <f t="shared" ref="J118:M122" si="36">I118</f>
        <v>0.8306</v>
      </c>
      <c r="K118" s="3086">
        <f t="shared" si="36"/>
        <v>0.8306</v>
      </c>
      <c r="L118" s="3086">
        <f t="shared" si="36"/>
        <v>0.8306</v>
      </c>
      <c r="M118" s="3106">
        <f t="shared" si="36"/>
        <v>0.8306</v>
      </c>
      <c r="N118" s="3094"/>
    </row>
    <row r="119" spans="1:14">
      <c r="A119" s="3054" t="s">
        <v>3315</v>
      </c>
      <c r="B119" s="3086">
        <f>ROUND(0.993-0.0112*B116,4)</f>
        <v>0.98180000000000001</v>
      </c>
      <c r="C119" s="3086">
        <f>B119</f>
        <v>0.98180000000000001</v>
      </c>
      <c r="D119" s="3086">
        <f>ROUND(0.9415-0.0142*B116,4)</f>
        <v>0.92730000000000001</v>
      </c>
      <c r="E119" s="3086">
        <f t="shared" ref="E119:H120" si="37">D119</f>
        <v>0.92730000000000001</v>
      </c>
      <c r="F119" s="3086">
        <f t="shared" si="37"/>
        <v>0.92730000000000001</v>
      </c>
      <c r="G119" s="3086">
        <f t="shared" si="37"/>
        <v>0.92730000000000001</v>
      </c>
      <c r="H119" s="3086">
        <f t="shared" si="37"/>
        <v>0.92730000000000001</v>
      </c>
      <c r="I119" s="3086">
        <f>ROUND(0.838-0.0182*B116,4)</f>
        <v>0.81979999999999997</v>
      </c>
      <c r="J119" s="3086">
        <f t="shared" si="36"/>
        <v>0.81979999999999997</v>
      </c>
      <c r="K119" s="3086">
        <f t="shared" si="36"/>
        <v>0.81979999999999997</v>
      </c>
      <c r="L119" s="3086">
        <f t="shared" si="36"/>
        <v>0.81979999999999997</v>
      </c>
      <c r="M119" s="3106">
        <f t="shared" si="36"/>
        <v>0.81979999999999997</v>
      </c>
      <c r="N119" s="3094"/>
    </row>
    <row r="120" spans="1:14">
      <c r="A120" s="3054" t="s">
        <v>3316</v>
      </c>
      <c r="B120" s="3086">
        <f>ROUND(0.9448-0.0115*B116,4)</f>
        <v>0.93330000000000002</v>
      </c>
      <c r="C120" s="3086">
        <f>B120</f>
        <v>0.93330000000000002</v>
      </c>
      <c r="D120" s="3086">
        <f>ROUND(0.937-0.0145*B116,4)</f>
        <v>0.92249999999999999</v>
      </c>
      <c r="E120" s="3086">
        <f t="shared" si="37"/>
        <v>0.92249999999999999</v>
      </c>
      <c r="F120" s="3086">
        <f t="shared" si="37"/>
        <v>0.92249999999999999</v>
      </c>
      <c r="G120" s="3086">
        <f t="shared" si="37"/>
        <v>0.92249999999999999</v>
      </c>
      <c r="H120" s="3086">
        <f t="shared" si="37"/>
        <v>0.92249999999999999</v>
      </c>
      <c r="I120" s="3086">
        <f>ROUND(0.7965-0.0185*B116,4)</f>
        <v>0.77800000000000002</v>
      </c>
      <c r="J120" s="3086">
        <f t="shared" si="36"/>
        <v>0.77800000000000002</v>
      </c>
      <c r="K120" s="3086">
        <f t="shared" si="36"/>
        <v>0.77800000000000002</v>
      </c>
      <c r="L120" s="3086">
        <f t="shared" si="36"/>
        <v>0.77800000000000002</v>
      </c>
      <c r="M120" s="3106">
        <f t="shared" si="36"/>
        <v>0.77800000000000002</v>
      </c>
      <c r="N120" s="3094"/>
    </row>
    <row r="121" spans="1:14" ht="13.5" thickBot="1">
      <c r="A121" s="3107" t="s">
        <v>3317</v>
      </c>
      <c r="B121" s="3108">
        <f>ROUND(0.7836-0.012*B116,4)</f>
        <v>0.77159999999999995</v>
      </c>
      <c r="C121" s="3108">
        <f>B121</f>
        <v>0.77159999999999995</v>
      </c>
      <c r="D121" s="3108">
        <f>ROUND(0.753-0.015*B116,4)</f>
        <v>0.73799999999999999</v>
      </c>
      <c r="E121" s="3108">
        <f>D121</f>
        <v>0.73799999999999999</v>
      </c>
      <c r="F121" s="3108">
        <f>E121</f>
        <v>0.73799999999999999</v>
      </c>
      <c r="G121" s="3108">
        <f>ROUND(0.6612-0.018*B116,4)</f>
        <v>0.64319999999999999</v>
      </c>
      <c r="H121" s="3108">
        <f>G121</f>
        <v>0.64319999999999999</v>
      </c>
      <c r="I121" s="3108">
        <f>ROUND(0.5905-0.019*B116,4)</f>
        <v>0.57150000000000001</v>
      </c>
      <c r="J121" s="3108">
        <f t="shared" si="36"/>
        <v>0.57150000000000001</v>
      </c>
      <c r="K121" s="3108">
        <f t="shared" si="36"/>
        <v>0.57150000000000001</v>
      </c>
      <c r="L121" s="3108">
        <f t="shared" si="36"/>
        <v>0.57150000000000001</v>
      </c>
      <c r="M121" s="3109">
        <f t="shared" si="36"/>
        <v>0.57150000000000001</v>
      </c>
      <c r="N121" s="3094"/>
    </row>
    <row r="122" spans="1:14">
      <c r="A122" s="3110" t="s">
        <v>2599</v>
      </c>
      <c r="B122" s="3086">
        <f>ROUND(0.9404-0.0106*B116,4)</f>
        <v>0.92979999999999996</v>
      </c>
      <c r="C122" s="3086">
        <f>B122</f>
        <v>0.92979999999999996</v>
      </c>
      <c r="D122" s="3086">
        <f>ROUND(0.8955-0.0135*B116,4)</f>
        <v>0.88200000000000001</v>
      </c>
      <c r="E122" s="3086">
        <f t="shared" ref="E122:H122" si="38">D122</f>
        <v>0.88200000000000001</v>
      </c>
      <c r="F122" s="3086">
        <f t="shared" si="38"/>
        <v>0.88200000000000001</v>
      </c>
      <c r="G122" s="3086">
        <f t="shared" si="38"/>
        <v>0.88200000000000001</v>
      </c>
      <c r="H122" s="3086">
        <f t="shared" si="38"/>
        <v>0.88200000000000001</v>
      </c>
      <c r="I122" s="3086">
        <f>ROUND(0.7632-0.0166*B116,4)</f>
        <v>0.74660000000000004</v>
      </c>
      <c r="J122" s="3086">
        <f t="shared" si="36"/>
        <v>0.74660000000000004</v>
      </c>
      <c r="K122" s="3086">
        <f t="shared" si="36"/>
        <v>0.74660000000000004</v>
      </c>
      <c r="L122" s="3086">
        <f t="shared" si="36"/>
        <v>0.74660000000000004</v>
      </c>
      <c r="M122" s="3106">
        <f t="shared" si="36"/>
        <v>0.74660000000000004</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903</v>
      </c>
    </row>
    <row r="2" spans="1:5" ht="78" customHeight="1">
      <c r="A2" s="32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4"/>
      <c r="C2" s="3204"/>
      <c r="D2" s="3204"/>
      <c r="E2" s="3204"/>
    </row>
    <row r="3" spans="1:5" ht="18">
      <c r="A3" s="3205" t="str">
        <f>IF(项目基本情况!B9="房地产市场价值","估价结果一览表（市场价值不需“结果表-1”）","估价结果一览表")</f>
        <v>估价结果一览表</v>
      </c>
      <c r="B3" s="3205"/>
      <c r="C3" s="3205"/>
      <c r="D3" s="3205"/>
      <c r="E3" s="3205"/>
    </row>
    <row r="4" spans="1:5" ht="19.5" thickBot="1">
      <c r="A4" s="1390"/>
      <c r="B4" s="3203" t="s">
        <v>912</v>
      </c>
      <c r="C4" s="3203"/>
      <c r="D4" s="3203"/>
      <c r="E4" s="1390"/>
    </row>
    <row r="5" spans="1:5" ht="16.5" thickTop="1">
      <c r="B5" s="3201" t="s">
        <v>904</v>
      </c>
      <c r="C5" s="1391" t="s">
        <v>905</v>
      </c>
      <c r="D5" s="797">
        <f ca="1">结果表!H101</f>
        <v>3092</v>
      </c>
    </row>
    <row r="6" spans="1:5" ht="15.75">
      <c r="B6" s="3201"/>
      <c r="C6" s="1391" t="s">
        <v>906</v>
      </c>
      <c r="D6" s="797" t="str">
        <f ca="1">NUMBERSTRING(INT(D5*10000),2)&amp;"元整"</f>
        <v>叁仟零玖拾贰万元整</v>
      </c>
    </row>
    <row r="7" spans="1:5" ht="15.75">
      <c r="B7" s="3206"/>
      <c r="C7" s="1392" t="s">
        <v>907</v>
      </c>
      <c r="D7" s="798">
        <f ca="1">结果表!H102</f>
        <v>25078</v>
      </c>
    </row>
    <row r="8" spans="1:5" ht="15.75">
      <c r="B8" s="3207" t="str">
        <f>结果表!E103</f>
        <v>2.估价师知悉的法定优先受偿款</v>
      </c>
      <c r="C8" s="1393" t="s">
        <v>908</v>
      </c>
      <c r="D8" s="798">
        <f>结果表!H103</f>
        <v>0</v>
      </c>
    </row>
    <row r="9" spans="1:5" ht="15.75">
      <c r="B9" s="3209"/>
      <c r="C9" s="1391" t="s">
        <v>906</v>
      </c>
      <c r="D9" s="797" t="str">
        <f>NUMBERSTRING(INT(D8*10000),2)&amp;"元整"</f>
        <v>零元整</v>
      </c>
    </row>
    <row r="10" spans="1:5" ht="15">
      <c r="B10" s="1394" t="s">
        <v>911</v>
      </c>
      <c r="C10" s="1395" t="s">
        <v>909</v>
      </c>
      <c r="D10" s="799">
        <f>结果表!H104</f>
        <v>0</v>
      </c>
    </row>
    <row r="11" spans="1:5" ht="15">
      <c r="B11" s="1394" t="s">
        <v>913</v>
      </c>
      <c r="C11" s="1395" t="s">
        <v>914</v>
      </c>
      <c r="D11" s="799">
        <f>结果表!H105</f>
        <v>0</v>
      </c>
    </row>
    <row r="12" spans="1:5" ht="15">
      <c r="B12" s="1394" t="s">
        <v>915</v>
      </c>
      <c r="C12" s="1395" t="s">
        <v>914</v>
      </c>
      <c r="D12" s="799">
        <f>结果表!H106</f>
        <v>0</v>
      </c>
    </row>
    <row r="13" spans="1:5" ht="15.75">
      <c r="B13" s="3200" t="str">
        <f>结果表!E107</f>
        <v>3.房地产抵押价值</v>
      </c>
      <c r="C13" s="1396" t="s">
        <v>905</v>
      </c>
      <c r="D13" s="800">
        <f ca="1">结果表!H107</f>
        <v>3092</v>
      </c>
    </row>
    <row r="14" spans="1:5" ht="15.75">
      <c r="B14" s="3201"/>
      <c r="C14" s="1391" t="s">
        <v>906</v>
      </c>
      <c r="D14" s="797" t="str">
        <f ca="1">NUMBERSTRING(INT(D13*10000),2)&amp;"元整"</f>
        <v>叁仟零玖拾贰万元整</v>
      </c>
    </row>
    <row r="15" spans="1:5" ht="15">
      <c r="B15" s="3206"/>
      <c r="C15" s="1392" t="s">
        <v>916</v>
      </c>
      <c r="D15" s="806">
        <f ca="1">结果表!H108</f>
        <v>25078</v>
      </c>
    </row>
    <row r="16" spans="1:5" ht="15">
      <c r="B16" s="3207" t="str">
        <f>结果表!E109</f>
        <v>——</v>
      </c>
      <c r="C16" s="1396" t="s">
        <v>917</v>
      </c>
      <c r="D16" s="1397" t="str">
        <f>结果表!H109</f>
        <v>——</v>
      </c>
    </row>
    <row r="17" spans="1:5" ht="15.75">
      <c r="B17" s="3208"/>
      <c r="C17" s="1391" t="s">
        <v>918</v>
      </c>
      <c r="D17" s="797" t="e">
        <f>NUMBERSTRING(INT(D16*10000),2)&amp;"元整"</f>
        <v>#VALUE!</v>
      </c>
    </row>
    <row r="18" spans="1:5" ht="15">
      <c r="B18" s="3209"/>
      <c r="C18" s="1392" t="s">
        <v>907</v>
      </c>
      <c r="D18" s="806" t="str">
        <f>结果表!H110</f>
        <v>——</v>
      </c>
    </row>
    <row r="19" spans="1:5" ht="15.75">
      <c r="B19" s="3200" t="str">
        <f>结果表!E111</f>
        <v>——</v>
      </c>
      <c r="C19" s="1396" t="s">
        <v>905</v>
      </c>
      <c r="D19" s="798" t="str">
        <f>结果表!H111</f>
        <v>——</v>
      </c>
    </row>
    <row r="20" spans="1:5" ht="15.75">
      <c r="B20" s="3201"/>
      <c r="C20" s="1391" t="s">
        <v>918</v>
      </c>
      <c r="D20" s="797" t="e">
        <f>NUMBERSTRING(INT(D19*10000),2)&amp;"元整"</f>
        <v>#VALUE!</v>
      </c>
    </row>
    <row r="21" spans="1:5" ht="15.75" thickBot="1">
      <c r="B21" s="3202"/>
      <c r="C21" s="1398" t="s">
        <v>916</v>
      </c>
      <c r="D21" s="807" t="str">
        <f>结果表!H112</f>
        <v>——</v>
      </c>
    </row>
    <row r="22" spans="1:5" ht="15" thickTop="1">
      <c r="B22" s="1399" t="s">
        <v>919</v>
      </c>
    </row>
    <row r="24" spans="1:5" ht="18.75">
      <c r="A24" s="1400"/>
      <c r="B24" s="1401" t="s">
        <v>910</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L2:L74"/>
  <sheetViews>
    <sheetView workbookViewId="0">
      <selection activeCell="O56" sqref="O56"/>
    </sheetView>
  </sheetViews>
  <sheetFormatPr defaultRowHeight="13.5"/>
  <cols>
    <col min="1" max="16384" width="9" style="3194"/>
  </cols>
  <sheetData>
    <row r="2" spans="12:12">
      <c r="L2" s="3193">
        <f>ROUND(30000/30/510.8,2)</f>
        <v>1.96</v>
      </c>
    </row>
    <row r="10" spans="12:12">
      <c r="L10" s="3194">
        <f>21000/30/571.2</f>
        <v>1.2254901960784312</v>
      </c>
    </row>
    <row r="18" spans="12:12">
      <c r="L18" s="3193">
        <f>ROUND(40000/30/592.83,2)</f>
        <v>2.25</v>
      </c>
    </row>
    <row r="27" spans="12:12">
      <c r="L27" s="3193">
        <f>ROUND(40000/30/521.05,2)</f>
        <v>2.56</v>
      </c>
    </row>
    <row r="35" spans="12:12">
      <c r="L35" s="3194">
        <f>80000/30/786.88</f>
        <v>3.3889114816320998</v>
      </c>
    </row>
    <row r="41" spans="12:12">
      <c r="L41" s="3194">
        <f>18000/30/517.06</f>
        <v>1.1604069160252197</v>
      </c>
    </row>
    <row r="50" spans="12:12">
      <c r="L50" s="3194">
        <f>25000/30/720.64</f>
        <v>1.1563795145056246</v>
      </c>
    </row>
    <row r="59" spans="12:12">
      <c r="L59" s="3194">
        <f>30000/30/564.44</f>
        <v>1.7716674934448302</v>
      </c>
    </row>
    <row r="66" spans="12:12">
      <c r="L66" s="3194">
        <f>20000/30/500</f>
        <v>1.3333333333333333</v>
      </c>
    </row>
    <row r="74" spans="12:12">
      <c r="L74" s="3194">
        <f>20000/30/607.72</f>
        <v>1.0969964237916583</v>
      </c>
    </row>
  </sheetData>
  <phoneticPr fontId="134" type="noConversion"/>
  <pageMargins left="0.7" right="0.7" top="0.75" bottom="0.75" header="0.3" footer="0.3"/>
  <pageSetup paperSize="9"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2581</v>
      </c>
      <c r="B1" s="2808" t="s">
        <v>2582</v>
      </c>
      <c r="C1" s="2808" t="s">
        <v>2583</v>
      </c>
      <c r="D1" s="2808" t="s">
        <v>2584</v>
      </c>
      <c r="E1" s="2808" t="s">
        <v>2585</v>
      </c>
      <c r="F1" s="2808" t="s">
        <v>2586</v>
      </c>
      <c r="G1" s="2808" t="s">
        <v>2587</v>
      </c>
      <c r="H1" s="2808" t="s">
        <v>2588</v>
      </c>
      <c r="I1" s="2808" t="s">
        <v>2589</v>
      </c>
      <c r="J1" s="2808" t="s">
        <v>2590</v>
      </c>
      <c r="K1" s="2808" t="s">
        <v>2591</v>
      </c>
      <c r="L1" s="2808" t="s">
        <v>2592</v>
      </c>
      <c r="M1" s="2809" t="s">
        <v>2593</v>
      </c>
    </row>
    <row r="2" spans="1:13" ht="19.5" customHeight="1">
      <c r="A2" s="2811" t="s">
        <v>2594</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2595</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2596</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2597</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2598</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2599</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2600</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2601</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2602</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2603</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2604</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2605</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2606</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2607</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2608</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2609</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2610</v>
      </c>
      <c r="B18" s="2833"/>
      <c r="C18" s="2834"/>
      <c r="D18" s="2834"/>
      <c r="E18" s="2833"/>
      <c r="F18" s="2834"/>
      <c r="G18" s="2834"/>
    </row>
    <row r="19" spans="1:13" ht="19.5" customHeight="1" thickBot="1">
      <c r="A19" s="2831" t="s">
        <v>2611</v>
      </c>
      <c r="B19" s="2836" t="s">
        <v>2612</v>
      </c>
      <c r="C19" s="2836" t="s">
        <v>2613</v>
      </c>
      <c r="D19" s="2837"/>
      <c r="E19" s="2831" t="s">
        <v>2614</v>
      </c>
      <c r="F19" s="2838"/>
      <c r="G19" s="2838"/>
    </row>
    <row r="20" spans="1:13" ht="19.5" customHeight="1">
      <c r="A20" s="3526" t="s">
        <v>2594</v>
      </c>
      <c r="B20" s="3521" t="s">
        <v>2615</v>
      </c>
      <c r="C20" s="2839" t="s">
        <v>2426</v>
      </c>
      <c r="D20" s="2840"/>
      <c r="E20" s="2841">
        <v>1</v>
      </c>
      <c r="F20" s="2842" t="s">
        <v>2427</v>
      </c>
      <c r="G20" s="2842"/>
    </row>
    <row r="21" spans="1:13" ht="19.5" customHeight="1">
      <c r="A21" s="3527"/>
      <c r="B21" s="3520"/>
      <c r="C21" s="2843" t="s">
        <v>2428</v>
      </c>
      <c r="D21" s="2844"/>
      <c r="E21" s="2845">
        <v>1</v>
      </c>
      <c r="F21" s="2842" t="s">
        <v>2429</v>
      </c>
      <c r="G21" s="2842"/>
    </row>
    <row r="22" spans="1:13" ht="19.5" customHeight="1">
      <c r="A22" s="3527"/>
      <c r="B22" s="3520"/>
      <c r="C22" s="2843" t="s">
        <v>2430</v>
      </c>
      <c r="D22" s="2844"/>
      <c r="E22" s="2845">
        <v>0.9</v>
      </c>
      <c r="F22" s="2842" t="s">
        <v>2431</v>
      </c>
      <c r="G22" s="2842"/>
    </row>
    <row r="23" spans="1:13" ht="19.5" customHeight="1">
      <c r="A23" s="3527"/>
      <c r="B23" s="3520"/>
      <c r="C23" s="2843" t="s">
        <v>2432</v>
      </c>
      <c r="D23" s="2844"/>
      <c r="E23" s="2845">
        <v>0.9</v>
      </c>
      <c r="F23" s="2842" t="s">
        <v>2433</v>
      </c>
      <c r="G23" s="2842"/>
    </row>
    <row r="24" spans="1:13" ht="19.5" customHeight="1">
      <c r="A24" s="3527"/>
      <c r="B24" s="3520"/>
      <c r="C24" s="2843" t="s">
        <v>2434</v>
      </c>
      <c r="D24" s="2844"/>
      <c r="E24" s="2845">
        <v>0.8</v>
      </c>
      <c r="F24" s="2842" t="s">
        <v>2435</v>
      </c>
      <c r="G24" s="2842"/>
    </row>
    <row r="25" spans="1:13" ht="19.5" customHeight="1" thickBot="1">
      <c r="A25" s="3528"/>
      <c r="B25" s="3522"/>
      <c r="C25" s="2846" t="s">
        <v>2436</v>
      </c>
      <c r="D25" s="2847"/>
      <c r="E25" s="2848">
        <v>0.8</v>
      </c>
      <c r="F25" s="2842" t="s">
        <v>2437</v>
      </c>
      <c r="G25" s="2842"/>
    </row>
    <row r="26" spans="1:13" ht="19.5" customHeight="1" thickBot="1">
      <c r="A26" s="2849" t="s">
        <v>2616</v>
      </c>
      <c r="B26" s="2850" t="s">
        <v>2615</v>
      </c>
      <c r="C26" s="2851" t="s">
        <v>2617</v>
      </c>
      <c r="D26" s="2852"/>
      <c r="E26" s="2853">
        <v>1</v>
      </c>
      <c r="F26" s="2842" t="s">
        <v>2438</v>
      </c>
      <c r="G26" s="2842"/>
    </row>
    <row r="27" spans="1:13" ht="19.5" customHeight="1">
      <c r="A27" s="3523" t="s">
        <v>2618</v>
      </c>
      <c r="B27" s="3521" t="s">
        <v>2599</v>
      </c>
      <c r="C27" s="2839" t="s">
        <v>2439</v>
      </c>
      <c r="D27" s="2840"/>
      <c r="E27" s="2841">
        <v>1</v>
      </c>
      <c r="F27" s="2842" t="s">
        <v>2440</v>
      </c>
      <c r="G27" s="2842"/>
    </row>
    <row r="28" spans="1:13" ht="19.5" customHeight="1">
      <c r="A28" s="3524"/>
      <c r="B28" s="3520"/>
      <c r="C28" s="2843" t="s">
        <v>2441</v>
      </c>
      <c r="D28" s="2844"/>
      <c r="E28" s="2845">
        <v>1</v>
      </c>
      <c r="F28" s="2842" t="s">
        <v>2442</v>
      </c>
      <c r="G28" s="2842"/>
    </row>
    <row r="29" spans="1:13" ht="19.5" customHeight="1">
      <c r="A29" s="3524"/>
      <c r="B29" s="3520"/>
      <c r="C29" s="2843" t="s">
        <v>2443</v>
      </c>
      <c r="D29" s="2844"/>
      <c r="E29" s="2845">
        <v>0.8</v>
      </c>
      <c r="F29" s="2842" t="s">
        <v>2444</v>
      </c>
      <c r="G29" s="2842"/>
    </row>
    <row r="30" spans="1:13" ht="19.5" customHeight="1">
      <c r="A30" s="3524"/>
      <c r="B30" s="3520"/>
      <c r="C30" s="2843" t="s">
        <v>2445</v>
      </c>
      <c r="D30" s="2844"/>
      <c r="E30" s="2845">
        <v>0.8</v>
      </c>
      <c r="F30" s="2842" t="s">
        <v>2446</v>
      </c>
      <c r="G30" s="2842"/>
    </row>
    <row r="31" spans="1:13" ht="19.5" customHeight="1">
      <c r="A31" s="3524"/>
      <c r="B31" s="3520"/>
      <c r="C31" s="2843" t="s">
        <v>2447</v>
      </c>
      <c r="D31" s="2844"/>
      <c r="E31" s="2845">
        <v>0.8</v>
      </c>
      <c r="F31" s="2842" t="s">
        <v>2448</v>
      </c>
      <c r="G31" s="2842"/>
    </row>
    <row r="32" spans="1:13" ht="19.5" customHeight="1">
      <c r="A32" s="3524"/>
      <c r="B32" s="3520"/>
      <c r="C32" s="2843" t="s">
        <v>2449</v>
      </c>
      <c r="D32" s="2844"/>
      <c r="E32" s="2845">
        <v>0.7</v>
      </c>
      <c r="F32" s="2842" t="s">
        <v>2450</v>
      </c>
      <c r="G32" s="2842"/>
    </row>
    <row r="33" spans="1:7" ht="19.5" customHeight="1">
      <c r="A33" s="3524"/>
      <c r="B33" s="3520"/>
      <c r="C33" s="2843" t="s">
        <v>2451</v>
      </c>
      <c r="D33" s="2844"/>
      <c r="E33" s="2845">
        <v>0.8</v>
      </c>
      <c r="F33" s="2842" t="s">
        <v>2452</v>
      </c>
      <c r="G33" s="2842"/>
    </row>
    <row r="34" spans="1:7" ht="19.5" customHeight="1">
      <c r="A34" s="3524"/>
      <c r="B34" s="3520"/>
      <c r="C34" s="2843" t="s">
        <v>2453</v>
      </c>
      <c r="D34" s="2844"/>
      <c r="E34" s="2845">
        <v>0.6</v>
      </c>
      <c r="F34" s="2842" t="s">
        <v>2454</v>
      </c>
      <c r="G34" s="2842"/>
    </row>
    <row r="35" spans="1:7" ht="19.5" customHeight="1">
      <c r="A35" s="3524"/>
      <c r="B35" s="3520"/>
      <c r="C35" s="2843" t="s">
        <v>2455</v>
      </c>
      <c r="D35" s="2844"/>
      <c r="E35" s="2845">
        <v>0.2</v>
      </c>
      <c r="F35" s="2842" t="s">
        <v>2456</v>
      </c>
      <c r="G35" s="2842"/>
    </row>
    <row r="36" spans="1:7" ht="19.5" customHeight="1">
      <c r="A36" s="3524"/>
      <c r="B36" s="3520"/>
      <c r="C36" s="2843" t="s">
        <v>2457</v>
      </c>
      <c r="D36" s="2844"/>
      <c r="E36" s="2845">
        <v>0.2</v>
      </c>
      <c r="F36" s="2842" t="s">
        <v>2458</v>
      </c>
      <c r="G36" s="2842"/>
    </row>
    <row r="37" spans="1:7" ht="19.5" customHeight="1">
      <c r="A37" s="3524"/>
      <c r="B37" s="3518" t="s">
        <v>2619</v>
      </c>
      <c r="C37" s="2843" t="s">
        <v>2459</v>
      </c>
      <c r="D37" s="2844"/>
      <c r="E37" s="2845">
        <v>0.6</v>
      </c>
      <c r="F37" s="2842" t="s">
        <v>2460</v>
      </c>
      <c r="G37" s="2842"/>
    </row>
    <row r="38" spans="1:7" ht="19.5" customHeight="1">
      <c r="A38" s="3524"/>
      <c r="B38" s="3520"/>
      <c r="C38" s="2843" t="s">
        <v>2461</v>
      </c>
      <c r="D38" s="2844"/>
      <c r="E38" s="2845">
        <v>0.6</v>
      </c>
      <c r="F38" s="2842" t="s">
        <v>2462</v>
      </c>
      <c r="G38" s="2842"/>
    </row>
    <row r="39" spans="1:7" ht="19.5" customHeight="1" thickBot="1">
      <c r="A39" s="3525"/>
      <c r="B39" s="3522"/>
      <c r="C39" s="2846" t="s">
        <v>2463</v>
      </c>
      <c r="D39" s="2847"/>
      <c r="E39" s="2848">
        <v>0.6</v>
      </c>
      <c r="F39" s="2842" t="s">
        <v>2464</v>
      </c>
      <c r="G39" s="2842"/>
    </row>
    <row r="40" spans="1:7" ht="19.5" customHeight="1" thickBot="1">
      <c r="A40" s="2849" t="s">
        <v>2596</v>
      </c>
      <c r="B40" s="2850" t="s">
        <v>2596</v>
      </c>
      <c r="C40" s="2851" t="s">
        <v>2620</v>
      </c>
      <c r="D40" s="2852"/>
      <c r="E40" s="2853">
        <v>1</v>
      </c>
      <c r="F40" s="2842" t="s">
        <v>2465</v>
      </c>
      <c r="G40" s="2842"/>
    </row>
    <row r="41" spans="1:7" ht="19.5" customHeight="1">
      <c r="A41" s="3526" t="s">
        <v>2597</v>
      </c>
      <c r="B41" s="3521" t="s">
        <v>2621</v>
      </c>
      <c r="C41" s="2839" t="s">
        <v>2466</v>
      </c>
      <c r="D41" s="2840"/>
      <c r="E41" s="2841">
        <v>1</v>
      </c>
      <c r="F41" s="2842" t="s">
        <v>2467</v>
      </c>
      <c r="G41" s="2842"/>
    </row>
    <row r="42" spans="1:7" ht="19.5" customHeight="1">
      <c r="A42" s="3527"/>
      <c r="B42" s="3520"/>
      <c r="C42" s="2843" t="s">
        <v>2468</v>
      </c>
      <c r="D42" s="2844"/>
      <c r="E42" s="2845">
        <v>1</v>
      </c>
      <c r="F42" s="2842" t="s">
        <v>2469</v>
      </c>
      <c r="G42" s="2842"/>
    </row>
    <row r="43" spans="1:7" ht="19.5" customHeight="1">
      <c r="A43" s="3527"/>
      <c r="B43" s="3519"/>
      <c r="C43" s="2843" t="s">
        <v>2470</v>
      </c>
      <c r="D43" s="2844"/>
      <c r="E43" s="2845">
        <v>1.5</v>
      </c>
      <c r="F43" s="2842" t="s">
        <v>2471</v>
      </c>
      <c r="G43" s="2842"/>
    </row>
    <row r="44" spans="1:7" ht="19.5" customHeight="1">
      <c r="A44" s="3527"/>
      <c r="B44" s="2854" t="s">
        <v>2622</v>
      </c>
      <c r="C44" s="2843" t="s">
        <v>2623</v>
      </c>
      <c r="D44" s="2844"/>
      <c r="E44" s="2845">
        <v>2</v>
      </c>
      <c r="F44" s="2842" t="s">
        <v>2472</v>
      </c>
      <c r="G44" s="2842"/>
    </row>
    <row r="45" spans="1:7" ht="19.5" customHeight="1">
      <c r="A45" s="3527"/>
      <c r="B45" s="3518" t="s">
        <v>2624</v>
      </c>
      <c r="C45" s="2843" t="s">
        <v>2473</v>
      </c>
      <c r="D45" s="2844"/>
      <c r="E45" s="2845">
        <v>1</v>
      </c>
      <c r="F45" s="2842" t="s">
        <v>2474</v>
      </c>
      <c r="G45" s="2842"/>
    </row>
    <row r="46" spans="1:7" ht="19.5" customHeight="1">
      <c r="A46" s="3527"/>
      <c r="B46" s="3520"/>
      <c r="C46" s="2843" t="s">
        <v>2475</v>
      </c>
      <c r="D46" s="2844"/>
      <c r="E46" s="2845">
        <v>1</v>
      </c>
      <c r="F46" s="2842" t="s">
        <v>2476</v>
      </c>
      <c r="G46" s="2842"/>
    </row>
    <row r="47" spans="1:7" ht="19.5" customHeight="1">
      <c r="A47" s="3527"/>
      <c r="B47" s="3520"/>
      <c r="C47" s="2843" t="s">
        <v>2477</v>
      </c>
      <c r="D47" s="2844"/>
      <c r="E47" s="2845">
        <v>1</v>
      </c>
      <c r="F47" s="2842" t="s">
        <v>2478</v>
      </c>
      <c r="G47" s="2842"/>
    </row>
    <row r="48" spans="1:7" ht="19.5" customHeight="1">
      <c r="A48" s="3527"/>
      <c r="B48" s="3520"/>
      <c r="C48" s="2843" t="s">
        <v>2479</v>
      </c>
      <c r="D48" s="2844"/>
      <c r="E48" s="2845">
        <v>1</v>
      </c>
      <c r="F48" s="2842" t="s">
        <v>2480</v>
      </c>
      <c r="G48" s="2842"/>
    </row>
    <row r="49" spans="1:7" ht="19.5" customHeight="1">
      <c r="A49" s="3527"/>
      <c r="B49" s="3520"/>
      <c r="C49" s="2843" t="s">
        <v>2481</v>
      </c>
      <c r="D49" s="2844"/>
      <c r="E49" s="2845">
        <v>1</v>
      </c>
      <c r="F49" s="2842" t="s">
        <v>2482</v>
      </c>
      <c r="G49" s="2842"/>
    </row>
    <row r="50" spans="1:7" ht="19.5" customHeight="1">
      <c r="A50" s="3527"/>
      <c r="B50" s="3520"/>
      <c r="C50" s="2843" t="s">
        <v>2483</v>
      </c>
      <c r="D50" s="2844"/>
      <c r="E50" s="2845">
        <v>1</v>
      </c>
      <c r="F50" s="2842" t="s">
        <v>2484</v>
      </c>
      <c r="G50" s="2842"/>
    </row>
    <row r="51" spans="1:7" ht="19.5" customHeight="1" thickBot="1">
      <c r="A51" s="3528"/>
      <c r="B51" s="3522"/>
      <c r="C51" s="2846" t="s">
        <v>2485</v>
      </c>
      <c r="D51" s="2847"/>
      <c r="E51" s="2848">
        <v>1</v>
      </c>
      <c r="F51" s="2842" t="s">
        <v>2486</v>
      </c>
      <c r="G51" s="2842"/>
    </row>
    <row r="52" spans="1:7" ht="19.5" customHeight="1">
      <c r="A52" s="2855"/>
      <c r="B52" s="2855"/>
      <c r="C52" s="2855"/>
      <c r="D52" s="2855"/>
      <c r="E52" s="2855"/>
      <c r="F52" s="2855"/>
      <c r="G52" s="2855"/>
    </row>
    <row r="54" spans="1:7" ht="19.5" customHeight="1">
      <c r="A54" s="2856"/>
      <c r="B54" s="2828" t="s">
        <v>2625</v>
      </c>
      <c r="C54" s="2828" t="s">
        <v>2625</v>
      </c>
      <c r="D54" s="2828" t="s">
        <v>2625</v>
      </c>
      <c r="E54" s="2831" t="s">
        <v>2625</v>
      </c>
      <c r="F54" s="2831" t="s">
        <v>2626</v>
      </c>
      <c r="G54" s="2831" t="s">
        <v>2627</v>
      </c>
    </row>
    <row r="55" spans="1:7" ht="19.5" customHeight="1">
      <c r="A55" s="2857"/>
      <c r="B55" s="2831" t="s">
        <v>2594</v>
      </c>
      <c r="C55" s="2831" t="s">
        <v>2594</v>
      </c>
      <c r="D55" s="2831" t="s">
        <v>2594</v>
      </c>
      <c r="E55" s="2828" t="s">
        <v>2595</v>
      </c>
      <c r="F55" s="2828" t="s">
        <v>2597</v>
      </c>
      <c r="G55" s="2828" t="s">
        <v>2628</v>
      </c>
    </row>
    <row r="56" spans="1:7" ht="19.5" customHeight="1">
      <c r="A56" s="2858"/>
      <c r="B56" s="2828">
        <v>1</v>
      </c>
      <c r="C56" s="2828">
        <v>2</v>
      </c>
      <c r="D56" s="2828">
        <v>3</v>
      </c>
      <c r="E56" s="2859" t="s">
        <v>2629</v>
      </c>
      <c r="F56" s="2859" t="s">
        <v>2629</v>
      </c>
      <c r="G56" s="2859" t="s">
        <v>2629</v>
      </c>
    </row>
    <row r="57" spans="1:7" ht="19.5" customHeight="1">
      <c r="A57" s="2860" t="s">
        <v>2582</v>
      </c>
      <c r="B57" s="2828">
        <v>0.7</v>
      </c>
      <c r="C57" s="2828">
        <v>0.4</v>
      </c>
      <c r="D57" s="2828">
        <v>0.3</v>
      </c>
      <c r="E57" s="2859">
        <v>0.3</v>
      </c>
      <c r="F57" s="2828">
        <v>0.3</v>
      </c>
      <c r="G57" s="2828">
        <v>0.2</v>
      </c>
    </row>
    <row r="58" spans="1:7" ht="19.5" customHeight="1">
      <c r="A58" s="2860" t="s">
        <v>2583</v>
      </c>
      <c r="B58" s="2828">
        <v>0.7</v>
      </c>
      <c r="C58" s="2828">
        <v>0.4</v>
      </c>
      <c r="D58" s="2828">
        <v>0.3</v>
      </c>
      <c r="E58" s="2828">
        <v>0.3</v>
      </c>
      <c r="F58" s="2828">
        <v>0.3</v>
      </c>
      <c r="G58" s="2828">
        <v>0.2</v>
      </c>
    </row>
    <row r="59" spans="1:7" ht="19.5" customHeight="1">
      <c r="A59" s="2860" t="s">
        <v>2584</v>
      </c>
      <c r="B59" s="2828">
        <v>0.6</v>
      </c>
      <c r="C59" s="2828">
        <v>0.3</v>
      </c>
      <c r="D59" s="2828">
        <v>0.25</v>
      </c>
      <c r="E59" s="2828">
        <v>0.25</v>
      </c>
      <c r="F59" s="2828">
        <v>0.25</v>
      </c>
      <c r="G59" s="2828">
        <v>0.15</v>
      </c>
    </row>
    <row r="60" spans="1:7" ht="19.5" customHeight="1">
      <c r="A60" s="2860" t="s">
        <v>2585</v>
      </c>
      <c r="B60" s="2828">
        <v>0.6</v>
      </c>
      <c r="C60" s="2828">
        <v>0.3</v>
      </c>
      <c r="D60" s="2828">
        <v>0.25</v>
      </c>
      <c r="E60" s="2828">
        <v>0.25</v>
      </c>
      <c r="F60" s="2828">
        <v>0.25</v>
      </c>
      <c r="G60" s="2828">
        <v>0.15</v>
      </c>
    </row>
    <row r="61" spans="1:7" ht="19.5" customHeight="1">
      <c r="A61" s="2860" t="s">
        <v>2586</v>
      </c>
      <c r="B61" s="2828">
        <v>0.6</v>
      </c>
      <c r="C61" s="2828">
        <v>0.3</v>
      </c>
      <c r="D61" s="2828">
        <v>0.25</v>
      </c>
      <c r="E61" s="2828">
        <v>0.25</v>
      </c>
      <c r="F61" s="2828">
        <v>0.25</v>
      </c>
      <c r="G61" s="2828">
        <v>0.15</v>
      </c>
    </row>
    <row r="62" spans="1:7" ht="19.5" customHeight="1">
      <c r="A62" s="2860" t="s">
        <v>2587</v>
      </c>
      <c r="B62" s="2828">
        <v>0.6</v>
      </c>
      <c r="C62" s="2828">
        <v>0.3</v>
      </c>
      <c r="D62" s="2828">
        <v>0.25</v>
      </c>
      <c r="E62" s="2828">
        <v>0.25</v>
      </c>
      <c r="F62" s="2828">
        <v>0.25</v>
      </c>
      <c r="G62" s="2828">
        <v>0.15</v>
      </c>
    </row>
    <row r="63" spans="1:7" ht="19.5" customHeight="1">
      <c r="A63" s="2860" t="s">
        <v>2588</v>
      </c>
      <c r="B63" s="2828">
        <v>0.6</v>
      </c>
      <c r="C63" s="2828">
        <v>0.3</v>
      </c>
      <c r="D63" s="2828">
        <v>0.25</v>
      </c>
      <c r="E63" s="2828">
        <v>0.25</v>
      </c>
      <c r="F63" s="2828">
        <v>0.25</v>
      </c>
      <c r="G63" s="2828">
        <v>0.15</v>
      </c>
    </row>
    <row r="64" spans="1:7" ht="19.5" customHeight="1">
      <c r="A64" s="2860" t="s">
        <v>2589</v>
      </c>
      <c r="B64" s="2828">
        <v>0.5</v>
      </c>
      <c r="C64" s="2828">
        <v>0.2</v>
      </c>
      <c r="D64" s="2828">
        <v>0.2</v>
      </c>
      <c r="E64" s="2828">
        <v>0.2</v>
      </c>
      <c r="F64" s="2828">
        <v>0.2</v>
      </c>
      <c r="G64" s="2828">
        <v>0.1</v>
      </c>
    </row>
    <row r="65" spans="1:7" ht="19.5" customHeight="1">
      <c r="A65" s="2860" t="s">
        <v>2590</v>
      </c>
      <c r="B65" s="2828">
        <v>0.5</v>
      </c>
      <c r="C65" s="2828">
        <v>0.2</v>
      </c>
      <c r="D65" s="2828">
        <v>0.2</v>
      </c>
      <c r="E65" s="2828">
        <v>0.2</v>
      </c>
      <c r="F65" s="2828">
        <v>0.2</v>
      </c>
      <c r="G65" s="2828">
        <v>0.1</v>
      </c>
    </row>
    <row r="66" spans="1:7" ht="19.5" customHeight="1">
      <c r="A66" s="2860" t="s">
        <v>2591</v>
      </c>
      <c r="B66" s="2828">
        <v>0.5</v>
      </c>
      <c r="C66" s="2828">
        <v>0.2</v>
      </c>
      <c r="D66" s="2828">
        <v>0.2</v>
      </c>
      <c r="E66" s="2828">
        <v>0.2</v>
      </c>
      <c r="F66" s="2828">
        <v>0.2</v>
      </c>
      <c r="G66" s="2828">
        <v>0.1</v>
      </c>
    </row>
    <row r="67" spans="1:7" ht="19.5" customHeight="1">
      <c r="A67" s="2860" t="s">
        <v>2592</v>
      </c>
      <c r="B67" s="2828">
        <v>0.5</v>
      </c>
      <c r="C67" s="2828">
        <v>0.2</v>
      </c>
      <c r="D67" s="2828">
        <v>0.2</v>
      </c>
      <c r="E67" s="2828">
        <v>0.2</v>
      </c>
      <c r="F67" s="2828">
        <v>0.2</v>
      </c>
      <c r="G67" s="2828">
        <v>0.1</v>
      </c>
    </row>
    <row r="68" spans="1:7" ht="19.5" customHeight="1">
      <c r="A68" s="2860" t="s">
        <v>2593</v>
      </c>
      <c r="B68" s="2828">
        <v>0.5</v>
      </c>
      <c r="C68" s="2828">
        <v>0.2</v>
      </c>
      <c r="D68" s="2828">
        <v>0.2</v>
      </c>
      <c r="E68" s="2828">
        <v>0.2</v>
      </c>
      <c r="F68" s="2828">
        <v>0.2</v>
      </c>
      <c r="G68" s="2828">
        <v>0.1</v>
      </c>
    </row>
    <row r="70" spans="1:7" ht="19.5" customHeight="1">
      <c r="A70" s="2842"/>
      <c r="B70" s="2861"/>
      <c r="C70" s="2861"/>
      <c r="D70" s="2861" t="s">
        <v>2630</v>
      </c>
      <c r="E70" s="2861"/>
      <c r="F70" s="2861"/>
    </row>
    <row r="71" spans="1:7" ht="19.5" customHeight="1">
      <c r="A71" s="2854" t="s">
        <v>2631</v>
      </c>
      <c r="B71" s="2854" t="s">
        <v>2632</v>
      </c>
      <c r="C71" s="2854" t="s">
        <v>2633</v>
      </c>
      <c r="D71" s="2854" t="s">
        <v>2634</v>
      </c>
      <c r="E71" s="2854" t="s">
        <v>2635</v>
      </c>
      <c r="F71" s="2854" t="s">
        <v>2636</v>
      </c>
    </row>
    <row r="72" spans="1:7" ht="13.5">
      <c r="A72" s="2854"/>
      <c r="B72" s="2854"/>
      <c r="C72" s="2854" t="s">
        <v>2637</v>
      </c>
      <c r="D72" s="2854"/>
      <c r="E72" s="2854" t="s">
        <v>2608</v>
      </c>
      <c r="F72" s="2854" t="s">
        <v>2608</v>
      </c>
    </row>
    <row r="73" spans="1:7" ht="13.5">
      <c r="A73" s="2854">
        <v>1</v>
      </c>
      <c r="B73" s="3518" t="s">
        <v>2638</v>
      </c>
      <c r="C73" s="2828" t="s">
        <v>2639</v>
      </c>
      <c r="D73" s="2828" t="s">
        <v>2640</v>
      </c>
      <c r="E73" s="2854">
        <v>0.2</v>
      </c>
      <c r="F73" s="2854">
        <v>25</v>
      </c>
    </row>
    <row r="74" spans="1:7" ht="24">
      <c r="A74" s="2854">
        <v>2</v>
      </c>
      <c r="B74" s="3520"/>
      <c r="C74" s="2828" t="s">
        <v>2641</v>
      </c>
      <c r="D74" s="2828" t="s">
        <v>2642</v>
      </c>
      <c r="E74" s="2854">
        <v>0.2</v>
      </c>
      <c r="F74" s="2854">
        <v>25</v>
      </c>
    </row>
    <row r="75" spans="1:7" ht="24">
      <c r="A75" s="2854">
        <v>3</v>
      </c>
      <c r="B75" s="3520"/>
      <c r="C75" s="2828" t="s">
        <v>2643</v>
      </c>
      <c r="D75" s="2828" t="s">
        <v>2644</v>
      </c>
      <c r="E75" s="2854">
        <v>0.2</v>
      </c>
      <c r="F75" s="2854">
        <v>25</v>
      </c>
    </row>
    <row r="76" spans="1:7" ht="13.5">
      <c r="A76" s="2854">
        <v>4</v>
      </c>
      <c r="B76" s="3520"/>
      <c r="C76" s="2828" t="s">
        <v>2645</v>
      </c>
      <c r="D76" s="2828" t="s">
        <v>2646</v>
      </c>
      <c r="E76" s="2854">
        <v>0.15</v>
      </c>
      <c r="F76" s="2854">
        <v>20</v>
      </c>
    </row>
    <row r="77" spans="1:7" ht="24">
      <c r="A77" s="2854">
        <v>5</v>
      </c>
      <c r="B77" s="3520"/>
      <c r="C77" s="2828" t="s">
        <v>2647</v>
      </c>
      <c r="D77" s="2828" t="s">
        <v>2648</v>
      </c>
      <c r="E77" s="2854">
        <v>0.15</v>
      </c>
      <c r="F77" s="2854">
        <v>20</v>
      </c>
    </row>
    <row r="78" spans="1:7" ht="24">
      <c r="A78" s="2854">
        <v>6</v>
      </c>
      <c r="B78" s="3520"/>
      <c r="C78" s="2828" t="s">
        <v>2649</v>
      </c>
      <c r="D78" s="2828" t="s">
        <v>2650</v>
      </c>
      <c r="E78" s="2854">
        <v>0.15</v>
      </c>
      <c r="F78" s="2854">
        <v>20</v>
      </c>
    </row>
    <row r="79" spans="1:7" ht="24">
      <c r="A79" s="2854">
        <v>7</v>
      </c>
      <c r="B79" s="3520"/>
      <c r="C79" s="2828" t="s">
        <v>2651</v>
      </c>
      <c r="D79" s="2828" t="s">
        <v>2652</v>
      </c>
      <c r="E79" s="2854">
        <v>0.15</v>
      </c>
      <c r="F79" s="2854">
        <v>20</v>
      </c>
    </row>
    <row r="80" spans="1:7" ht="24">
      <c r="A80" s="2854">
        <v>8</v>
      </c>
      <c r="B80" s="3520"/>
      <c r="C80" s="2828" t="s">
        <v>2653</v>
      </c>
      <c r="D80" s="2828" t="s">
        <v>2654</v>
      </c>
      <c r="E80" s="2854">
        <v>0.1</v>
      </c>
      <c r="F80" s="2854">
        <v>15</v>
      </c>
    </row>
    <row r="81" spans="1:6" ht="24">
      <c r="A81" s="2854">
        <v>9</v>
      </c>
      <c r="B81" s="3520"/>
      <c r="C81" s="2828" t="s">
        <v>2655</v>
      </c>
      <c r="D81" s="2828" t="s">
        <v>2656</v>
      </c>
      <c r="E81" s="2854">
        <v>0.1</v>
      </c>
      <c r="F81" s="2854">
        <v>15</v>
      </c>
    </row>
    <row r="82" spans="1:6" ht="24">
      <c r="A82" s="2854">
        <v>10</v>
      </c>
      <c r="B82" s="3520"/>
      <c r="C82" s="2828" t="s">
        <v>2657</v>
      </c>
      <c r="D82" s="2828" t="s">
        <v>2658</v>
      </c>
      <c r="E82" s="2854">
        <v>0.1</v>
      </c>
      <c r="F82" s="2854">
        <v>15</v>
      </c>
    </row>
    <row r="83" spans="1:6" ht="24">
      <c r="A83" s="2854">
        <v>11</v>
      </c>
      <c r="B83" s="3520"/>
      <c r="C83" s="2828" t="s">
        <v>2659</v>
      </c>
      <c r="D83" s="2828" t="s">
        <v>2660</v>
      </c>
      <c r="E83" s="2854">
        <v>0.1</v>
      </c>
      <c r="F83" s="2854">
        <v>15</v>
      </c>
    </row>
    <row r="84" spans="1:6" ht="24">
      <c r="A84" s="2854">
        <v>12</v>
      </c>
      <c r="B84" s="3520"/>
      <c r="C84" s="2828" t="s">
        <v>2661</v>
      </c>
      <c r="D84" s="2828" t="s">
        <v>2662</v>
      </c>
      <c r="E84" s="2854">
        <v>0.1</v>
      </c>
      <c r="F84" s="2854">
        <v>15</v>
      </c>
    </row>
    <row r="85" spans="1:6" ht="13.5">
      <c r="A85" s="2854">
        <v>13</v>
      </c>
      <c r="B85" s="3520"/>
      <c r="C85" s="2828" t="s">
        <v>2663</v>
      </c>
      <c r="D85" s="2828" t="s">
        <v>2664</v>
      </c>
      <c r="E85" s="2854">
        <v>0.1</v>
      </c>
      <c r="F85" s="2854">
        <v>15</v>
      </c>
    </row>
    <row r="86" spans="1:6" ht="13.5">
      <c r="A86" s="2854">
        <v>14</v>
      </c>
      <c r="B86" s="3520"/>
      <c r="C86" s="2828" t="s">
        <v>2665</v>
      </c>
      <c r="D86" s="2828" t="s">
        <v>2666</v>
      </c>
      <c r="E86" s="2854">
        <v>0.1</v>
      </c>
      <c r="F86" s="2854">
        <v>15</v>
      </c>
    </row>
    <row r="87" spans="1:6" ht="13.5">
      <c r="A87" s="2854">
        <v>15</v>
      </c>
      <c r="B87" s="3520"/>
      <c r="C87" s="2828" t="s">
        <v>2667</v>
      </c>
      <c r="D87" s="2828" t="s">
        <v>2668</v>
      </c>
      <c r="E87" s="2854">
        <v>0.1</v>
      </c>
      <c r="F87" s="2854">
        <v>15</v>
      </c>
    </row>
    <row r="88" spans="1:6" ht="24">
      <c r="A88" s="2854">
        <v>16</v>
      </c>
      <c r="B88" s="3520"/>
      <c r="C88" s="2828" t="s">
        <v>2669</v>
      </c>
      <c r="D88" s="2828" t="s">
        <v>2670</v>
      </c>
      <c r="E88" s="2854">
        <v>0.1</v>
      </c>
      <c r="F88" s="2854">
        <v>15</v>
      </c>
    </row>
    <row r="89" spans="1:6" ht="24">
      <c r="A89" s="2854">
        <v>17</v>
      </c>
      <c r="B89" s="3519"/>
      <c r="C89" s="2828" t="s">
        <v>2671</v>
      </c>
      <c r="D89" s="2828" t="s">
        <v>2672</v>
      </c>
      <c r="E89" s="2854">
        <v>0.1</v>
      </c>
      <c r="F89" s="2854">
        <v>15</v>
      </c>
    </row>
    <row r="90" spans="1:6" ht="13.5">
      <c r="A90" s="2854">
        <v>18</v>
      </c>
      <c r="B90" s="3518" t="s">
        <v>2673</v>
      </c>
      <c r="C90" s="2828" t="s">
        <v>2674</v>
      </c>
      <c r="D90" s="2828" t="s">
        <v>2675</v>
      </c>
      <c r="E90" s="2854">
        <v>0.2</v>
      </c>
      <c r="F90" s="2854">
        <v>25</v>
      </c>
    </row>
    <row r="91" spans="1:6" ht="24">
      <c r="A91" s="2854">
        <v>19</v>
      </c>
      <c r="B91" s="3520"/>
      <c r="C91" s="2828" t="s">
        <v>2676</v>
      </c>
      <c r="D91" s="2828" t="s">
        <v>2677</v>
      </c>
      <c r="E91" s="2854">
        <v>0.2</v>
      </c>
      <c r="F91" s="2854">
        <v>25</v>
      </c>
    </row>
    <row r="92" spans="1:6" ht="13.5">
      <c r="A92" s="2854">
        <v>20</v>
      </c>
      <c r="B92" s="3520"/>
      <c r="C92" s="2828" t="s">
        <v>2678</v>
      </c>
      <c r="D92" s="2828" t="s">
        <v>2679</v>
      </c>
      <c r="E92" s="2854">
        <v>0.15</v>
      </c>
      <c r="F92" s="2854">
        <v>20</v>
      </c>
    </row>
    <row r="93" spans="1:6" ht="13.5">
      <c r="A93" s="2854">
        <v>21</v>
      </c>
      <c r="B93" s="3520"/>
      <c r="C93" s="2828" t="s">
        <v>2680</v>
      </c>
      <c r="D93" s="2828" t="s">
        <v>2681</v>
      </c>
      <c r="E93" s="2854">
        <v>0.15</v>
      </c>
      <c r="F93" s="2854">
        <v>20</v>
      </c>
    </row>
    <row r="94" spans="1:6" ht="13.5">
      <c r="A94" s="2854">
        <v>22</v>
      </c>
      <c r="B94" s="3520"/>
      <c r="C94" s="2828" t="s">
        <v>2682</v>
      </c>
      <c r="D94" s="2828" t="s">
        <v>2683</v>
      </c>
      <c r="E94" s="2854">
        <v>0.15</v>
      </c>
      <c r="F94" s="2854">
        <v>20</v>
      </c>
    </row>
    <row r="95" spans="1:6" ht="36">
      <c r="A95" s="2854">
        <v>23</v>
      </c>
      <c r="B95" s="3520"/>
      <c r="C95" s="2828" t="s">
        <v>2684</v>
      </c>
      <c r="D95" s="2828" t="s">
        <v>2685</v>
      </c>
      <c r="E95" s="2854">
        <v>0.15</v>
      </c>
      <c r="F95" s="2854">
        <v>20</v>
      </c>
    </row>
    <row r="96" spans="1:6" ht="13.5">
      <c r="A96" s="2854">
        <v>24</v>
      </c>
      <c r="B96" s="3520"/>
      <c r="C96" s="2828" t="s">
        <v>2686</v>
      </c>
      <c r="D96" s="2828" t="s">
        <v>2687</v>
      </c>
      <c r="E96" s="2854">
        <v>0.1</v>
      </c>
      <c r="F96" s="2854">
        <v>15</v>
      </c>
    </row>
    <row r="97" spans="1:6" ht="13.5">
      <c r="A97" s="2854">
        <v>25</v>
      </c>
      <c r="B97" s="3520"/>
      <c r="C97" s="2828" t="s">
        <v>2688</v>
      </c>
      <c r="D97" s="2828" t="s">
        <v>2689</v>
      </c>
      <c r="E97" s="2854">
        <v>0.1</v>
      </c>
      <c r="F97" s="2854">
        <v>15</v>
      </c>
    </row>
    <row r="98" spans="1:6" ht="24">
      <c r="A98" s="2854">
        <v>26</v>
      </c>
      <c r="B98" s="3520"/>
      <c r="C98" s="2828" t="s">
        <v>2690</v>
      </c>
      <c r="D98" s="2828" t="s">
        <v>2691</v>
      </c>
      <c r="E98" s="2854">
        <v>0.1</v>
      </c>
      <c r="F98" s="2854">
        <v>15</v>
      </c>
    </row>
    <row r="99" spans="1:6" ht="24">
      <c r="A99" s="2854">
        <v>27</v>
      </c>
      <c r="B99" s="3520"/>
      <c r="C99" s="2828" t="s">
        <v>2692</v>
      </c>
      <c r="D99" s="2828" t="s">
        <v>2693</v>
      </c>
      <c r="E99" s="2854">
        <v>0.1</v>
      </c>
      <c r="F99" s="2854">
        <v>15</v>
      </c>
    </row>
    <row r="100" spans="1:6" ht="13.5">
      <c r="A100" s="2854">
        <v>28</v>
      </c>
      <c r="B100" s="3520"/>
      <c r="C100" s="2828" t="s">
        <v>2694</v>
      </c>
      <c r="D100" s="2828" t="s">
        <v>2695</v>
      </c>
      <c r="E100" s="2854">
        <v>0.1</v>
      </c>
      <c r="F100" s="2854">
        <v>15</v>
      </c>
    </row>
    <row r="101" spans="1:6" ht="13.5">
      <c r="A101" s="2854">
        <v>29</v>
      </c>
      <c r="B101" s="3520"/>
      <c r="C101" s="2828" t="s">
        <v>2696</v>
      </c>
      <c r="D101" s="2828" t="s">
        <v>2697</v>
      </c>
      <c r="E101" s="2854">
        <v>0.1</v>
      </c>
      <c r="F101" s="2854">
        <v>15</v>
      </c>
    </row>
    <row r="102" spans="1:6" ht="13.5">
      <c r="A102" s="2854">
        <v>30</v>
      </c>
      <c r="B102" s="3520"/>
      <c r="C102" s="2828" t="s">
        <v>2698</v>
      </c>
      <c r="D102" s="2828" t="s">
        <v>2699</v>
      </c>
      <c r="E102" s="2854">
        <v>0.1</v>
      </c>
      <c r="F102" s="2854">
        <v>15</v>
      </c>
    </row>
    <row r="103" spans="1:6" ht="24">
      <c r="A103" s="2854">
        <v>31</v>
      </c>
      <c r="B103" s="3520"/>
      <c r="C103" s="2828" t="s">
        <v>2700</v>
      </c>
      <c r="D103" s="2828" t="s">
        <v>2701</v>
      </c>
      <c r="E103" s="2854">
        <v>0.1</v>
      </c>
      <c r="F103" s="2854">
        <v>15</v>
      </c>
    </row>
    <row r="104" spans="1:6" ht="24">
      <c r="A104" s="2854">
        <v>32</v>
      </c>
      <c r="B104" s="3520"/>
      <c r="C104" s="2828" t="s">
        <v>2702</v>
      </c>
      <c r="D104" s="2828" t="s">
        <v>2703</v>
      </c>
      <c r="E104" s="2854">
        <v>0.1</v>
      </c>
      <c r="F104" s="2854">
        <v>15</v>
      </c>
    </row>
    <row r="105" spans="1:6" ht="24">
      <c r="A105" s="2854">
        <v>33</v>
      </c>
      <c r="B105" s="3520"/>
      <c r="C105" s="2828" t="s">
        <v>2704</v>
      </c>
      <c r="D105" s="2828" t="s">
        <v>2705</v>
      </c>
      <c r="E105" s="2854">
        <v>0.1</v>
      </c>
      <c r="F105" s="2854">
        <v>15</v>
      </c>
    </row>
    <row r="106" spans="1:6" ht="24">
      <c r="A106" s="2854">
        <v>34</v>
      </c>
      <c r="B106" s="3519"/>
      <c r="C106" s="2828" t="s">
        <v>2706</v>
      </c>
      <c r="D106" s="2828" t="s">
        <v>2707</v>
      </c>
      <c r="E106" s="2854">
        <v>0.1</v>
      </c>
      <c r="F106" s="2854">
        <v>15</v>
      </c>
    </row>
    <row r="107" spans="1:6" ht="24">
      <c r="A107" s="2854">
        <v>35</v>
      </c>
      <c r="B107" s="3518" t="s">
        <v>2708</v>
      </c>
      <c r="C107" s="2854" t="s">
        <v>2709</v>
      </c>
      <c r="D107" s="2828" t="s">
        <v>2710</v>
      </c>
      <c r="E107" s="2854">
        <v>0.15</v>
      </c>
      <c r="F107" s="2854">
        <v>20</v>
      </c>
    </row>
    <row r="108" spans="1:6" ht="13.5">
      <c r="A108" s="2854">
        <v>36</v>
      </c>
      <c r="B108" s="3520"/>
      <c r="C108" s="2854" t="s">
        <v>2711</v>
      </c>
      <c r="D108" s="2828" t="s">
        <v>2712</v>
      </c>
      <c r="E108" s="2854">
        <v>0.15</v>
      </c>
      <c r="F108" s="2854">
        <v>20</v>
      </c>
    </row>
    <row r="109" spans="1:6" ht="13.5">
      <c r="A109" s="2854">
        <v>37</v>
      </c>
      <c r="B109" s="3520"/>
      <c r="C109" s="2854" t="s">
        <v>2713</v>
      </c>
      <c r="D109" s="2828" t="s">
        <v>2714</v>
      </c>
      <c r="E109" s="2854">
        <v>0.15</v>
      </c>
      <c r="F109" s="2854">
        <v>20</v>
      </c>
    </row>
    <row r="110" spans="1:6" ht="13.5">
      <c r="A110" s="2854">
        <v>38</v>
      </c>
      <c r="B110" s="3520"/>
      <c r="C110" s="2854" t="s">
        <v>2715</v>
      </c>
      <c r="D110" s="2828" t="s">
        <v>2716</v>
      </c>
      <c r="E110" s="2854">
        <v>0.1</v>
      </c>
      <c r="F110" s="2854">
        <v>15</v>
      </c>
    </row>
    <row r="111" spans="1:6" ht="24">
      <c r="A111" s="2854">
        <v>39</v>
      </c>
      <c r="B111" s="3520"/>
      <c r="C111" s="2854" t="s">
        <v>2717</v>
      </c>
      <c r="D111" s="2828" t="s">
        <v>2718</v>
      </c>
      <c r="E111" s="2854">
        <v>0.1</v>
      </c>
      <c r="F111" s="2854">
        <v>15</v>
      </c>
    </row>
    <row r="112" spans="1:6" ht="24">
      <c r="A112" s="2854">
        <v>40</v>
      </c>
      <c r="B112" s="3519"/>
      <c r="C112" s="2854" t="s">
        <v>2719</v>
      </c>
      <c r="D112" s="2828" t="s">
        <v>2720</v>
      </c>
      <c r="E112" s="2854">
        <v>0.1</v>
      </c>
      <c r="F112" s="2854">
        <v>15</v>
      </c>
    </row>
    <row r="113" spans="1:6" ht="13.5">
      <c r="A113" s="2854">
        <v>41</v>
      </c>
      <c r="B113" s="3517" t="s">
        <v>2721</v>
      </c>
      <c r="C113" s="2854" t="s">
        <v>2722</v>
      </c>
      <c r="D113" s="2828" t="s">
        <v>2723</v>
      </c>
      <c r="E113" s="2854">
        <v>0.1</v>
      </c>
      <c r="F113" s="2854">
        <v>15</v>
      </c>
    </row>
    <row r="114" spans="1:6" ht="13.5">
      <c r="A114" s="2854">
        <v>42</v>
      </c>
      <c r="B114" s="3517"/>
      <c r="C114" s="2854" t="s">
        <v>2724</v>
      </c>
      <c r="D114" s="2828" t="s">
        <v>2725</v>
      </c>
      <c r="E114" s="2854">
        <v>0.1</v>
      </c>
      <c r="F114" s="2854">
        <v>15</v>
      </c>
    </row>
    <row r="115" spans="1:6" ht="24">
      <c r="A115" s="2854">
        <v>43</v>
      </c>
      <c r="B115" s="3517"/>
      <c r="C115" s="2854" t="s">
        <v>2726</v>
      </c>
      <c r="D115" s="2828" t="s">
        <v>2727</v>
      </c>
      <c r="E115" s="2854">
        <v>0.1</v>
      </c>
      <c r="F115" s="2854">
        <v>15</v>
      </c>
    </row>
    <row r="116" spans="1:6" ht="13.5">
      <c r="A116" s="2854">
        <v>44</v>
      </c>
      <c r="B116" s="3518" t="s">
        <v>2728</v>
      </c>
      <c r="C116" s="2854" t="s">
        <v>2729</v>
      </c>
      <c r="D116" s="2828" t="s">
        <v>2730</v>
      </c>
      <c r="E116" s="2854">
        <v>0.1</v>
      </c>
      <c r="F116" s="2854">
        <v>15</v>
      </c>
    </row>
    <row r="117" spans="1:6" ht="24">
      <c r="A117" s="2854">
        <v>45</v>
      </c>
      <c r="B117" s="3519"/>
      <c r="C117" s="2828" t="s">
        <v>2731</v>
      </c>
      <c r="D117" s="2828" t="s">
        <v>2732</v>
      </c>
      <c r="E117" s="2854">
        <v>0.1</v>
      </c>
      <c r="F117" s="2854">
        <v>15</v>
      </c>
    </row>
    <row r="118" spans="1:6" ht="24">
      <c r="A118" s="2854">
        <v>46</v>
      </c>
      <c r="B118" s="3518" t="s">
        <v>2733</v>
      </c>
      <c r="C118" s="2854" t="s">
        <v>2734</v>
      </c>
      <c r="D118" s="2828" t="s">
        <v>2735</v>
      </c>
      <c r="E118" s="2854">
        <v>0.1</v>
      </c>
      <c r="F118" s="2854">
        <v>15</v>
      </c>
    </row>
    <row r="119" spans="1:6" ht="24">
      <c r="A119" s="2854">
        <v>47</v>
      </c>
      <c r="B119" s="3519"/>
      <c r="C119" s="2854" t="s">
        <v>2736</v>
      </c>
      <c r="D119" s="2828" t="s">
        <v>2737</v>
      </c>
      <c r="E119" s="2854">
        <v>0.1</v>
      </c>
      <c r="F119" s="2854">
        <v>15</v>
      </c>
    </row>
    <row r="120" spans="1:6" ht="13.5">
      <c r="A120" s="2854">
        <v>48</v>
      </c>
      <c r="B120" s="3518" t="s">
        <v>2738</v>
      </c>
      <c r="C120" s="2854" t="s">
        <v>2739</v>
      </c>
      <c r="D120" s="2828" t="s">
        <v>2740</v>
      </c>
      <c r="E120" s="2854">
        <v>0.1</v>
      </c>
      <c r="F120" s="2854">
        <v>15</v>
      </c>
    </row>
    <row r="121" spans="1:6" ht="13.5">
      <c r="A121" s="2854">
        <v>49</v>
      </c>
      <c r="B121" s="3519"/>
      <c r="C121" s="2854" t="s">
        <v>2741</v>
      </c>
      <c r="D121" s="2828" t="s">
        <v>2742</v>
      </c>
      <c r="E121" s="2854">
        <v>0.1</v>
      </c>
      <c r="F121" s="2854">
        <v>15</v>
      </c>
    </row>
    <row r="122" spans="1:6" ht="24">
      <c r="A122" s="2854">
        <v>50</v>
      </c>
      <c r="B122" s="3517" t="s">
        <v>2743</v>
      </c>
      <c r="C122" s="2854" t="s">
        <v>2744</v>
      </c>
      <c r="D122" s="2828" t="s">
        <v>2745</v>
      </c>
      <c r="E122" s="2854">
        <v>0.1</v>
      </c>
      <c r="F122" s="2854">
        <v>15</v>
      </c>
    </row>
    <row r="123" spans="1:6" ht="24">
      <c r="A123" s="2854">
        <v>51</v>
      </c>
      <c r="B123" s="3517"/>
      <c r="C123" s="2854" t="s">
        <v>2746</v>
      </c>
      <c r="D123" s="2828" t="s">
        <v>2747</v>
      </c>
      <c r="E123" s="2854">
        <v>0.1</v>
      </c>
      <c r="F123" s="2854">
        <v>15</v>
      </c>
    </row>
    <row r="124" spans="1:6" ht="24">
      <c r="A124" s="2854">
        <v>52</v>
      </c>
      <c r="B124" s="3517" t="s">
        <v>2748</v>
      </c>
      <c r="C124" s="2854" t="s">
        <v>2749</v>
      </c>
      <c r="D124" s="2828" t="s">
        <v>2750</v>
      </c>
      <c r="E124" s="2854">
        <v>0.1</v>
      </c>
      <c r="F124" s="2854">
        <v>15</v>
      </c>
    </row>
    <row r="125" spans="1:6" ht="24">
      <c r="A125" s="2854">
        <v>53</v>
      </c>
      <c r="B125" s="3517"/>
      <c r="C125" s="2854" t="s">
        <v>2751</v>
      </c>
      <c r="D125" s="2828" t="s">
        <v>2752</v>
      </c>
      <c r="E125" s="2854">
        <v>0.1</v>
      </c>
      <c r="F125" s="2854">
        <v>15</v>
      </c>
    </row>
    <row r="126" spans="1:6" ht="13.5">
      <c r="A126" s="2854">
        <v>54</v>
      </c>
      <c r="B126" s="2854" t="s">
        <v>2753</v>
      </c>
      <c r="C126" s="2854" t="s">
        <v>2754</v>
      </c>
      <c r="D126" s="2828" t="s">
        <v>2755</v>
      </c>
      <c r="E126" s="2854">
        <v>0.1</v>
      </c>
      <c r="F126" s="2854">
        <v>15</v>
      </c>
    </row>
    <row r="127" spans="1:6" ht="13.5">
      <c r="A127" s="2854">
        <v>55</v>
      </c>
      <c r="B127" s="3517" t="s">
        <v>2756</v>
      </c>
      <c r="C127" s="2854" t="s">
        <v>2757</v>
      </c>
      <c r="D127" s="2828" t="s">
        <v>2758</v>
      </c>
      <c r="E127" s="2854">
        <v>0.1</v>
      </c>
      <c r="F127" s="2854">
        <v>15</v>
      </c>
    </row>
    <row r="128" spans="1:6" ht="13.5">
      <c r="A128" s="2854">
        <v>56</v>
      </c>
      <c r="B128" s="3517"/>
      <c r="C128" s="2854" t="s">
        <v>2759</v>
      </c>
      <c r="D128" s="2828" t="s">
        <v>2760</v>
      </c>
      <c r="E128" s="2854">
        <v>0.1</v>
      </c>
      <c r="F128" s="2854">
        <v>15</v>
      </c>
    </row>
    <row r="129" spans="1:6" ht="24">
      <c r="A129" s="2854">
        <v>57</v>
      </c>
      <c r="B129" s="3517"/>
      <c r="C129" s="2854" t="s">
        <v>2761</v>
      </c>
      <c r="D129" s="2828" t="s">
        <v>2762</v>
      </c>
      <c r="E129" s="2854">
        <v>0.1</v>
      </c>
      <c r="F129" s="2854">
        <v>15</v>
      </c>
    </row>
    <row r="130" spans="1:6" ht="24">
      <c r="A130" s="2854">
        <v>58</v>
      </c>
      <c r="B130" s="3517" t="s">
        <v>2763</v>
      </c>
      <c r="C130" s="2854" t="s">
        <v>2764</v>
      </c>
      <c r="D130" s="2828" t="s">
        <v>2765</v>
      </c>
      <c r="E130" s="2854">
        <v>0.1</v>
      </c>
      <c r="F130" s="2854">
        <v>15</v>
      </c>
    </row>
    <row r="131" spans="1:6" ht="13.5">
      <c r="A131" s="2854">
        <v>59</v>
      </c>
      <c r="B131" s="3517"/>
      <c r="C131" s="2854" t="s">
        <v>2766</v>
      </c>
      <c r="D131" s="2828" t="s">
        <v>2767</v>
      </c>
      <c r="E131" s="2854">
        <v>0.1</v>
      </c>
      <c r="F131" s="2854">
        <v>15</v>
      </c>
    </row>
    <row r="132" spans="1:6" ht="13.5">
      <c r="A132" s="2854">
        <v>60</v>
      </c>
      <c r="B132" s="3518" t="s">
        <v>2768</v>
      </c>
      <c r="C132" s="2854" t="s">
        <v>2769</v>
      </c>
      <c r="D132" s="2828" t="s">
        <v>2770</v>
      </c>
      <c r="E132" s="2854">
        <v>0.1</v>
      </c>
      <c r="F132" s="2854">
        <v>15</v>
      </c>
    </row>
    <row r="133" spans="1:6" ht="13.5">
      <c r="A133" s="2854">
        <v>61</v>
      </c>
      <c r="B133" s="3519"/>
      <c r="C133" s="2854" t="s">
        <v>2771</v>
      </c>
      <c r="D133" s="2828" t="s">
        <v>2772</v>
      </c>
      <c r="E133" s="2854">
        <v>0.1</v>
      </c>
      <c r="F133" s="2854">
        <v>15</v>
      </c>
    </row>
    <row r="134" spans="1:6" ht="24">
      <c r="A134" s="2854">
        <v>62</v>
      </c>
      <c r="B134" s="2854" t="s">
        <v>2773</v>
      </c>
      <c r="C134" s="2854" t="s">
        <v>2774</v>
      </c>
      <c r="D134" s="2828" t="s">
        <v>2775</v>
      </c>
      <c r="E134" s="2854">
        <v>0.1</v>
      </c>
      <c r="F134" s="2854">
        <v>15</v>
      </c>
    </row>
    <row r="135" spans="1:6" ht="13.5">
      <c r="A135" s="2854">
        <v>63</v>
      </c>
      <c r="B135" s="3517" t="s">
        <v>2776</v>
      </c>
      <c r="C135" s="2854" t="s">
        <v>2777</v>
      </c>
      <c r="D135" s="2828" t="s">
        <v>2778</v>
      </c>
      <c r="E135" s="2854">
        <v>0.1</v>
      </c>
      <c r="F135" s="2854">
        <v>15</v>
      </c>
    </row>
    <row r="136" spans="1:6" ht="13.5">
      <c r="A136" s="2854">
        <v>64</v>
      </c>
      <c r="B136" s="3517"/>
      <c r="C136" s="2854" t="s">
        <v>2779</v>
      </c>
      <c r="D136" s="2828" t="s">
        <v>2780</v>
      </c>
      <c r="E136" s="2854">
        <v>0.1</v>
      </c>
      <c r="F136" s="2854">
        <v>15</v>
      </c>
    </row>
    <row r="137" spans="1:6" ht="13.5">
      <c r="A137" s="2854">
        <v>65</v>
      </c>
      <c r="B137" s="2854" t="s">
        <v>2781</v>
      </c>
      <c r="C137" s="2854" t="s">
        <v>2782</v>
      </c>
      <c r="D137" s="2828" t="s">
        <v>2783</v>
      </c>
      <c r="E137" s="2854">
        <v>0.1</v>
      </c>
      <c r="F137" s="2854">
        <v>15</v>
      </c>
    </row>
    <row r="138" spans="1:6" ht="13.5">
      <c r="A138" s="2854"/>
      <c r="B138" s="2854"/>
      <c r="C138" s="2854"/>
      <c r="D138" s="2854"/>
      <c r="E138" s="2854" t="s">
        <v>2784</v>
      </c>
      <c r="F138" s="2854" t="s">
        <v>2784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2785</v>
      </c>
      <c r="B1" s="2862"/>
      <c r="C1" s="2862"/>
      <c r="D1" s="2862"/>
      <c r="E1" s="2862"/>
      <c r="F1" s="2862"/>
      <c r="G1" s="2862"/>
      <c r="H1" s="2862"/>
      <c r="I1" s="2862"/>
      <c r="J1" s="2862"/>
      <c r="K1" s="2862"/>
      <c r="L1" s="2862"/>
      <c r="M1" s="2862"/>
      <c r="N1" s="707"/>
    </row>
    <row r="2" spans="1:20">
      <c r="A2" s="2863" t="s">
        <v>2786</v>
      </c>
      <c r="B2" s="2864" t="s">
        <v>2582</v>
      </c>
      <c r="C2" s="2864" t="s">
        <v>2583</v>
      </c>
      <c r="D2" s="2864" t="s">
        <v>2584</v>
      </c>
      <c r="E2" s="2864" t="s">
        <v>2585</v>
      </c>
      <c r="F2" s="2864" t="s">
        <v>2586</v>
      </c>
      <c r="G2" s="2864" t="s">
        <v>2587</v>
      </c>
      <c r="H2" s="2865" t="s">
        <v>2588</v>
      </c>
      <c r="I2" s="2865" t="s">
        <v>2589</v>
      </c>
      <c r="J2" s="2866" t="s">
        <v>2590</v>
      </c>
      <c r="K2" s="2866" t="s">
        <v>2591</v>
      </c>
      <c r="L2" s="2866" t="s">
        <v>2592</v>
      </c>
      <c r="M2" s="2867" t="s">
        <v>2593</v>
      </c>
      <c r="Q2" s="2877" t="s">
        <v>2791</v>
      </c>
      <c r="R2" s="2877" t="s">
        <v>2792</v>
      </c>
      <c r="S2" s="2877" t="s">
        <v>2793</v>
      </c>
      <c r="T2" s="2877" t="s">
        <v>2794</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2787</v>
      </c>
      <c r="B93" s="2862"/>
      <c r="C93" s="2862"/>
      <c r="D93" s="2862"/>
      <c r="E93" s="2862"/>
      <c r="F93" s="2862"/>
      <c r="G93" s="2862"/>
      <c r="H93" s="2862"/>
      <c r="I93" s="2862"/>
      <c r="J93" s="2862"/>
      <c r="K93" s="2862"/>
      <c r="L93" s="2862"/>
      <c r="M93" s="2862"/>
    </row>
    <row r="94" spans="1:20">
      <c r="A94" s="2863" t="s">
        <v>2786</v>
      </c>
      <c r="B94" s="2864" t="s">
        <v>2582</v>
      </c>
      <c r="C94" s="2864" t="s">
        <v>2583</v>
      </c>
      <c r="D94" s="2864" t="s">
        <v>2584</v>
      </c>
      <c r="E94" s="2864" t="s">
        <v>2585</v>
      </c>
      <c r="F94" s="2864" t="s">
        <v>2586</v>
      </c>
      <c r="G94" s="2864" t="s">
        <v>2587</v>
      </c>
      <c r="H94" s="2865" t="s">
        <v>2588</v>
      </c>
      <c r="I94" s="2865" t="s">
        <v>2589</v>
      </c>
      <c r="J94" s="2866" t="s">
        <v>2590</v>
      </c>
      <c r="K94" s="2866" t="s">
        <v>2591</v>
      </c>
      <c r="L94" s="2866" t="s">
        <v>2592</v>
      </c>
      <c r="M94" s="2867" t="s">
        <v>2593</v>
      </c>
      <c r="N94">
        <f>SUMPRODUCT((A95:A184=ROUNDDOWN(基准地价修正!G3,1))*(B94:M94=基准地价修正!G2)*(B95:M184))</f>
        <v>1.2302</v>
      </c>
      <c r="Q94" s="2877" t="s">
        <v>2791</v>
      </c>
      <c r="R94" s="2877" t="s">
        <v>2792</v>
      </c>
      <c r="S94" s="2877" t="s">
        <v>2793</v>
      </c>
      <c r="T94" s="2877" t="s">
        <v>2794</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7"/>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7"/>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2788</v>
      </c>
      <c r="B185" s="2862"/>
      <c r="C185" s="2862"/>
      <c r="D185" s="2862"/>
      <c r="E185" s="2862"/>
      <c r="F185" s="2862"/>
      <c r="G185" s="2862"/>
      <c r="H185" s="2862"/>
      <c r="I185" s="2862"/>
      <c r="J185" s="2862"/>
      <c r="K185" s="2862"/>
      <c r="L185" s="2862"/>
      <c r="M185" s="2862"/>
    </row>
    <row r="186" spans="1:20">
      <c r="A186" s="2863" t="s">
        <v>2786</v>
      </c>
      <c r="B186" s="2864" t="s">
        <v>2582</v>
      </c>
      <c r="C186" s="2864" t="s">
        <v>2583</v>
      </c>
      <c r="D186" s="2864" t="s">
        <v>2584</v>
      </c>
      <c r="E186" s="2864" t="s">
        <v>2585</v>
      </c>
      <c r="F186" s="2864" t="s">
        <v>2586</v>
      </c>
      <c r="G186" s="2864" t="s">
        <v>2587</v>
      </c>
      <c r="H186" s="2865" t="s">
        <v>2588</v>
      </c>
      <c r="I186" s="2865" t="s">
        <v>2589</v>
      </c>
      <c r="J186" s="2866" t="s">
        <v>2590</v>
      </c>
      <c r="K186" s="2866" t="s">
        <v>2591</v>
      </c>
      <c r="L186" s="2866" t="s">
        <v>2592</v>
      </c>
      <c r="M186" s="2867" t="s">
        <v>2593</v>
      </c>
      <c r="Q186" s="2877" t="s">
        <v>2791</v>
      </c>
      <c r="R186" s="2877" t="s">
        <v>2792</v>
      </c>
      <c r="S186" s="2877" t="s">
        <v>2793</v>
      </c>
      <c r="T186" s="2877" t="s">
        <v>2794</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2789</v>
      </c>
      <c r="B277" s="2862"/>
      <c r="C277" s="2862"/>
      <c r="D277" s="2862"/>
      <c r="E277" s="2862"/>
      <c r="F277" s="2862"/>
      <c r="G277" s="2862"/>
      <c r="H277" s="2862"/>
      <c r="I277" s="2862"/>
      <c r="J277" s="2862"/>
      <c r="K277" s="2862"/>
      <c r="L277" s="2862"/>
      <c r="M277" s="2862"/>
    </row>
    <row r="278" spans="1:21">
      <c r="A278" s="2863" t="s">
        <v>2786</v>
      </c>
      <c r="B278" s="2864" t="s">
        <v>2582</v>
      </c>
      <c r="C278" s="2864" t="s">
        <v>2583</v>
      </c>
      <c r="D278" s="2864" t="s">
        <v>2584</v>
      </c>
      <c r="E278" s="2864" t="s">
        <v>2585</v>
      </c>
      <c r="F278" s="2864" t="s">
        <v>2586</v>
      </c>
      <c r="G278" s="2864" t="s">
        <v>2587</v>
      </c>
      <c r="H278" s="2865" t="s">
        <v>2588</v>
      </c>
      <c r="I278" s="2865" t="s">
        <v>2589</v>
      </c>
      <c r="J278" s="2866" t="s">
        <v>2590</v>
      </c>
      <c r="K278" s="2866" t="s">
        <v>2591</v>
      </c>
      <c r="L278" s="2866" t="s">
        <v>2592</v>
      </c>
      <c r="M278" s="2867" t="s">
        <v>2593</v>
      </c>
      <c r="Q278" s="2877" t="s">
        <v>2791</v>
      </c>
      <c r="R278" s="2877" t="s">
        <v>2792</v>
      </c>
      <c r="S278" s="2877" t="s">
        <v>2795</v>
      </c>
      <c r="T278" s="2877" t="s">
        <v>2796</v>
      </c>
      <c r="U278" s="2877" t="s">
        <v>2794</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2790</v>
      </c>
      <c r="B369" s="2875"/>
      <c r="C369" s="2875"/>
      <c r="D369" s="2875"/>
      <c r="E369" s="2875"/>
      <c r="F369" s="2875"/>
      <c r="G369" s="2875"/>
      <c r="H369" s="2875"/>
      <c r="I369" s="2875"/>
      <c r="J369" s="2875"/>
      <c r="K369" s="2875"/>
      <c r="L369" s="2875"/>
      <c r="M369" s="2875"/>
    </row>
    <row r="370" spans="1:20">
      <c r="A370" s="2863" t="s">
        <v>2786</v>
      </c>
      <c r="B370" s="2864" t="s">
        <v>2582</v>
      </c>
      <c r="C370" s="2864" t="s">
        <v>2583</v>
      </c>
      <c r="D370" s="2864" t="s">
        <v>2584</v>
      </c>
      <c r="E370" s="2864" t="s">
        <v>2585</v>
      </c>
      <c r="F370" s="2864" t="s">
        <v>2586</v>
      </c>
      <c r="G370" s="2864" t="s">
        <v>2587</v>
      </c>
      <c r="H370" s="2865" t="s">
        <v>2588</v>
      </c>
      <c r="I370" s="2865" t="s">
        <v>2589</v>
      </c>
      <c r="J370" s="2866" t="s">
        <v>2590</v>
      </c>
      <c r="K370" s="2866" t="s">
        <v>2591</v>
      </c>
      <c r="L370" s="2866" t="s">
        <v>2592</v>
      </c>
      <c r="M370" s="2867" t="s">
        <v>2593</v>
      </c>
      <c r="N370">
        <f>SUMPRODUCT((A371:A460=ROUNDDOWN(基准地价修正!G3,1))*(B370:M370=基准地价修正!G2)*(B371:M460))</f>
        <v>1.1198999999999999</v>
      </c>
      <c r="Q370" s="2877" t="s">
        <v>2791</v>
      </c>
      <c r="R370" s="2877" t="s">
        <v>2792</v>
      </c>
      <c r="S370" s="2877" t="s">
        <v>2793</v>
      </c>
      <c r="T370" s="2877" t="s">
        <v>2794</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31553</v>
      </c>
      <c r="C2" s="2" t="s">
        <v>106</v>
      </c>
      <c r="D2" s="191"/>
      <c r="E2" s="191"/>
      <c r="F2" s="191"/>
      <c r="G2" s="191"/>
    </row>
    <row r="3" spans="1:7" s="192" customFormat="1" ht="18" customHeight="1" thickBot="1">
      <c r="A3" s="195" t="s">
        <v>58</v>
      </c>
      <c r="B3" s="196">
        <f ca="1">ROUND(B2*10000/'数据-汇总表'!E3,0)</f>
        <v>255948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25</v>
      </c>
      <c r="D10" s="795">
        <f>'数据-汇总表'!E6</f>
        <v>1232.79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25</v>
      </c>
      <c r="D19" s="204">
        <f>'数据-汇总表'!E3</f>
        <v>1232.79</v>
      </c>
      <c r="E19" s="203">
        <f>'数据-取费表'!B31</f>
        <v>200</v>
      </c>
      <c r="F19" s="223"/>
      <c r="G19" s="1" t="s">
        <v>436</v>
      </c>
    </row>
    <row r="20" spans="1:7" s="206" customFormat="1" ht="13.5" customHeight="1">
      <c r="A20" s="731" t="s">
        <v>419</v>
      </c>
      <c r="B20" s="202" t="s">
        <v>77</v>
      </c>
      <c r="C20" s="224">
        <f>ROUND((C5+C19)*F20,0)</f>
        <v>619</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2243</v>
      </c>
      <c r="D22" s="227">
        <f ca="1">C26</f>
        <v>1.6000000000000001E-3</v>
      </c>
      <c r="E22" s="228" t="s">
        <v>99</v>
      </c>
      <c r="F22" s="229">
        <f ca="1">'数据-取费表'!B40</f>
        <v>3.4500000000000003E-2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2208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v>
      </c>
      <c r="D24" s="230"/>
      <c r="E24" s="230"/>
      <c r="F24" s="231"/>
      <c r="G24" s="232" t="s">
        <v>82</v>
      </c>
    </row>
    <row r="25" spans="1:7" s="206" customFormat="1" ht="24">
      <c r="A25" s="734" t="s">
        <v>348</v>
      </c>
      <c r="B25" s="207" t="s">
        <v>420</v>
      </c>
      <c r="C25" s="1042">
        <f ca="1">ROUND(IF('数据-取费表'!B22&lt;=1,C20*F22*'数据-取费表'!B23/2,C20*(POWER((1+F22),'数据-取费表'!B23/2)-1)),0)</f>
        <v>32</v>
      </c>
      <c r="D25" s="230"/>
      <c r="E25" s="233"/>
      <c r="F25" s="231"/>
      <c r="G25" s="234" t="s">
        <v>83</v>
      </c>
    </row>
    <row r="26" spans="1:7" s="206" customFormat="1">
      <c r="A26" s="734" t="s">
        <v>350</v>
      </c>
      <c r="B26" s="207" t="s">
        <v>422</v>
      </c>
      <c r="C26" s="230">
        <f ca="1">ROUND(IF('数据-取费表'!B22&lt;=1,F21*F22*'数据-取费表'!B23/2,F21*(POWER((1+F22),'数据-取费表'!B23/2)-1)),4)</f>
        <v>1.6000000000000001E-3</v>
      </c>
      <c r="D26" s="230"/>
      <c r="E26" s="233"/>
      <c r="F26" s="231"/>
      <c r="G26" s="235"/>
    </row>
    <row r="27" spans="1:7" s="206" customFormat="1" ht="24.75">
      <c r="A27" s="731" t="s">
        <v>342</v>
      </c>
      <c r="B27" s="236" t="s">
        <v>85</v>
      </c>
      <c r="C27" s="237">
        <f>C28</f>
        <v>3826</v>
      </c>
      <c r="D27" s="227">
        <f>C29</f>
        <v>5.4000000000000003E-3</v>
      </c>
      <c r="E27" s="228" t="s">
        <v>99</v>
      </c>
      <c r="F27" s="238">
        <f>'数据-取费表'!Q16</f>
        <v>0.18</v>
      </c>
      <c r="G27" s="239" t="s">
        <v>431</v>
      </c>
    </row>
    <row r="28" spans="1:7" s="206" customFormat="1" ht="13.5" customHeight="1">
      <c r="A28" s="734" t="s">
        <v>349</v>
      </c>
      <c r="B28" s="240" t="s">
        <v>424</v>
      </c>
      <c r="C28" s="241">
        <f>ROUND((C5+C19+C20)*F27*'数据-取费表'!B21/'数据-取费表'!B20,0)</f>
        <v>3826</v>
      </c>
      <c r="D28" s="227"/>
      <c r="E28" s="228"/>
      <c r="F28" s="238"/>
      <c r="G28" s="239"/>
    </row>
    <row r="29" spans="1:7" s="206" customFormat="1" ht="13.5" customHeight="1">
      <c r="A29" s="734" t="s">
        <v>347</v>
      </c>
      <c r="B29" s="240" t="s">
        <v>425</v>
      </c>
      <c r="C29" s="230">
        <f>ROUND(C21*F27*'数据-取费表'!B21/'数据-取费表'!B20,4)</f>
        <v>5.4000000000000003E-3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30005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1208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1110</v>
      </c>
      <c r="D34" s="209"/>
      <c r="E34" s="212"/>
      <c r="F34" s="249">
        <f>IF('数据-取费表'!B24=0,1,'数据-取费表'!N16)</f>
        <v>1</v>
      </c>
      <c r="G34" s="211" t="s">
        <v>89</v>
      </c>
    </row>
    <row r="35" spans="1:7" ht="13.5" customHeight="1">
      <c r="A35" s="734" t="s">
        <v>351</v>
      </c>
      <c r="B35" s="207" t="s">
        <v>33</v>
      </c>
      <c r="C35" s="212">
        <f>ROUND(C34*F35,0)</f>
        <v>56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25</v>
      </c>
      <c r="D37" s="209">
        <f>'数据-汇总表'!E3</f>
        <v>1232.79</v>
      </c>
      <c r="E37" s="241">
        <f>'数据-取费表'!B35</f>
        <v>200</v>
      </c>
      <c r="F37" s="251"/>
      <c r="G37" s="253" t="s">
        <v>92</v>
      </c>
    </row>
    <row r="38" spans="1:7" ht="13.5" customHeight="1">
      <c r="A38" s="734" t="s">
        <v>354</v>
      </c>
      <c r="B38" s="207" t="s">
        <v>36</v>
      </c>
      <c r="C38" s="212">
        <f>ROUND(C34*F38,0)</f>
        <v>17</v>
      </c>
      <c r="D38" s="212"/>
      <c r="E38" s="212"/>
      <c r="F38" s="251">
        <f>'数据-取费表'!B36</f>
        <v>1.4999999999999999E-2</v>
      </c>
      <c r="G38" s="211" t="s">
        <v>90</v>
      </c>
    </row>
    <row r="39" spans="1:7" s="206" customFormat="1" ht="13.5" customHeight="1">
      <c r="A39" s="731" t="s">
        <v>338</v>
      </c>
      <c r="B39" s="202" t="s">
        <v>77</v>
      </c>
      <c r="C39" s="224">
        <f>ROUND(C33*F20,0)</f>
        <v>36</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65</v>
      </c>
      <c r="D41" s="227">
        <f ca="1">C44</f>
        <v>1.6000000000000001E-3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63</v>
      </c>
      <c r="D42" s="230"/>
      <c r="E42" s="230"/>
      <c r="F42" s="231"/>
      <c r="G42" s="3392" t="s">
        <v>94</v>
      </c>
    </row>
    <row r="43" spans="1:7" ht="13.5" customHeight="1">
      <c r="A43" s="734" t="s">
        <v>347</v>
      </c>
      <c r="B43" s="207" t="s">
        <v>426</v>
      </c>
      <c r="C43" s="230">
        <f ca="1">ROUND(IF('数据-取费表'!B22&lt;=1,C39*F22*'数据-取费表'!B21/2,C39*(POWER((1+F22),'数据-取费表'!B21/2)-1)),0)</f>
        <v>2</v>
      </c>
      <c r="D43" s="230"/>
      <c r="E43" s="230"/>
      <c r="F43" s="231"/>
      <c r="G43" s="3393"/>
    </row>
    <row r="44" spans="1:7" ht="13.5" customHeight="1">
      <c r="A44" s="734" t="s">
        <v>348</v>
      </c>
      <c r="B44" s="207" t="s">
        <v>428</v>
      </c>
      <c r="C44" s="230">
        <f ca="1">ROUND(IF('数据-取费表'!B22&lt;=1,C40*F22*'数据-取费表'!B21/2,C40*(POWER((1+F22),'数据-取费表'!B21/2)-1)),4)</f>
        <v>1.6000000000000001E-3</v>
      </c>
      <c r="D44" s="230"/>
      <c r="E44" s="230"/>
      <c r="F44" s="231"/>
      <c r="G44" s="3394"/>
    </row>
    <row r="45" spans="1:7" s="206" customFormat="1" ht="13.5" customHeight="1">
      <c r="A45" s="731" t="s">
        <v>341</v>
      </c>
      <c r="B45" s="236" t="s">
        <v>85</v>
      </c>
      <c r="C45" s="237">
        <f>C46</f>
        <v>224</v>
      </c>
      <c r="D45" s="227">
        <f>C47</f>
        <v>5.4000000000000003E-3</v>
      </c>
      <c r="E45" s="228" t="s">
        <v>102</v>
      </c>
      <c r="F45" s="238"/>
      <c r="G45" s="239" t="s">
        <v>434</v>
      </c>
    </row>
    <row r="46" spans="1:7" s="206" customFormat="1" ht="13.5" customHeight="1">
      <c r="A46" s="734" t="s">
        <v>349</v>
      </c>
      <c r="B46" s="240" t="s">
        <v>427</v>
      </c>
      <c r="C46" s="241">
        <f>ROUND((C33+C39)*F27,0)</f>
        <v>224</v>
      </c>
      <c r="D46" s="255"/>
      <c r="E46" s="228"/>
      <c r="F46" s="238"/>
      <c r="G46" s="239"/>
    </row>
    <row r="47" spans="1:7" s="206" customFormat="1" ht="13.5" customHeight="1">
      <c r="A47" s="734" t="s">
        <v>347</v>
      </c>
      <c r="B47" s="240" t="s">
        <v>429</v>
      </c>
      <c r="C47" s="230">
        <f>ROUND(C40*F27,4)</f>
        <v>5.4000000000000003E-3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1683</v>
      </c>
      <c r="D49" s="224"/>
      <c r="E49" s="224"/>
      <c r="F49" s="256"/>
      <c r="G49" s="226" t="s">
        <v>435</v>
      </c>
    </row>
    <row r="50" spans="1:7" s="250" customFormat="1" ht="24">
      <c r="A50" s="731" t="s">
        <v>344</v>
      </c>
      <c r="B50" s="202" t="s">
        <v>97</v>
      </c>
      <c r="C50" s="224"/>
      <c r="D50" s="224"/>
      <c r="E50" s="224"/>
      <c r="F50" s="256">
        <f>IF('数据-取费表'!B24=0,'数据-取费表'!N16,1)</f>
        <v>0.92</v>
      </c>
      <c r="G50" s="239" t="s">
        <v>98</v>
      </c>
    </row>
    <row r="51" spans="1:7" ht="16.5" customHeight="1">
      <c r="A51" s="731" t="s">
        <v>345</v>
      </c>
      <c r="B51" s="202" t="s">
        <v>105</v>
      </c>
      <c r="C51" s="224">
        <f ca="1">ROUND(C49*F50,0)</f>
        <v>1548</v>
      </c>
      <c r="D51" s="224"/>
      <c r="E51" s="224"/>
      <c r="F51" s="256"/>
      <c r="G51" s="226" t="s">
        <v>37</v>
      </c>
    </row>
    <row r="52" spans="1:7" s="200" customFormat="1" ht="16.5" thickBot="1">
      <c r="A52" s="257" t="s">
        <v>38</v>
      </c>
      <c r="B52" s="258"/>
      <c r="C52" s="259">
        <f ca="1">C31+C51</f>
        <v>31553</v>
      </c>
      <c r="D52" s="258"/>
      <c r="E52" s="258"/>
      <c r="F52" s="258"/>
      <c r="G52" s="260"/>
    </row>
    <row r="55" spans="1:7" ht="15">
      <c r="B55" s="262" t="s">
        <v>39</v>
      </c>
      <c r="C55" s="263"/>
    </row>
    <row r="56" spans="1:7">
      <c r="B56" s="265" t="s">
        <v>40</v>
      </c>
      <c r="C56" s="266">
        <f ca="1">ROUND(C51/C52,3)</f>
        <v>4.9000000000000002E-2</v>
      </c>
    </row>
    <row r="57" spans="1:7">
      <c r="B57" s="265" t="s">
        <v>41</v>
      </c>
      <c r="C57" s="267">
        <f ca="1">1-C56</f>
        <v>0.95099999999999996</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531" t="s">
        <v>2826</v>
      </c>
      <c r="B1" s="3531"/>
      <c r="C1" s="3531"/>
      <c r="D1" s="3531"/>
      <c r="E1" s="3531"/>
      <c r="F1" s="3531"/>
      <c r="G1" s="3532"/>
      <c r="I1" s="2935" t="s">
        <v>2827</v>
      </c>
      <c r="J1" s="2936" t="s">
        <v>2828</v>
      </c>
      <c r="K1" s="2936" t="s">
        <v>2829</v>
      </c>
      <c r="L1" s="2936" t="s">
        <v>2830</v>
      </c>
      <c r="M1" s="2936" t="s">
        <v>2831</v>
      </c>
      <c r="N1" s="2936" t="s">
        <v>2832</v>
      </c>
      <c r="O1" s="2936" t="s">
        <v>2833</v>
      </c>
      <c r="P1" s="2936" t="s">
        <v>2834</v>
      </c>
      <c r="Q1" s="2936" t="s">
        <v>2835</v>
      </c>
      <c r="R1" s="2936" t="s">
        <v>2836</v>
      </c>
      <c r="S1" s="2936" t="s">
        <v>2837</v>
      </c>
      <c r="T1" s="2937" t="s">
        <v>2838</v>
      </c>
    </row>
    <row r="2" spans="1:20" ht="12" thickBot="1">
      <c r="A2" s="2938" t="s">
        <v>2839</v>
      </c>
      <c r="B2" s="2938"/>
      <c r="C2" s="2938"/>
      <c r="D2" s="2938"/>
      <c r="E2" s="2938"/>
      <c r="F2" s="2938"/>
      <c r="G2" s="2939" t="s">
        <v>2840</v>
      </c>
      <c r="I2" s="2940" t="s">
        <v>2841</v>
      </c>
      <c r="J2" s="2940" t="s">
        <v>2842</v>
      </c>
      <c r="K2" s="2940" t="s">
        <v>2843</v>
      </c>
      <c r="L2" s="2940" t="s">
        <v>2844</v>
      </c>
      <c r="M2" s="2940" t="s">
        <v>2845</v>
      </c>
      <c r="N2" s="2940" t="s">
        <v>2846</v>
      </c>
      <c r="O2" s="2940" t="s">
        <v>2847</v>
      </c>
      <c r="P2" s="2940" t="s">
        <v>2848</v>
      </c>
      <c r="Q2" s="2940" t="s">
        <v>2849</v>
      </c>
      <c r="R2" s="2940" t="s">
        <v>2850</v>
      </c>
      <c r="S2" s="2940" t="s">
        <v>2851</v>
      </c>
      <c r="T2" s="2940" t="s">
        <v>2852</v>
      </c>
    </row>
    <row r="3" spans="1:20" s="2946" customFormat="1">
      <c r="A3" s="3529" t="s">
        <v>2853</v>
      </c>
      <c r="B3" s="2941"/>
      <c r="C3" s="2942" t="s">
        <v>2798</v>
      </c>
      <c r="D3" s="2942" t="s">
        <v>2854</v>
      </c>
      <c r="E3" s="2942" t="s">
        <v>2800</v>
      </c>
      <c r="F3" s="2942" t="s">
        <v>2855</v>
      </c>
      <c r="G3" s="2942" t="s">
        <v>2618</v>
      </c>
      <c r="H3" s="2943"/>
      <c r="I3" s="2944" t="s">
        <v>2856</v>
      </c>
      <c r="J3" s="2945" t="s">
        <v>128</v>
      </c>
      <c r="K3" s="2945" t="s">
        <v>129</v>
      </c>
      <c r="L3" s="2944" t="s">
        <v>130</v>
      </c>
      <c r="M3" s="2944" t="s">
        <v>131</v>
      </c>
      <c r="N3" s="2944" t="s">
        <v>132</v>
      </c>
      <c r="O3" s="2944" t="s">
        <v>133</v>
      </c>
      <c r="P3" s="2944" t="s">
        <v>134</v>
      </c>
      <c r="Q3" s="2944" t="s">
        <v>135</v>
      </c>
      <c r="R3" s="2944" t="s">
        <v>136</v>
      </c>
      <c r="S3" s="2944" t="s">
        <v>2857</v>
      </c>
      <c r="T3" s="2944" t="s">
        <v>2858</v>
      </c>
    </row>
    <row r="4" spans="1:20" s="2946" customFormat="1" ht="12" thickBot="1">
      <c r="A4" s="3530"/>
      <c r="B4" s="2947" t="s">
        <v>2859</v>
      </c>
      <c r="C4" s="2947" t="s">
        <v>2860</v>
      </c>
      <c r="D4" s="2947" t="s">
        <v>2860</v>
      </c>
      <c r="E4" s="2947" t="s">
        <v>2860</v>
      </c>
      <c r="F4" s="2948" t="s">
        <v>2860</v>
      </c>
      <c r="G4" s="2948" t="s">
        <v>2860</v>
      </c>
      <c r="H4" s="2943"/>
      <c r="I4" s="2945" t="s">
        <v>137</v>
      </c>
      <c r="J4" s="2945" t="s">
        <v>111</v>
      </c>
      <c r="K4" s="2945" t="s">
        <v>138</v>
      </c>
      <c r="L4" s="2944" t="s">
        <v>139</v>
      </c>
      <c r="M4" s="2944" t="s">
        <v>140</v>
      </c>
      <c r="N4" s="2944" t="s">
        <v>141</v>
      </c>
      <c r="O4" s="2944" t="s">
        <v>142</v>
      </c>
      <c r="P4" s="2944" t="s">
        <v>143</v>
      </c>
      <c r="Q4" s="2944" t="s">
        <v>2861</v>
      </c>
      <c r="R4" s="2944" t="s">
        <v>2862</v>
      </c>
      <c r="S4" s="2944" t="s">
        <v>2863</v>
      </c>
      <c r="T4" s="2944" t="s">
        <v>2864</v>
      </c>
    </row>
    <row r="5" spans="1:20">
      <c r="A5" s="2949" t="s">
        <v>2827</v>
      </c>
      <c r="B5" s="2940" t="s">
        <v>2841</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2865</v>
      </c>
      <c r="R5" s="2944" t="s">
        <v>2866</v>
      </c>
      <c r="S5" s="2944" t="s">
        <v>153</v>
      </c>
      <c r="T5" s="2944" t="s">
        <v>2867</v>
      </c>
    </row>
    <row r="6" spans="1:20" ht="12" thickBot="1">
      <c r="A6" s="2944" t="s">
        <v>144</v>
      </c>
      <c r="B6" s="2944" t="s">
        <v>2856</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2868</v>
      </c>
      <c r="Q6" s="2944" t="s">
        <v>2869</v>
      </c>
      <c r="R6" s="2944" t="s">
        <v>161</v>
      </c>
      <c r="S6" s="2944" t="s">
        <v>2870</v>
      </c>
      <c r="T6" s="2944" t="s">
        <v>2871</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2872</v>
      </c>
      <c r="Q7" s="2944" t="s">
        <v>2873</v>
      </c>
      <c r="R7" s="2944" t="s">
        <v>2874</v>
      </c>
      <c r="S7" s="2944" t="s">
        <v>2875</v>
      </c>
      <c r="T7" s="2944" t="s">
        <v>2876</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2877</v>
      </c>
      <c r="Q8" s="2944" t="s">
        <v>174</v>
      </c>
      <c r="R8" s="2944" t="s">
        <v>2878</v>
      </c>
      <c r="S8" s="2944" t="s">
        <v>2879</v>
      </c>
      <c r="T8" s="2951" t="s">
        <v>2880</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2881</v>
      </c>
      <c r="Q9" s="2944" t="s">
        <v>182</v>
      </c>
      <c r="R9" s="2944" t="s">
        <v>183</v>
      </c>
      <c r="S9" s="2944" t="s">
        <v>200</v>
      </c>
    </row>
    <row r="10" spans="1:20">
      <c r="A10" s="2949" t="s">
        <v>184</v>
      </c>
      <c r="B10" s="2940" t="s">
        <v>2842</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2882</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2883</v>
      </c>
      <c r="P11" s="2944" t="s">
        <v>191</v>
      </c>
      <c r="Q11" s="2944" t="s">
        <v>199</v>
      </c>
      <c r="R11" s="2944" t="s">
        <v>2884</v>
      </c>
      <c r="S11" s="2944" t="s">
        <v>2885</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2886</v>
      </c>
      <c r="P12" s="2944" t="s">
        <v>2887</v>
      </c>
      <c r="Q12" s="2944" t="s">
        <v>2888</v>
      </c>
      <c r="R12" s="2944" t="s">
        <v>2889</v>
      </c>
      <c r="S12" s="2944" t="s">
        <v>2890</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2891</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2892</v>
      </c>
      <c r="K14" s="2945" t="s">
        <v>215</v>
      </c>
      <c r="L14" s="2944" t="s">
        <v>216</v>
      </c>
      <c r="M14" s="2944" t="s">
        <v>217</v>
      </c>
      <c r="N14" s="2944" t="s">
        <v>218</v>
      </c>
      <c r="O14" s="2944" t="s">
        <v>240</v>
      </c>
      <c r="P14" s="2944" t="s">
        <v>213</v>
      </c>
      <c r="Q14" s="2944" t="s">
        <v>2893</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2894</v>
      </c>
      <c r="P15" s="2944" t="s">
        <v>2895</v>
      </c>
      <c r="Q15" s="2944" t="s">
        <v>242</v>
      </c>
      <c r="R15" s="2944" t="s">
        <v>2896</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2897</v>
      </c>
      <c r="P16" s="2944" t="s">
        <v>227</v>
      </c>
      <c r="Q16" s="2944" t="s">
        <v>250</v>
      </c>
      <c r="R16" s="2944" t="s">
        <v>207</v>
      </c>
      <c r="S16" s="2944" t="s">
        <v>2898</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2899</v>
      </c>
      <c r="P17" s="2944" t="s">
        <v>2900</v>
      </c>
      <c r="Q17" s="2944" t="s">
        <v>256</v>
      </c>
      <c r="R17" s="2944" t="s">
        <v>2901</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2902</v>
      </c>
      <c r="P18" s="2944" t="s">
        <v>241</v>
      </c>
      <c r="Q18" s="2944" t="s">
        <v>2903</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2904</v>
      </c>
      <c r="P19" s="2944" t="s">
        <v>249</v>
      </c>
      <c r="Q19" s="2944" t="s">
        <v>2905</v>
      </c>
      <c r="R19" s="2944" t="s">
        <v>265</v>
      </c>
      <c r="S19" s="2944" t="s">
        <v>2906</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2907</v>
      </c>
      <c r="P20" s="2944" t="s">
        <v>2908</v>
      </c>
      <c r="Q20" s="2944" t="s">
        <v>290</v>
      </c>
      <c r="R20" s="2944" t="s">
        <v>2909</v>
      </c>
      <c r="S20" s="2944" t="s">
        <v>277</v>
      </c>
    </row>
    <row r="21" spans="1:19" ht="14.25" customHeight="1" thickBot="1">
      <c r="A21" s="2944" t="s">
        <v>184</v>
      </c>
      <c r="B21" s="2945" t="s">
        <v>208</v>
      </c>
      <c r="C21" s="2944">
        <v>32370</v>
      </c>
      <c r="D21" s="2944">
        <v>26730</v>
      </c>
      <c r="E21" s="2944">
        <v>26640</v>
      </c>
      <c r="F21" s="2944"/>
      <c r="G21" s="2944">
        <v>19440</v>
      </c>
      <c r="J21" s="2951" t="s">
        <v>2910</v>
      </c>
      <c r="K21" s="2945" t="s">
        <v>267</v>
      </c>
      <c r="L21" s="2944" t="s">
        <v>268</v>
      </c>
      <c r="M21" s="2944" t="s">
        <v>269</v>
      </c>
      <c r="N21" s="2944" t="s">
        <v>270</v>
      </c>
      <c r="O21" s="2944" t="s">
        <v>264</v>
      </c>
      <c r="P21" s="2944" t="s">
        <v>283</v>
      </c>
      <c r="Q21" s="2944" t="s">
        <v>293</v>
      </c>
      <c r="R21" s="2944" t="s">
        <v>2911</v>
      </c>
      <c r="S21" s="2951" t="s">
        <v>2912</v>
      </c>
    </row>
    <row r="22" spans="1:19" ht="14.25" customHeight="1">
      <c r="A22" s="2944" t="s">
        <v>184</v>
      </c>
      <c r="B22" s="2945" t="s">
        <v>2892</v>
      </c>
      <c r="C22" s="2944">
        <v>29830</v>
      </c>
      <c r="D22" s="2944">
        <v>27600</v>
      </c>
      <c r="E22" s="2944">
        <v>28150</v>
      </c>
      <c r="F22" s="2944"/>
      <c r="G22" s="2944">
        <v>20080</v>
      </c>
      <c r="K22" s="2945" t="s">
        <v>2913</v>
      </c>
      <c r="L22" s="2944" t="s">
        <v>272</v>
      </c>
      <c r="M22" s="2944" t="s">
        <v>273</v>
      </c>
      <c r="N22" s="2944" t="s">
        <v>274</v>
      </c>
      <c r="O22" s="2944" t="s">
        <v>2914</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2915</v>
      </c>
      <c r="L23" s="2944" t="s">
        <v>278</v>
      </c>
      <c r="M23" s="2944" t="s">
        <v>279</v>
      </c>
      <c r="N23" s="2944" t="s">
        <v>2916</v>
      </c>
      <c r="O23" s="2944" t="s">
        <v>2917</v>
      </c>
      <c r="P23" s="2944" t="s">
        <v>289</v>
      </c>
      <c r="Q23" s="2944" t="s">
        <v>298</v>
      </c>
      <c r="R23" s="2944" t="s">
        <v>2918</v>
      </c>
    </row>
    <row r="24" spans="1:19" ht="14.25" customHeight="1">
      <c r="A24" s="2944" t="s">
        <v>184</v>
      </c>
      <c r="B24" s="2945" t="s">
        <v>230</v>
      </c>
      <c r="C24" s="2944">
        <v>27930</v>
      </c>
      <c r="D24" s="2944">
        <v>32260</v>
      </c>
      <c r="E24" s="2944">
        <v>32120</v>
      </c>
      <c r="F24" s="2944"/>
      <c r="G24" s="2944">
        <v>23470</v>
      </c>
      <c r="K24" s="2945" t="s">
        <v>2919</v>
      </c>
      <c r="L24" s="2944" t="s">
        <v>281</v>
      </c>
      <c r="M24" s="2944" t="s">
        <v>282</v>
      </c>
      <c r="N24" s="2944" t="s">
        <v>2920</v>
      </c>
      <c r="O24" s="2944" t="s">
        <v>285</v>
      </c>
      <c r="P24" s="2944" t="s">
        <v>2921</v>
      </c>
      <c r="Q24" s="2953" t="s">
        <v>2922</v>
      </c>
      <c r="R24" s="2944" t="s">
        <v>2923</v>
      </c>
    </row>
    <row r="25" spans="1:19" ht="14.25" customHeight="1">
      <c r="A25" s="2944" t="s">
        <v>184</v>
      </c>
      <c r="B25" s="2945" t="s">
        <v>235</v>
      </c>
      <c r="C25" s="2944">
        <v>32230</v>
      </c>
      <c r="D25" s="2944">
        <v>29640</v>
      </c>
      <c r="E25" s="2944">
        <v>29510</v>
      </c>
      <c r="F25" s="2944"/>
      <c r="G25" s="2944">
        <v>21560</v>
      </c>
      <c r="K25" s="2945" t="s">
        <v>2924</v>
      </c>
      <c r="L25" s="2944" t="s">
        <v>2925</v>
      </c>
      <c r="M25" s="2944" t="s">
        <v>284</v>
      </c>
      <c r="N25" s="2944" t="s">
        <v>292</v>
      </c>
      <c r="O25" s="2944" t="s">
        <v>288</v>
      </c>
      <c r="P25" s="2944" t="s">
        <v>275</v>
      </c>
      <c r="Q25" s="2953" t="s">
        <v>271</v>
      </c>
      <c r="R25" s="2944" t="s">
        <v>2926</v>
      </c>
    </row>
    <row r="26" spans="1:19" ht="14.25" customHeight="1" thickBot="1">
      <c r="A26" s="2944" t="s">
        <v>184</v>
      </c>
      <c r="B26" s="2945" t="s">
        <v>244</v>
      </c>
      <c r="C26" s="2944">
        <v>31690</v>
      </c>
      <c r="D26" s="2944">
        <v>27650</v>
      </c>
      <c r="E26" s="2944">
        <v>28200</v>
      </c>
      <c r="F26" s="2944"/>
      <c r="G26" s="2944">
        <v>20110</v>
      </c>
      <c r="K26" s="2950" t="s">
        <v>2927</v>
      </c>
      <c r="L26" s="2944" t="s">
        <v>2928</v>
      </c>
      <c r="M26" s="2944" t="s">
        <v>287</v>
      </c>
      <c r="N26" s="2944" t="s">
        <v>294</v>
      </c>
      <c r="O26" s="2944" t="s">
        <v>2929</v>
      </c>
      <c r="P26" s="2944" t="s">
        <v>2930</v>
      </c>
      <c r="Q26" s="2953" t="s">
        <v>276</v>
      </c>
      <c r="R26" s="2944" t="s">
        <v>2931</v>
      </c>
    </row>
    <row r="27" spans="1:19" ht="14.25" customHeight="1">
      <c r="A27" s="2944" t="s">
        <v>184</v>
      </c>
      <c r="B27" s="2945" t="s">
        <v>251</v>
      </c>
      <c r="C27" s="2944">
        <v>29610</v>
      </c>
      <c r="D27" s="2944">
        <v>27770</v>
      </c>
      <c r="E27" s="2944">
        <v>28300</v>
      </c>
      <c r="F27" s="2944"/>
      <c r="G27" s="2944">
        <v>20210</v>
      </c>
      <c r="L27" s="2944" t="s">
        <v>2932</v>
      </c>
      <c r="M27" s="2944" t="s">
        <v>291</v>
      </c>
      <c r="N27" s="2944" t="s">
        <v>297</v>
      </c>
      <c r="O27" s="2944" t="s">
        <v>2933</v>
      </c>
      <c r="P27" s="2944" t="s">
        <v>2934</v>
      </c>
      <c r="Q27" s="2944" t="s">
        <v>2935</v>
      </c>
      <c r="R27" s="2944" t="s">
        <v>2936</v>
      </c>
    </row>
    <row r="28" spans="1:19" ht="14.25" customHeight="1">
      <c r="A28" s="2944" t="s">
        <v>184</v>
      </c>
      <c r="B28" s="2945" t="s">
        <v>259</v>
      </c>
      <c r="C28" s="2944"/>
      <c r="D28" s="2944">
        <v>31520</v>
      </c>
      <c r="E28" s="2944">
        <v>31410</v>
      </c>
      <c r="F28" s="2944"/>
      <c r="G28" s="2944">
        <v>22940</v>
      </c>
      <c r="L28" s="2944" t="s">
        <v>2937</v>
      </c>
      <c r="M28" s="2944" t="s">
        <v>2938</v>
      </c>
      <c r="N28" s="2944" t="s">
        <v>2939</v>
      </c>
      <c r="O28" s="2944" t="s">
        <v>2940</v>
      </c>
      <c r="P28" s="2944" t="s">
        <v>2941</v>
      </c>
      <c r="Q28" s="2944" t="s">
        <v>2942</v>
      </c>
      <c r="R28" s="2944" t="s">
        <v>2943</v>
      </c>
    </row>
    <row r="29" spans="1:19" ht="14.25" customHeight="1" thickBot="1">
      <c r="A29" s="2952" t="s">
        <v>184</v>
      </c>
      <c r="B29" s="2954" t="s">
        <v>2910</v>
      </c>
      <c r="C29" s="2955"/>
      <c r="D29" s="2955">
        <v>29460</v>
      </c>
      <c r="E29" s="2955">
        <v>28640</v>
      </c>
      <c r="F29" s="2955"/>
      <c r="G29" s="2955">
        <v>21430</v>
      </c>
      <c r="L29" s="2944" t="s">
        <v>2944</v>
      </c>
      <c r="M29" s="2944" t="s">
        <v>2945</v>
      </c>
      <c r="N29" s="2944" t="s">
        <v>2946</v>
      </c>
      <c r="O29" s="2944" t="s">
        <v>2947</v>
      </c>
      <c r="P29" s="2944" t="s">
        <v>2948</v>
      </c>
      <c r="Q29" s="2944" t="s">
        <v>2949</v>
      </c>
      <c r="R29" s="2944" t="s">
        <v>280</v>
      </c>
    </row>
    <row r="30" spans="1:19" ht="14.25" customHeight="1">
      <c r="A30" s="2949" t="s">
        <v>296</v>
      </c>
      <c r="B30" s="2940" t="s">
        <v>2843</v>
      </c>
      <c r="C30" s="2940">
        <v>26890</v>
      </c>
      <c r="D30" s="2940">
        <v>26770</v>
      </c>
      <c r="E30" s="2940">
        <v>25700</v>
      </c>
      <c r="F30" s="2940">
        <v>8180</v>
      </c>
      <c r="G30" s="2956">
        <v>18740</v>
      </c>
      <c r="L30" s="2944" t="s">
        <v>2950</v>
      </c>
      <c r="M30" s="2944" t="s">
        <v>2951</v>
      </c>
      <c r="N30" s="2944" t="s">
        <v>2952</v>
      </c>
      <c r="O30" s="2944" t="s">
        <v>2953</v>
      </c>
      <c r="P30" s="2944" t="s">
        <v>2954</v>
      </c>
      <c r="Q30" s="2944" t="s">
        <v>2955</v>
      </c>
      <c r="R30" s="2944" t="s">
        <v>2956</v>
      </c>
    </row>
    <row r="31" spans="1:19" ht="14.25" customHeight="1">
      <c r="A31" s="2944" t="s">
        <v>296</v>
      </c>
      <c r="B31" s="2945" t="s">
        <v>129</v>
      </c>
      <c r="C31" s="2944">
        <v>24550</v>
      </c>
      <c r="D31" s="2944">
        <v>23990</v>
      </c>
      <c r="E31" s="2944">
        <v>22930</v>
      </c>
      <c r="F31" s="2944">
        <v>7470</v>
      </c>
      <c r="G31" s="2957">
        <v>16790</v>
      </c>
      <c r="L31" s="2944" t="s">
        <v>2957</v>
      </c>
      <c r="M31" s="2944" t="s">
        <v>2958</v>
      </c>
      <c r="N31" s="2944" t="s">
        <v>2959</v>
      </c>
      <c r="O31" s="2944" t="s">
        <v>2960</v>
      </c>
      <c r="P31" s="2944" t="s">
        <v>2961</v>
      </c>
      <c r="Q31" s="2944" t="s">
        <v>2962</v>
      </c>
      <c r="R31" s="2944" t="s">
        <v>2963</v>
      </c>
    </row>
    <row r="32" spans="1:19" ht="14.25" customHeight="1" thickBot="1">
      <c r="A32" s="2944" t="s">
        <v>296</v>
      </c>
      <c r="B32" s="2945" t="s">
        <v>138</v>
      </c>
      <c r="C32" s="2944">
        <v>27210</v>
      </c>
      <c r="D32" s="2944">
        <v>23240</v>
      </c>
      <c r="E32" s="2944">
        <v>23260</v>
      </c>
      <c r="F32" s="2944">
        <v>7130</v>
      </c>
      <c r="G32" s="2957">
        <v>16270</v>
      </c>
      <c r="L32" s="2944" t="s">
        <v>2964</v>
      </c>
      <c r="M32" s="2944" t="s">
        <v>2965</v>
      </c>
      <c r="N32" s="2944" t="s">
        <v>300</v>
      </c>
      <c r="O32" s="2944" t="s">
        <v>2966</v>
      </c>
      <c r="P32" s="2944" t="s">
        <v>299</v>
      </c>
      <c r="Q32" s="2944" t="s">
        <v>2967</v>
      </c>
      <c r="R32" s="2951" t="s">
        <v>2968</v>
      </c>
    </row>
    <row r="33" spans="1:17" ht="14.25" customHeight="1" thickBot="1">
      <c r="A33" s="2944" t="s">
        <v>296</v>
      </c>
      <c r="B33" s="2945" t="s">
        <v>147</v>
      </c>
      <c r="C33" s="2944">
        <v>27300</v>
      </c>
      <c r="D33" s="2944">
        <v>22980</v>
      </c>
      <c r="E33" s="2944">
        <v>24260</v>
      </c>
      <c r="F33" s="2944">
        <v>5860</v>
      </c>
      <c r="G33" s="2957">
        <v>16090</v>
      </c>
      <c r="L33" s="2951" t="s">
        <v>2969</v>
      </c>
      <c r="M33" s="2944" t="s">
        <v>2970</v>
      </c>
      <c r="N33" s="2944" t="s">
        <v>301</v>
      </c>
      <c r="O33" s="2944" t="s">
        <v>2971</v>
      </c>
      <c r="P33" s="2944" t="s">
        <v>2972</v>
      </c>
      <c r="Q33" s="2944" t="s">
        <v>2973</v>
      </c>
    </row>
    <row r="34" spans="1:17" ht="14.25" customHeight="1">
      <c r="A34" s="2944" t="s">
        <v>296</v>
      </c>
      <c r="B34" s="2945" t="s">
        <v>156</v>
      </c>
      <c r="C34" s="2944">
        <v>23090</v>
      </c>
      <c r="D34" s="2944">
        <v>23390</v>
      </c>
      <c r="E34" s="2944">
        <v>23510</v>
      </c>
      <c r="F34" s="2944">
        <v>6700</v>
      </c>
      <c r="G34" s="2957">
        <v>16370</v>
      </c>
      <c r="M34" s="2944" t="s">
        <v>2974</v>
      </c>
      <c r="N34" s="2944" t="s">
        <v>302</v>
      </c>
      <c r="O34" s="2944" t="s">
        <v>2975</v>
      </c>
      <c r="P34" s="2944" t="s">
        <v>2976</v>
      </c>
      <c r="Q34" s="2944" t="s">
        <v>2977</v>
      </c>
    </row>
    <row r="35" spans="1:17" ht="14.25" customHeight="1">
      <c r="A35" s="2944" t="s">
        <v>296</v>
      </c>
      <c r="B35" s="2945" t="s">
        <v>163</v>
      </c>
      <c r="C35" s="2944">
        <v>27270</v>
      </c>
      <c r="D35" s="2944">
        <v>24270</v>
      </c>
      <c r="E35" s="2944">
        <v>24950</v>
      </c>
      <c r="F35" s="2944">
        <v>6600</v>
      </c>
      <c r="G35" s="2957">
        <v>16990</v>
      </c>
      <c r="M35" s="2944" t="s">
        <v>2978</v>
      </c>
      <c r="N35" s="2944" t="s">
        <v>2979</v>
      </c>
      <c r="O35" s="2944" t="s">
        <v>2980</v>
      </c>
      <c r="P35" s="2944" t="s">
        <v>2981</v>
      </c>
      <c r="Q35" s="2944" t="s">
        <v>2982</v>
      </c>
    </row>
    <row r="36" spans="1:17" ht="14.25" customHeight="1">
      <c r="A36" s="2944" t="s">
        <v>296</v>
      </c>
      <c r="B36" s="2945" t="s">
        <v>169</v>
      </c>
      <c r="C36" s="2944">
        <v>23490</v>
      </c>
      <c r="D36" s="2944">
        <v>23020</v>
      </c>
      <c r="E36" s="2944">
        <v>25230</v>
      </c>
      <c r="F36" s="2944">
        <v>6780</v>
      </c>
      <c r="G36" s="2957">
        <v>16120</v>
      </c>
      <c r="M36" s="2944" t="s">
        <v>2983</v>
      </c>
      <c r="N36" s="2944" t="s">
        <v>2984</v>
      </c>
      <c r="O36" s="2944" t="s">
        <v>2985</v>
      </c>
      <c r="P36" s="2944" t="s">
        <v>2986</v>
      </c>
      <c r="Q36" s="2944" t="s">
        <v>2987</v>
      </c>
    </row>
    <row r="37" spans="1:17" ht="14.25" customHeight="1">
      <c r="A37" s="2944" t="s">
        <v>296</v>
      </c>
      <c r="B37" s="2945" t="s">
        <v>176</v>
      </c>
      <c r="C37" s="2944">
        <v>24380</v>
      </c>
      <c r="D37" s="2944">
        <v>22240</v>
      </c>
      <c r="E37" s="2944">
        <v>25980</v>
      </c>
      <c r="F37" s="2944">
        <v>8160</v>
      </c>
      <c r="G37" s="2957">
        <v>15570</v>
      </c>
      <c r="M37" s="2944" t="s">
        <v>2988</v>
      </c>
      <c r="N37" s="2944" t="s">
        <v>2989</v>
      </c>
      <c r="O37" s="2944" t="s">
        <v>2990</v>
      </c>
      <c r="P37" s="2944" t="s">
        <v>2991</v>
      </c>
      <c r="Q37" s="2944" t="s">
        <v>2992</v>
      </c>
    </row>
    <row r="38" spans="1:17" ht="14.25" customHeight="1">
      <c r="A38" s="2944" t="s">
        <v>296</v>
      </c>
      <c r="B38" s="2945" t="s">
        <v>186</v>
      </c>
      <c r="C38" s="2944">
        <v>23120</v>
      </c>
      <c r="D38" s="2944">
        <v>24630</v>
      </c>
      <c r="E38" s="2944">
        <v>25030</v>
      </c>
      <c r="F38" s="2944">
        <v>7710</v>
      </c>
      <c r="G38" s="2957">
        <v>17240</v>
      </c>
      <c r="M38" s="2944" t="s">
        <v>2993</v>
      </c>
      <c r="N38" s="2944" t="s">
        <v>2994</v>
      </c>
      <c r="O38" s="2944" t="s">
        <v>2995</v>
      </c>
      <c r="P38" s="2944" t="s">
        <v>2996</v>
      </c>
      <c r="Q38" s="2944" t="s">
        <v>2997</v>
      </c>
    </row>
    <row r="39" spans="1:17" ht="14.25" customHeight="1">
      <c r="A39" s="2944" t="s">
        <v>296</v>
      </c>
      <c r="B39" s="2945" t="s">
        <v>195</v>
      </c>
      <c r="C39" s="2944">
        <v>22330</v>
      </c>
      <c r="D39" s="2944">
        <v>21140</v>
      </c>
      <c r="E39" s="2944">
        <v>23970</v>
      </c>
      <c r="F39" s="2944">
        <v>7940</v>
      </c>
      <c r="G39" s="2957">
        <v>14790</v>
      </c>
      <c r="M39" s="2944" t="s">
        <v>2998</v>
      </c>
      <c r="N39" s="2944" t="s">
        <v>2999</v>
      </c>
      <c r="O39" s="2944" t="s">
        <v>3000</v>
      </c>
      <c r="P39" s="2944" t="s">
        <v>3001</v>
      </c>
      <c r="Q39" s="2944" t="s">
        <v>3002</v>
      </c>
    </row>
    <row r="40" spans="1:17" ht="14.25" customHeight="1">
      <c r="A40" s="2944" t="s">
        <v>296</v>
      </c>
      <c r="B40" s="2945" t="s">
        <v>202</v>
      </c>
      <c r="C40" s="2944">
        <v>24740</v>
      </c>
      <c r="D40" s="2944">
        <v>24690</v>
      </c>
      <c r="E40" s="2944">
        <v>22610</v>
      </c>
      <c r="F40" s="2944"/>
      <c r="G40" s="2957">
        <v>17280</v>
      </c>
      <c r="M40" s="2944" t="s">
        <v>3003</v>
      </c>
      <c r="N40" s="2944" t="s">
        <v>3004</v>
      </c>
      <c r="O40" s="2944" t="s">
        <v>3005</v>
      </c>
      <c r="P40" s="2944" t="s">
        <v>3006</v>
      </c>
      <c r="Q40" s="2944" t="s">
        <v>3007</v>
      </c>
    </row>
    <row r="41" spans="1:17" ht="14.25" customHeight="1" thickBot="1">
      <c r="A41" s="2944" t="s">
        <v>296</v>
      </c>
      <c r="B41" s="2945" t="s">
        <v>209</v>
      </c>
      <c r="C41" s="2944">
        <v>21220</v>
      </c>
      <c r="D41" s="2944">
        <v>21120</v>
      </c>
      <c r="E41" s="2944">
        <v>22590</v>
      </c>
      <c r="F41" s="2944"/>
      <c r="G41" s="2957">
        <v>14780</v>
      </c>
      <c r="M41" s="2951" t="s">
        <v>3008</v>
      </c>
      <c r="N41" s="2944" t="s">
        <v>3009</v>
      </c>
      <c r="O41" s="2944" t="s">
        <v>3010</v>
      </c>
      <c r="P41" s="2944" t="s">
        <v>3011</v>
      </c>
      <c r="Q41" s="2944" t="s">
        <v>3012</v>
      </c>
    </row>
    <row r="42" spans="1:17" ht="14.25" customHeight="1">
      <c r="A42" s="2944" t="s">
        <v>296</v>
      </c>
      <c r="B42" s="2945" t="s">
        <v>215</v>
      </c>
      <c r="C42" s="2944">
        <v>24800</v>
      </c>
      <c r="D42" s="2944">
        <v>22280</v>
      </c>
      <c r="E42" s="2944">
        <v>24350</v>
      </c>
      <c r="F42" s="2944"/>
      <c r="G42" s="2957">
        <v>15590</v>
      </c>
      <c r="N42" s="2944" t="s">
        <v>3013</v>
      </c>
      <c r="O42" s="2944" t="s">
        <v>3014</v>
      </c>
      <c r="P42" s="2944" t="s">
        <v>3015</v>
      </c>
      <c r="Q42" s="2944" t="s">
        <v>3016</v>
      </c>
    </row>
    <row r="43" spans="1:17" ht="14.25" customHeight="1">
      <c r="A43" s="2944" t="s">
        <v>3017</v>
      </c>
      <c r="B43" s="2945" t="s">
        <v>223</v>
      </c>
      <c r="C43" s="2944">
        <v>21210</v>
      </c>
      <c r="D43" s="2944">
        <v>21160</v>
      </c>
      <c r="E43" s="2944">
        <v>22650</v>
      </c>
      <c r="F43" s="2944"/>
      <c r="G43" s="2957">
        <v>14800</v>
      </c>
      <c r="N43" s="2944" t="s">
        <v>3018</v>
      </c>
      <c r="O43" s="2944" t="s">
        <v>3019</v>
      </c>
      <c r="P43" s="2944" t="s">
        <v>3020</v>
      </c>
      <c r="Q43" s="2944" t="s">
        <v>3021</v>
      </c>
    </row>
    <row r="44" spans="1:17" ht="14.25" customHeight="1" thickBot="1">
      <c r="A44" s="2944" t="s">
        <v>296</v>
      </c>
      <c r="B44" s="2945" t="s">
        <v>231</v>
      </c>
      <c r="C44" s="2944">
        <v>22370</v>
      </c>
      <c r="D44" s="2944">
        <v>23140</v>
      </c>
      <c r="E44" s="2944">
        <v>25090</v>
      </c>
      <c r="F44" s="2944"/>
      <c r="G44" s="2957">
        <v>16190</v>
      </c>
      <c r="N44" s="2944" t="s">
        <v>3022</v>
      </c>
      <c r="O44" s="2944" t="s">
        <v>3023</v>
      </c>
      <c r="P44" s="2951" t="s">
        <v>3024</v>
      </c>
      <c r="Q44" s="2944" t="s">
        <v>3025</v>
      </c>
    </row>
    <row r="45" spans="1:17" ht="14.25" customHeight="1" thickBot="1">
      <c r="A45" s="2944" t="s">
        <v>296</v>
      </c>
      <c r="B45" s="2945" t="s">
        <v>236</v>
      </c>
      <c r="C45" s="2944">
        <v>21240</v>
      </c>
      <c r="D45" s="2944">
        <v>27050</v>
      </c>
      <c r="E45" s="2944">
        <v>28000</v>
      </c>
      <c r="F45" s="2944"/>
      <c r="G45" s="2957">
        <v>18940</v>
      </c>
      <c r="N45" s="2944" t="s">
        <v>3026</v>
      </c>
      <c r="O45" s="2951" t="s">
        <v>3027</v>
      </c>
      <c r="Q45" s="2944" t="s">
        <v>3028</v>
      </c>
    </row>
    <row r="46" spans="1:17" ht="14.25" customHeight="1">
      <c r="A46" s="2944" t="s">
        <v>296</v>
      </c>
      <c r="B46" s="2945" t="s">
        <v>245</v>
      </c>
      <c r="C46" s="2944">
        <v>23240</v>
      </c>
      <c r="D46" s="2944">
        <v>23000</v>
      </c>
      <c r="E46" s="2944">
        <v>24980</v>
      </c>
      <c r="F46" s="2944"/>
      <c r="G46" s="2957">
        <v>16100</v>
      </c>
      <c r="N46" s="2944" t="s">
        <v>3029</v>
      </c>
      <c r="Q46" s="2944" t="s">
        <v>3030</v>
      </c>
    </row>
    <row r="47" spans="1:17" ht="14.25" customHeight="1">
      <c r="A47" s="2944" t="s">
        <v>296</v>
      </c>
      <c r="B47" s="2945" t="s">
        <v>252</v>
      </c>
      <c r="C47" s="2944">
        <v>27150</v>
      </c>
      <c r="D47" s="2944">
        <v>23310</v>
      </c>
      <c r="E47" s="2944">
        <v>25150</v>
      </c>
      <c r="F47" s="2944"/>
      <c r="G47" s="2957">
        <v>16310</v>
      </c>
      <c r="N47" s="2944" t="s">
        <v>3031</v>
      </c>
      <c r="Q47" s="2944" t="s">
        <v>3032</v>
      </c>
    </row>
    <row r="48" spans="1:17" ht="14.25" customHeight="1">
      <c r="A48" s="2944" t="s">
        <v>296</v>
      </c>
      <c r="B48" s="2945" t="s">
        <v>260</v>
      </c>
      <c r="C48" s="2944">
        <v>23100</v>
      </c>
      <c r="D48" s="2944">
        <v>21110</v>
      </c>
      <c r="E48" s="2944">
        <v>23080</v>
      </c>
      <c r="F48" s="2944"/>
      <c r="G48" s="2957">
        <v>14780</v>
      </c>
      <c r="N48" s="2944" t="s">
        <v>3033</v>
      </c>
      <c r="Q48" s="2944" t="s">
        <v>3034</v>
      </c>
    </row>
    <row r="49" spans="1:17" ht="14.25" customHeight="1">
      <c r="A49" s="2944" t="s">
        <v>296</v>
      </c>
      <c r="B49" s="2945" t="s">
        <v>267</v>
      </c>
      <c r="C49" s="2944">
        <v>23400</v>
      </c>
      <c r="D49" s="2944">
        <v>22920</v>
      </c>
      <c r="E49" s="2944">
        <v>24900</v>
      </c>
      <c r="F49" s="2944"/>
      <c r="G49" s="2957">
        <v>16040</v>
      </c>
      <c r="N49" s="2944" t="s">
        <v>3035</v>
      </c>
      <c r="Q49" s="2944" t="s">
        <v>3036</v>
      </c>
    </row>
    <row r="50" spans="1:17" ht="14.25" customHeight="1">
      <c r="A50" s="2944" t="s">
        <v>296</v>
      </c>
      <c r="B50" s="2945" t="s">
        <v>2913</v>
      </c>
      <c r="C50" s="2944">
        <v>21200</v>
      </c>
      <c r="D50" s="2944">
        <v>26540</v>
      </c>
      <c r="E50" s="2944">
        <v>23200</v>
      </c>
      <c r="F50" s="2944"/>
      <c r="G50" s="2957">
        <v>18580</v>
      </c>
      <c r="N50" s="2944" t="s">
        <v>3037</v>
      </c>
      <c r="Q50" s="2945" t="s">
        <v>3038</v>
      </c>
    </row>
    <row r="51" spans="1:17" ht="14.25" customHeight="1" thickBot="1">
      <c r="A51" s="2944" t="s">
        <v>296</v>
      </c>
      <c r="B51" s="2945" t="s">
        <v>2915</v>
      </c>
      <c r="C51" s="2944">
        <v>23000</v>
      </c>
      <c r="D51" s="2944">
        <v>23460</v>
      </c>
      <c r="E51" s="2944">
        <v>25290</v>
      </c>
      <c r="F51" s="2944"/>
      <c r="G51" s="2957">
        <v>16420</v>
      </c>
      <c r="N51" s="2944" t="s">
        <v>3039</v>
      </c>
      <c r="Q51" s="2951" t="s">
        <v>3040</v>
      </c>
    </row>
    <row r="52" spans="1:17" ht="14.25" customHeight="1">
      <c r="A52" s="2944" t="s">
        <v>296</v>
      </c>
      <c r="B52" s="2945" t="s">
        <v>2919</v>
      </c>
      <c r="C52" s="2944">
        <v>26660</v>
      </c>
      <c r="D52" s="2944">
        <v>22350</v>
      </c>
      <c r="E52" s="2944">
        <v>22920</v>
      </c>
      <c r="F52" s="2944"/>
      <c r="G52" s="2957">
        <v>15640</v>
      </c>
      <c r="N52" s="2944" t="s">
        <v>3041</v>
      </c>
    </row>
    <row r="53" spans="1:17" ht="14.25" customHeight="1">
      <c r="A53" s="2944" t="s">
        <v>296</v>
      </c>
      <c r="B53" s="2945" t="s">
        <v>2924</v>
      </c>
      <c r="C53" s="2944">
        <v>23580</v>
      </c>
      <c r="D53" s="2944"/>
      <c r="E53" s="2944">
        <v>24280</v>
      </c>
      <c r="F53" s="2944"/>
      <c r="G53" s="2957"/>
      <c r="N53" s="2944" t="s">
        <v>3042</v>
      </c>
    </row>
    <row r="54" spans="1:17" ht="14.25" customHeight="1" thickBot="1">
      <c r="A54" s="2958" t="s">
        <v>296</v>
      </c>
      <c r="B54" s="2950" t="s">
        <v>2927</v>
      </c>
      <c r="C54" s="2951">
        <v>22460</v>
      </c>
      <c r="D54" s="2951"/>
      <c r="E54" s="2951"/>
      <c r="F54" s="2951"/>
      <c r="G54" s="2959"/>
      <c r="N54" s="2944" t="s">
        <v>3043</v>
      </c>
    </row>
    <row r="55" spans="1:17" ht="14.25" customHeight="1">
      <c r="A55" s="2949" t="s">
        <v>110</v>
      </c>
      <c r="B55" s="2940" t="s">
        <v>3044</v>
      </c>
      <c r="C55" s="2944">
        <v>21970</v>
      </c>
      <c r="D55" s="2944">
        <v>20370</v>
      </c>
      <c r="E55" s="2944">
        <v>20180</v>
      </c>
      <c r="F55" s="2944">
        <v>5730</v>
      </c>
      <c r="G55" s="2944">
        <v>13820</v>
      </c>
      <c r="N55" s="2944" t="s">
        <v>3045</v>
      </c>
    </row>
    <row r="56" spans="1:17" ht="14.25" customHeight="1">
      <c r="A56" s="2944" t="s">
        <v>110</v>
      </c>
      <c r="B56" s="2944" t="s">
        <v>130</v>
      </c>
      <c r="C56" s="2944">
        <v>20470</v>
      </c>
      <c r="D56" s="2944">
        <v>20700</v>
      </c>
      <c r="E56" s="2944">
        <v>20380</v>
      </c>
      <c r="F56" s="2944">
        <v>4760</v>
      </c>
      <c r="G56" s="2944">
        <v>14050</v>
      </c>
      <c r="N56" s="2944" t="s">
        <v>3046</v>
      </c>
    </row>
    <row r="57" spans="1:17" ht="14.25" customHeight="1">
      <c r="A57" s="2944" t="s">
        <v>110</v>
      </c>
      <c r="B57" s="2944" t="s">
        <v>139</v>
      </c>
      <c r="C57" s="2944">
        <v>20790</v>
      </c>
      <c r="D57" s="2944">
        <v>21370</v>
      </c>
      <c r="E57" s="2944">
        <v>20890</v>
      </c>
      <c r="F57" s="2944">
        <v>4910</v>
      </c>
      <c r="G57" s="2944">
        <v>14510</v>
      </c>
      <c r="N57" s="2944" t="s">
        <v>3047</v>
      </c>
    </row>
    <row r="58" spans="1:17" ht="14.25" customHeight="1">
      <c r="A58" s="2944" t="s">
        <v>110</v>
      </c>
      <c r="B58" s="2944" t="s">
        <v>148</v>
      </c>
      <c r="C58" s="2944">
        <v>21460</v>
      </c>
      <c r="D58" s="2944">
        <v>20920</v>
      </c>
      <c r="E58" s="2944">
        <v>23410</v>
      </c>
      <c r="F58" s="2944">
        <v>5100</v>
      </c>
      <c r="G58" s="2944">
        <v>14200</v>
      </c>
      <c r="N58" s="2944" t="s">
        <v>3048</v>
      </c>
    </row>
    <row r="59" spans="1:17" ht="14.25" customHeight="1">
      <c r="A59" s="2944" t="s">
        <v>110</v>
      </c>
      <c r="B59" s="2944" t="s">
        <v>157</v>
      </c>
      <c r="C59" s="2944">
        <v>21000</v>
      </c>
      <c r="D59" s="2944">
        <v>21550</v>
      </c>
      <c r="E59" s="2944">
        <v>21150</v>
      </c>
      <c r="F59" s="2944">
        <v>5250</v>
      </c>
      <c r="G59" s="2944">
        <v>14630</v>
      </c>
      <c r="N59" s="2944" t="s">
        <v>3049</v>
      </c>
    </row>
    <row r="60" spans="1:17" ht="14.25" customHeight="1">
      <c r="A60" s="2944" t="s">
        <v>110</v>
      </c>
      <c r="B60" s="2944" t="s">
        <v>164</v>
      </c>
      <c r="C60" s="2944">
        <v>21640</v>
      </c>
      <c r="D60" s="2944">
        <v>21260</v>
      </c>
      <c r="E60" s="2944">
        <v>24040</v>
      </c>
      <c r="F60" s="2944">
        <v>4470</v>
      </c>
      <c r="G60" s="2944">
        <v>14430</v>
      </c>
      <c r="N60" s="2944" t="s">
        <v>3050</v>
      </c>
    </row>
    <row r="61" spans="1:17" ht="14.25" customHeight="1">
      <c r="A61" s="2944" t="s">
        <v>110</v>
      </c>
      <c r="B61" s="2944" t="s">
        <v>170</v>
      </c>
      <c r="C61" s="2944">
        <v>21330</v>
      </c>
      <c r="D61" s="2944">
        <v>18640</v>
      </c>
      <c r="E61" s="2944">
        <v>21190</v>
      </c>
      <c r="F61" s="2944">
        <v>4180</v>
      </c>
      <c r="G61" s="2944">
        <v>12650</v>
      </c>
      <c r="N61" s="2944" t="s">
        <v>3051</v>
      </c>
    </row>
    <row r="62" spans="1:17" ht="14.25" customHeight="1">
      <c r="A62" s="2944" t="s">
        <v>110</v>
      </c>
      <c r="B62" s="2944" t="s">
        <v>177</v>
      </c>
      <c r="C62" s="2944">
        <v>18710</v>
      </c>
      <c r="D62" s="2944">
        <v>19400</v>
      </c>
      <c r="E62" s="2944">
        <v>23750</v>
      </c>
      <c r="F62" s="2944">
        <v>4860</v>
      </c>
      <c r="G62" s="2944">
        <v>13170</v>
      </c>
      <c r="N62" s="2944" t="s">
        <v>3052</v>
      </c>
    </row>
    <row r="63" spans="1:17" ht="14.25" customHeight="1">
      <c r="A63" s="2944" t="s">
        <v>110</v>
      </c>
      <c r="B63" s="2944" t="s">
        <v>187</v>
      </c>
      <c r="C63" s="2944">
        <v>19480</v>
      </c>
      <c r="D63" s="2944">
        <v>16830</v>
      </c>
      <c r="E63" s="2944">
        <v>21590</v>
      </c>
      <c r="F63" s="2944">
        <v>4560</v>
      </c>
      <c r="G63" s="2944">
        <v>11420</v>
      </c>
      <c r="N63" s="2944" t="s">
        <v>3053</v>
      </c>
    </row>
    <row r="64" spans="1:17" ht="14.25" customHeight="1" thickBot="1">
      <c r="A64" s="2944" t="s">
        <v>110</v>
      </c>
      <c r="B64" s="2944" t="s">
        <v>196</v>
      </c>
      <c r="C64" s="2944">
        <v>16920</v>
      </c>
      <c r="D64" s="2944">
        <v>19190</v>
      </c>
      <c r="E64" s="2944">
        <v>22200</v>
      </c>
      <c r="F64" s="2944">
        <v>4390</v>
      </c>
      <c r="G64" s="2944">
        <v>13030</v>
      </c>
      <c r="N64" s="2951" t="s">
        <v>3054</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2925</v>
      </c>
      <c r="C78" s="2944">
        <v>19820</v>
      </c>
      <c r="D78" s="2944">
        <v>19780</v>
      </c>
      <c r="E78" s="2944">
        <v>18560</v>
      </c>
      <c r="F78" s="2944"/>
      <c r="G78" s="2944">
        <v>13430</v>
      </c>
    </row>
    <row r="79" spans="1:7" s="2778" customFormat="1" ht="14.25" customHeight="1">
      <c r="A79" s="2944" t="s">
        <v>110</v>
      </c>
      <c r="B79" s="2944" t="s">
        <v>2928</v>
      </c>
      <c r="C79" s="2944">
        <v>21660</v>
      </c>
      <c r="D79" s="2944">
        <v>18000</v>
      </c>
      <c r="E79" s="2944">
        <v>22570</v>
      </c>
      <c r="F79" s="2944"/>
      <c r="G79" s="2944">
        <v>12220</v>
      </c>
    </row>
    <row r="80" spans="1:7" s="2778" customFormat="1" ht="14.25" customHeight="1">
      <c r="A80" s="2944" t="s">
        <v>110</v>
      </c>
      <c r="B80" s="2944" t="s">
        <v>2932</v>
      </c>
      <c r="C80" s="2944">
        <v>19850</v>
      </c>
      <c r="D80" s="2944"/>
      <c r="E80" s="2944">
        <v>21700</v>
      </c>
      <c r="F80" s="2944"/>
      <c r="G80" s="2944"/>
    </row>
    <row r="81" spans="1:7" s="2778" customFormat="1" ht="14.25" customHeight="1">
      <c r="A81" s="2944" t="s">
        <v>110</v>
      </c>
      <c r="B81" s="2944" t="s">
        <v>2937</v>
      </c>
      <c r="C81" s="2944">
        <v>18080</v>
      </c>
      <c r="D81" s="2944"/>
      <c r="E81" s="2944">
        <v>20900</v>
      </c>
      <c r="F81" s="2944"/>
      <c r="G81" s="2944"/>
    </row>
    <row r="82" spans="1:7" s="2778" customFormat="1" ht="14.25" customHeight="1">
      <c r="A82" s="2944" t="s">
        <v>110</v>
      </c>
      <c r="B82" s="2944" t="s">
        <v>2944</v>
      </c>
      <c r="C82" s="2944"/>
      <c r="D82" s="2944"/>
      <c r="E82" s="2944">
        <v>20840</v>
      </c>
      <c r="F82" s="2944"/>
      <c r="G82" s="2944"/>
    </row>
    <row r="83" spans="1:7" s="2778" customFormat="1" ht="14.25" customHeight="1">
      <c r="A83" s="2944" t="s">
        <v>110</v>
      </c>
      <c r="B83" s="2944" t="s">
        <v>3055</v>
      </c>
      <c r="C83" s="2944"/>
      <c r="D83" s="2944"/>
      <c r="E83" s="2944"/>
      <c r="F83" s="2944">
        <v>4770</v>
      </c>
      <c r="G83" s="2944"/>
    </row>
    <row r="84" spans="1:7" s="2778" customFormat="1" ht="14.25" customHeight="1">
      <c r="A84" s="2944" t="s">
        <v>110</v>
      </c>
      <c r="B84" s="2944" t="s">
        <v>3056</v>
      </c>
      <c r="C84" s="2944"/>
      <c r="D84" s="2944"/>
      <c r="E84" s="2944"/>
      <c r="F84" s="2944">
        <v>4600</v>
      </c>
      <c r="G84" s="2944"/>
    </row>
    <row r="85" spans="1:7" s="2778" customFormat="1" ht="14.25" customHeight="1">
      <c r="A85" s="2944" t="s">
        <v>110</v>
      </c>
      <c r="B85" s="2944" t="s">
        <v>3057</v>
      </c>
      <c r="C85" s="2944"/>
      <c r="D85" s="2944"/>
      <c r="E85" s="2944"/>
      <c r="F85" s="2944">
        <v>4680</v>
      </c>
      <c r="G85" s="2944"/>
    </row>
    <row r="86" spans="1:7" s="2778" customFormat="1" ht="14.25" customHeight="1" thickBot="1">
      <c r="A86" s="2952" t="s">
        <v>110</v>
      </c>
      <c r="B86" s="2954" t="s">
        <v>3058</v>
      </c>
      <c r="C86" s="2955">
        <v>16610</v>
      </c>
      <c r="D86" s="2955">
        <v>16540</v>
      </c>
      <c r="E86" s="2955">
        <v>18850</v>
      </c>
      <c r="F86" s="2955"/>
      <c r="G86" s="2955">
        <v>11220</v>
      </c>
    </row>
    <row r="87" spans="1:7" s="2778" customFormat="1" ht="14.25" customHeight="1">
      <c r="A87" s="2949" t="s">
        <v>303</v>
      </c>
      <c r="B87" s="2940" t="s">
        <v>3059</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2938</v>
      </c>
      <c r="C113" s="2944">
        <v>15520</v>
      </c>
      <c r="D113" s="2944">
        <v>15450</v>
      </c>
      <c r="E113" s="2944"/>
      <c r="F113" s="2944"/>
      <c r="G113" s="2957">
        <v>10210</v>
      </c>
    </row>
    <row r="114" spans="1:7" s="2778" customFormat="1" ht="14.25" customHeight="1">
      <c r="A114" s="2944" t="s">
        <v>303</v>
      </c>
      <c r="B114" s="2944" t="s">
        <v>2945</v>
      </c>
      <c r="C114" s="2944">
        <v>13110</v>
      </c>
      <c r="D114" s="2944">
        <v>13050</v>
      </c>
      <c r="E114" s="2944"/>
      <c r="F114" s="2944"/>
      <c r="G114" s="2957">
        <v>8620</v>
      </c>
    </row>
    <row r="115" spans="1:7" s="2778" customFormat="1" ht="14.25" customHeight="1">
      <c r="A115" s="2944" t="s">
        <v>303</v>
      </c>
      <c r="B115" s="2944" t="s">
        <v>2951</v>
      </c>
      <c r="C115" s="2944">
        <v>12460</v>
      </c>
      <c r="D115" s="2944">
        <v>12390</v>
      </c>
      <c r="E115" s="2944"/>
      <c r="F115" s="2944"/>
      <c r="G115" s="2957">
        <v>8190</v>
      </c>
    </row>
    <row r="116" spans="1:7" s="2778" customFormat="1" ht="14.25" customHeight="1">
      <c r="A116" s="2944" t="s">
        <v>303</v>
      </c>
      <c r="B116" s="2944" t="s">
        <v>2958</v>
      </c>
      <c r="C116" s="2944">
        <v>13580</v>
      </c>
      <c r="D116" s="2944">
        <v>13520</v>
      </c>
      <c r="E116" s="2944"/>
      <c r="F116" s="2944"/>
      <c r="G116" s="2957">
        <v>8930</v>
      </c>
    </row>
    <row r="117" spans="1:7" s="2778" customFormat="1" ht="14.25" customHeight="1">
      <c r="A117" s="2944" t="s">
        <v>303</v>
      </c>
      <c r="B117" s="2944" t="s">
        <v>2965</v>
      </c>
      <c r="C117" s="2944">
        <v>17120</v>
      </c>
      <c r="D117" s="2944">
        <v>17040</v>
      </c>
      <c r="E117" s="2944"/>
      <c r="F117" s="2944"/>
      <c r="G117" s="2957">
        <v>11260</v>
      </c>
    </row>
    <row r="118" spans="1:7" s="2778" customFormat="1" ht="14.25" customHeight="1">
      <c r="A118" s="2944" t="s">
        <v>303</v>
      </c>
      <c r="B118" s="2944" t="s">
        <v>2970</v>
      </c>
      <c r="C118" s="2944">
        <v>14860</v>
      </c>
      <c r="D118" s="2944">
        <v>14790</v>
      </c>
      <c r="E118" s="2944"/>
      <c r="F118" s="2944"/>
      <c r="G118" s="2957">
        <v>9780</v>
      </c>
    </row>
    <row r="119" spans="1:7" s="2778" customFormat="1" ht="14.25" customHeight="1">
      <c r="A119" s="2944" t="s">
        <v>303</v>
      </c>
      <c r="B119" s="2944" t="s">
        <v>2974</v>
      </c>
      <c r="C119" s="2944">
        <v>16470</v>
      </c>
      <c r="D119" s="2944">
        <v>16400</v>
      </c>
      <c r="E119" s="2944"/>
      <c r="F119" s="2944"/>
      <c r="G119" s="2957">
        <v>10840</v>
      </c>
    </row>
    <row r="120" spans="1:7" s="2778" customFormat="1" ht="14.25" customHeight="1">
      <c r="A120" s="2944" t="s">
        <v>303</v>
      </c>
      <c r="B120" s="2944" t="s">
        <v>3060</v>
      </c>
      <c r="C120" s="2944"/>
      <c r="D120" s="2944"/>
      <c r="E120" s="2944"/>
      <c r="F120" s="2944">
        <v>4160</v>
      </c>
      <c r="G120" s="2957"/>
    </row>
    <row r="121" spans="1:7" s="2778" customFormat="1" ht="14.25" customHeight="1">
      <c r="A121" s="2944" t="s">
        <v>303</v>
      </c>
      <c r="B121" s="2944" t="s">
        <v>3061</v>
      </c>
      <c r="C121" s="2944"/>
      <c r="D121" s="2944"/>
      <c r="E121" s="2944"/>
      <c r="F121" s="2944">
        <v>3880</v>
      </c>
      <c r="G121" s="2957"/>
    </row>
    <row r="122" spans="1:7" s="2778" customFormat="1" ht="14.25" customHeight="1">
      <c r="A122" s="2944" t="s">
        <v>303</v>
      </c>
      <c r="B122" s="2944" t="s">
        <v>3062</v>
      </c>
      <c r="C122" s="2944">
        <v>13750</v>
      </c>
      <c r="D122" s="2944">
        <v>13680</v>
      </c>
      <c r="E122" s="2944">
        <v>16460</v>
      </c>
      <c r="F122" s="2944">
        <v>2880</v>
      </c>
      <c r="G122" s="2957">
        <v>9040</v>
      </c>
    </row>
    <row r="123" spans="1:7" s="2778" customFormat="1" ht="14.25" customHeight="1">
      <c r="A123" s="2944" t="s">
        <v>303</v>
      </c>
      <c r="B123" s="2944" t="s">
        <v>2993</v>
      </c>
      <c r="C123" s="2944">
        <v>13590</v>
      </c>
      <c r="D123" s="2944">
        <v>13520</v>
      </c>
      <c r="E123" s="2944">
        <v>16290</v>
      </c>
      <c r="F123" s="2944">
        <v>2790</v>
      </c>
      <c r="G123" s="2957">
        <v>8930</v>
      </c>
    </row>
    <row r="124" spans="1:7" s="2778" customFormat="1" ht="14.25" customHeight="1">
      <c r="A124" s="2944" t="s">
        <v>303</v>
      </c>
      <c r="B124" s="2944" t="s">
        <v>2998</v>
      </c>
      <c r="C124" s="2944">
        <v>13400</v>
      </c>
      <c r="D124" s="2944">
        <v>13320</v>
      </c>
      <c r="E124" s="2944">
        <v>16100</v>
      </c>
      <c r="F124" s="2944">
        <v>2320</v>
      </c>
      <c r="G124" s="2957">
        <v>8800</v>
      </c>
    </row>
    <row r="125" spans="1:7" s="2778" customFormat="1" ht="14.25" customHeight="1">
      <c r="A125" s="2944" t="s">
        <v>303</v>
      </c>
      <c r="B125" s="2944" t="s">
        <v>3003</v>
      </c>
      <c r="C125" s="2944">
        <v>12860</v>
      </c>
      <c r="D125" s="2944">
        <v>12790</v>
      </c>
      <c r="E125" s="2944">
        <v>15370</v>
      </c>
      <c r="F125" s="2944">
        <v>2280</v>
      </c>
      <c r="G125" s="2957">
        <v>8450</v>
      </c>
    </row>
    <row r="126" spans="1:7" s="2778" customFormat="1" ht="14.25" customHeight="1" thickBot="1">
      <c r="A126" s="2958" t="s">
        <v>303</v>
      </c>
      <c r="B126" s="2951" t="s">
        <v>3008</v>
      </c>
      <c r="C126" s="2951">
        <v>12960</v>
      </c>
      <c r="D126" s="2951">
        <v>12890</v>
      </c>
      <c r="E126" s="2951">
        <v>15530</v>
      </c>
      <c r="F126" s="2951">
        <v>2910</v>
      </c>
      <c r="G126" s="2959">
        <v>8520</v>
      </c>
    </row>
    <row r="127" spans="1:7" s="2778" customFormat="1" ht="14.25" customHeight="1">
      <c r="A127" s="2949" t="s">
        <v>29</v>
      </c>
      <c r="B127" s="2940" t="s">
        <v>3063</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3064</v>
      </c>
      <c r="C148" s="2944">
        <v>10370</v>
      </c>
      <c r="D148" s="2944">
        <v>10310</v>
      </c>
      <c r="E148" s="2944">
        <v>12970</v>
      </c>
      <c r="F148" s="2944"/>
      <c r="G148" s="2944">
        <v>6630</v>
      </c>
    </row>
    <row r="149" spans="1:7" s="2778" customFormat="1" ht="14.25" customHeight="1">
      <c r="A149" s="2944" t="s">
        <v>29</v>
      </c>
      <c r="B149" s="2944" t="s">
        <v>3065</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2939</v>
      </c>
      <c r="C153" s="2944">
        <v>10880</v>
      </c>
      <c r="D153" s="2944">
        <v>10820</v>
      </c>
      <c r="E153" s="2944">
        <v>13660</v>
      </c>
      <c r="F153" s="2944">
        <v>2260</v>
      </c>
      <c r="G153" s="2944">
        <v>6970</v>
      </c>
    </row>
    <row r="154" spans="1:7" s="2778" customFormat="1" ht="14.25" customHeight="1">
      <c r="A154" s="2944" t="s">
        <v>29</v>
      </c>
      <c r="B154" s="2944" t="s">
        <v>3066</v>
      </c>
      <c r="C154" s="2944">
        <v>11220</v>
      </c>
      <c r="D154" s="2944">
        <v>11160</v>
      </c>
      <c r="E154" s="2944">
        <v>14130</v>
      </c>
      <c r="F154" s="2944">
        <v>2230</v>
      </c>
      <c r="G154" s="2944">
        <v>7180</v>
      </c>
    </row>
    <row r="155" spans="1:7" s="2778" customFormat="1" ht="14.25" customHeight="1">
      <c r="A155" s="2944" t="s">
        <v>29</v>
      </c>
      <c r="B155" s="2944" t="s">
        <v>2952</v>
      </c>
      <c r="C155" s="2944">
        <v>10430</v>
      </c>
      <c r="D155" s="2944">
        <v>10380</v>
      </c>
      <c r="E155" s="2944">
        <v>13140</v>
      </c>
      <c r="F155" s="2944">
        <v>2080</v>
      </c>
      <c r="G155" s="2944">
        <v>6650</v>
      </c>
    </row>
    <row r="156" spans="1:7" s="2778" customFormat="1" ht="14.25" customHeight="1">
      <c r="A156" s="2944" t="s">
        <v>29</v>
      </c>
      <c r="B156" s="2944" t="s">
        <v>3067</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3068</v>
      </c>
      <c r="C160" s="2944">
        <v>11180</v>
      </c>
      <c r="D160" s="2944">
        <v>11140</v>
      </c>
      <c r="E160" s="2944">
        <v>14050</v>
      </c>
      <c r="F160" s="2944">
        <v>2270</v>
      </c>
      <c r="G160" s="2944">
        <v>7170</v>
      </c>
    </row>
    <row r="161" spans="1:7" s="2778" customFormat="1" ht="14.25" customHeight="1">
      <c r="A161" s="2944" t="s">
        <v>29</v>
      </c>
      <c r="B161" s="2944" t="s">
        <v>2984</v>
      </c>
      <c r="C161" s="2944">
        <v>11160</v>
      </c>
      <c r="D161" s="2944">
        <v>11120</v>
      </c>
      <c r="E161" s="2944">
        <v>14020</v>
      </c>
      <c r="F161" s="2944">
        <v>2150</v>
      </c>
      <c r="G161" s="2944">
        <v>7160</v>
      </c>
    </row>
    <row r="162" spans="1:7" s="2778" customFormat="1" ht="14.25" customHeight="1">
      <c r="A162" s="2944" t="s">
        <v>29</v>
      </c>
      <c r="B162" s="2944" t="s">
        <v>2989</v>
      </c>
      <c r="C162" s="2944">
        <v>9620</v>
      </c>
      <c r="D162" s="2944">
        <v>9570</v>
      </c>
      <c r="E162" s="2944">
        <v>12320</v>
      </c>
      <c r="F162" s="2944">
        <v>2010</v>
      </c>
      <c r="G162" s="2944">
        <v>6160</v>
      </c>
    </row>
    <row r="163" spans="1:7" s="2778" customFormat="1" ht="14.25" customHeight="1">
      <c r="A163" s="2944" t="s">
        <v>29</v>
      </c>
      <c r="B163" s="2944" t="s">
        <v>2994</v>
      </c>
      <c r="C163" s="2944">
        <v>9320</v>
      </c>
      <c r="D163" s="2944">
        <v>9270</v>
      </c>
      <c r="E163" s="2944">
        <v>11790</v>
      </c>
      <c r="F163" s="2944">
        <v>1920</v>
      </c>
      <c r="G163" s="2944">
        <v>5960</v>
      </c>
    </row>
    <row r="164" spans="1:7" s="2778" customFormat="1" ht="14.25" customHeight="1">
      <c r="A164" s="2944" t="s">
        <v>29</v>
      </c>
      <c r="B164" s="2944" t="s">
        <v>2999</v>
      </c>
      <c r="C164" s="2944"/>
      <c r="D164" s="2944"/>
      <c r="E164" s="2944"/>
      <c r="F164" s="2944">
        <v>1980</v>
      </c>
      <c r="G164" s="2944"/>
    </row>
    <row r="165" spans="1:7" s="2778" customFormat="1" ht="14.25" customHeight="1">
      <c r="A165" s="2944" t="s">
        <v>29</v>
      </c>
      <c r="B165" s="2944" t="s">
        <v>3069</v>
      </c>
      <c r="C165" s="2944">
        <v>11060</v>
      </c>
      <c r="D165" s="2944">
        <v>11030</v>
      </c>
      <c r="E165" s="2944">
        <v>13850</v>
      </c>
      <c r="F165" s="2944">
        <v>2170</v>
      </c>
      <c r="G165" s="2944">
        <v>7090</v>
      </c>
    </row>
    <row r="166" spans="1:7" s="2778" customFormat="1" ht="14.25" customHeight="1">
      <c r="A166" s="2944" t="s">
        <v>29</v>
      </c>
      <c r="B166" s="2944" t="s">
        <v>3009</v>
      </c>
      <c r="C166" s="2944">
        <v>11050</v>
      </c>
      <c r="D166" s="2944">
        <v>11010</v>
      </c>
      <c r="E166" s="2944">
        <v>13920</v>
      </c>
      <c r="F166" s="2944">
        <v>2140</v>
      </c>
      <c r="G166" s="2944">
        <v>7080</v>
      </c>
    </row>
    <row r="167" spans="1:7" s="2778" customFormat="1" ht="14.25" customHeight="1">
      <c r="A167" s="2944" t="s">
        <v>29</v>
      </c>
      <c r="B167" s="2944" t="s">
        <v>3013</v>
      </c>
      <c r="C167" s="2944">
        <v>10930</v>
      </c>
      <c r="D167" s="2944">
        <v>10890</v>
      </c>
      <c r="E167" s="2944">
        <v>13790</v>
      </c>
      <c r="F167" s="2944">
        <v>2010</v>
      </c>
      <c r="G167" s="2944">
        <v>7000</v>
      </c>
    </row>
    <row r="168" spans="1:7" s="2778" customFormat="1" ht="14.25" customHeight="1">
      <c r="A168" s="2944" t="s">
        <v>29</v>
      </c>
      <c r="B168" s="2944" t="s">
        <v>3018</v>
      </c>
      <c r="C168" s="2944">
        <v>9420</v>
      </c>
      <c r="D168" s="2944">
        <v>9380</v>
      </c>
      <c r="E168" s="2944">
        <v>11970</v>
      </c>
      <c r="F168" s="2944"/>
      <c r="G168" s="2944">
        <v>6040</v>
      </c>
    </row>
    <row r="169" spans="1:7" s="2778" customFormat="1" ht="14.25" customHeight="1">
      <c r="A169" s="2944" t="s">
        <v>29</v>
      </c>
      <c r="B169" s="2944" t="s">
        <v>3070</v>
      </c>
      <c r="C169" s="2944"/>
      <c r="D169" s="2944"/>
      <c r="E169" s="2944"/>
      <c r="F169" s="2944">
        <v>2880</v>
      </c>
      <c r="G169" s="2944"/>
    </row>
    <row r="170" spans="1:7" s="2778" customFormat="1" ht="14.25" customHeight="1">
      <c r="A170" s="2944" t="s">
        <v>29</v>
      </c>
      <c r="B170" s="2944" t="s">
        <v>3026</v>
      </c>
      <c r="C170" s="2944"/>
      <c r="D170" s="2944"/>
      <c r="E170" s="2944"/>
      <c r="F170" s="2944">
        <v>2880</v>
      </c>
      <c r="G170" s="2944"/>
    </row>
    <row r="171" spans="1:7" s="2778" customFormat="1" ht="14.25" customHeight="1">
      <c r="A171" s="2944" t="s">
        <v>29</v>
      </c>
      <c r="B171" s="2944" t="s">
        <v>3029</v>
      </c>
      <c r="C171" s="2944"/>
      <c r="D171" s="2944"/>
      <c r="E171" s="2944"/>
      <c r="F171" s="2944">
        <v>2880</v>
      </c>
      <c r="G171" s="2944"/>
    </row>
    <row r="172" spans="1:7" s="2778" customFormat="1" ht="14.25" customHeight="1">
      <c r="A172" s="2944" t="s">
        <v>29</v>
      </c>
      <c r="B172" s="2944" t="s">
        <v>3031</v>
      </c>
      <c r="C172" s="2944"/>
      <c r="D172" s="2944"/>
      <c r="E172" s="2944"/>
      <c r="F172" s="2944">
        <v>2880</v>
      </c>
      <c r="G172" s="2944"/>
    </row>
    <row r="173" spans="1:7" s="2778" customFormat="1" ht="14.25" customHeight="1">
      <c r="A173" s="2944" t="s">
        <v>29</v>
      </c>
      <c r="B173" s="2944" t="s">
        <v>3033</v>
      </c>
      <c r="C173" s="2944"/>
      <c r="D173" s="2944"/>
      <c r="E173" s="2944"/>
      <c r="F173" s="2944">
        <v>2150</v>
      </c>
      <c r="G173" s="2944"/>
    </row>
    <row r="174" spans="1:7" s="2778" customFormat="1" ht="14.25" customHeight="1">
      <c r="A174" s="2944" t="s">
        <v>29</v>
      </c>
      <c r="B174" s="2944" t="s">
        <v>3035</v>
      </c>
      <c r="C174" s="2944"/>
      <c r="D174" s="2944"/>
      <c r="E174" s="2944"/>
      <c r="F174" s="2944">
        <v>2030</v>
      </c>
      <c r="G174" s="2944"/>
    </row>
    <row r="175" spans="1:7" s="2778" customFormat="1" ht="14.25" customHeight="1">
      <c r="A175" s="2944" t="s">
        <v>29</v>
      </c>
      <c r="B175" s="2944" t="s">
        <v>3037</v>
      </c>
      <c r="C175" s="2944"/>
      <c r="D175" s="2944"/>
      <c r="E175" s="2944"/>
      <c r="F175" s="2944">
        <v>2780</v>
      </c>
      <c r="G175" s="2944"/>
    </row>
    <row r="176" spans="1:7" s="2778" customFormat="1" ht="14.25" customHeight="1">
      <c r="A176" s="2944" t="s">
        <v>29</v>
      </c>
      <c r="B176" s="2944" t="s">
        <v>3039</v>
      </c>
      <c r="C176" s="2944"/>
      <c r="D176" s="2944"/>
      <c r="E176" s="2944"/>
      <c r="F176" s="2944">
        <v>2780</v>
      </c>
      <c r="G176" s="2944"/>
    </row>
    <row r="177" spans="1:7" s="2778" customFormat="1" ht="14.25" customHeight="1">
      <c r="A177" s="2944" t="s">
        <v>29</v>
      </c>
      <c r="B177" s="2944" t="s">
        <v>3071</v>
      </c>
      <c r="C177" s="2944"/>
      <c r="D177" s="2944"/>
      <c r="E177" s="2944"/>
      <c r="F177" s="2944">
        <v>2780</v>
      </c>
      <c r="G177" s="2944"/>
    </row>
    <row r="178" spans="1:7" s="2778" customFormat="1" ht="14.25" customHeight="1">
      <c r="A178" s="2944" t="s">
        <v>29</v>
      </c>
      <c r="B178" s="2944" t="s">
        <v>3072</v>
      </c>
      <c r="C178" s="2944"/>
      <c r="D178" s="2944"/>
      <c r="E178" s="2944"/>
      <c r="F178" s="2944">
        <v>2060</v>
      </c>
      <c r="G178" s="2944"/>
    </row>
    <row r="179" spans="1:7" s="2778" customFormat="1" ht="14.25" customHeight="1">
      <c r="A179" s="2944" t="s">
        <v>29</v>
      </c>
      <c r="B179" s="2944" t="s">
        <v>3073</v>
      </c>
      <c r="C179" s="2944"/>
      <c r="D179" s="2944"/>
      <c r="E179" s="2944"/>
      <c r="F179" s="2944">
        <v>2120</v>
      </c>
      <c r="G179" s="2944"/>
    </row>
    <row r="180" spans="1:7" s="2778" customFormat="1" ht="14.25" customHeight="1">
      <c r="A180" s="2944" t="s">
        <v>29</v>
      </c>
      <c r="B180" s="2944" t="s">
        <v>3045</v>
      </c>
      <c r="C180" s="2944"/>
      <c r="D180" s="2944"/>
      <c r="E180" s="2944"/>
      <c r="F180" s="2944">
        <v>2340</v>
      </c>
      <c r="G180" s="2944"/>
    </row>
    <row r="181" spans="1:7" s="2778" customFormat="1" ht="14.25" customHeight="1">
      <c r="A181" s="2944" t="s">
        <v>29</v>
      </c>
      <c r="B181" s="2944" t="s">
        <v>3046</v>
      </c>
      <c r="C181" s="2944"/>
      <c r="D181" s="2944"/>
      <c r="E181" s="2944"/>
      <c r="F181" s="2944">
        <v>2340</v>
      </c>
      <c r="G181" s="2944"/>
    </row>
    <row r="182" spans="1:7" s="2778" customFormat="1" ht="14.25" customHeight="1">
      <c r="A182" s="2944" t="s">
        <v>29</v>
      </c>
      <c r="B182" s="2944" t="s">
        <v>3047</v>
      </c>
      <c r="C182" s="2944"/>
      <c r="D182" s="2944"/>
      <c r="E182" s="2944"/>
      <c r="F182" s="2944">
        <v>2340</v>
      </c>
      <c r="G182" s="2944"/>
    </row>
    <row r="183" spans="1:7" s="2778" customFormat="1" ht="14.25" customHeight="1">
      <c r="A183" s="2944" t="s">
        <v>29</v>
      </c>
      <c r="B183" s="2944" t="s">
        <v>3048</v>
      </c>
      <c r="C183" s="2944"/>
      <c r="D183" s="2944"/>
      <c r="E183" s="2944"/>
      <c r="F183" s="2944">
        <v>2340</v>
      </c>
      <c r="G183" s="2944"/>
    </row>
    <row r="184" spans="1:7" s="2778" customFormat="1" ht="14.25" customHeight="1">
      <c r="A184" s="2944" t="s">
        <v>29</v>
      </c>
      <c r="B184" s="2944" t="s">
        <v>3049</v>
      </c>
      <c r="C184" s="2944"/>
      <c r="D184" s="2944"/>
      <c r="E184" s="2944"/>
      <c r="F184" s="2944">
        <v>2340</v>
      </c>
      <c r="G184" s="2944"/>
    </row>
    <row r="185" spans="1:7" s="2778" customFormat="1" ht="14.25" customHeight="1">
      <c r="A185" s="2944" t="s">
        <v>29</v>
      </c>
      <c r="B185" s="2944" t="s">
        <v>3050</v>
      </c>
      <c r="C185" s="2944"/>
      <c r="D185" s="2944"/>
      <c r="E185" s="2944"/>
      <c r="F185" s="2944">
        <v>2530</v>
      </c>
      <c r="G185" s="2944"/>
    </row>
    <row r="186" spans="1:7" s="2778" customFormat="1" ht="14.25" customHeight="1">
      <c r="A186" s="2944" t="s">
        <v>29</v>
      </c>
      <c r="B186" s="2944" t="s">
        <v>3051</v>
      </c>
      <c r="C186" s="2944"/>
      <c r="D186" s="2944"/>
      <c r="E186" s="2944"/>
      <c r="F186" s="2944">
        <v>2550</v>
      </c>
      <c r="G186" s="2944"/>
    </row>
    <row r="187" spans="1:7" s="2778" customFormat="1" ht="14.25" customHeight="1">
      <c r="A187" s="2944" t="s">
        <v>29</v>
      </c>
      <c r="B187" s="2944" t="s">
        <v>3052</v>
      </c>
      <c r="C187" s="2944"/>
      <c r="D187" s="2944"/>
      <c r="E187" s="2944"/>
      <c r="F187" s="2944">
        <v>2070</v>
      </c>
      <c r="G187" s="2944"/>
    </row>
    <row r="188" spans="1:7" s="2778" customFormat="1" ht="14.25" customHeight="1">
      <c r="A188" s="2944" t="s">
        <v>29</v>
      </c>
      <c r="B188" s="2944" t="s">
        <v>3053</v>
      </c>
      <c r="C188" s="2944"/>
      <c r="D188" s="2944"/>
      <c r="E188" s="2944"/>
      <c r="F188" s="2944">
        <v>2340</v>
      </c>
      <c r="G188" s="2944"/>
    </row>
    <row r="189" spans="1:7" s="2778" customFormat="1" ht="14.25" customHeight="1" thickBot="1">
      <c r="A189" s="2952" t="s">
        <v>29</v>
      </c>
      <c r="B189" s="2955" t="s">
        <v>3054</v>
      </c>
      <c r="C189" s="2955"/>
      <c r="D189" s="2955"/>
      <c r="E189" s="2955"/>
      <c r="F189" s="2955">
        <v>2050</v>
      </c>
      <c r="G189" s="2955"/>
    </row>
    <row r="190" spans="1:7" s="2778" customFormat="1" ht="14.25" customHeight="1">
      <c r="A190" s="2949" t="s">
        <v>304</v>
      </c>
      <c r="B190" s="2940" t="s">
        <v>3074</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3075</v>
      </c>
      <c r="C199" s="2944">
        <v>8690</v>
      </c>
      <c r="D199" s="2944">
        <v>8630</v>
      </c>
      <c r="E199" s="2944">
        <v>11350</v>
      </c>
      <c r="F199" s="2944">
        <v>1600</v>
      </c>
      <c r="G199" s="2957">
        <v>5450</v>
      </c>
    </row>
    <row r="200" spans="1:7" s="2778" customFormat="1" ht="14.25" customHeight="1">
      <c r="A200" s="2944" t="s">
        <v>304</v>
      </c>
      <c r="B200" s="2944" t="s">
        <v>2886</v>
      </c>
      <c r="C200" s="2944"/>
      <c r="D200" s="2944"/>
      <c r="E200" s="2944"/>
      <c r="F200" s="2944">
        <v>1510</v>
      </c>
      <c r="G200" s="2957"/>
    </row>
    <row r="201" spans="1:7" s="2778" customFormat="1" ht="14.25" customHeight="1">
      <c r="A201" s="2944" t="s">
        <v>304</v>
      </c>
      <c r="B201" s="2944" t="s">
        <v>3076</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3077</v>
      </c>
      <c r="C203" s="2944">
        <v>8130</v>
      </c>
      <c r="D203" s="2944">
        <v>8070</v>
      </c>
      <c r="E203" s="2944">
        <v>10820</v>
      </c>
      <c r="F203" s="2944">
        <v>1690</v>
      </c>
      <c r="G203" s="2957">
        <v>5100</v>
      </c>
    </row>
    <row r="204" spans="1:7" s="2778" customFormat="1" ht="14.25" customHeight="1">
      <c r="A204" s="2944" t="s">
        <v>304</v>
      </c>
      <c r="B204" s="2944" t="s">
        <v>2897</v>
      </c>
      <c r="C204" s="2944">
        <v>8350</v>
      </c>
      <c r="D204" s="2944">
        <v>8290</v>
      </c>
      <c r="E204" s="2944">
        <v>11080</v>
      </c>
      <c r="F204" s="2944">
        <v>1450</v>
      </c>
      <c r="G204" s="2957">
        <v>5240</v>
      </c>
    </row>
    <row r="205" spans="1:7" s="2778" customFormat="1" ht="14.25" customHeight="1">
      <c r="A205" s="2944" t="s">
        <v>304</v>
      </c>
      <c r="B205" s="2944" t="s">
        <v>2899</v>
      </c>
      <c r="C205" s="2944">
        <v>7190</v>
      </c>
      <c r="D205" s="2944">
        <v>7130</v>
      </c>
      <c r="E205" s="2944">
        <v>9490</v>
      </c>
      <c r="F205" s="2944">
        <v>1470</v>
      </c>
      <c r="G205" s="2957">
        <v>4510</v>
      </c>
    </row>
    <row r="206" spans="1:7" s="2778" customFormat="1" ht="14.25" customHeight="1">
      <c r="A206" s="2944" t="s">
        <v>304</v>
      </c>
      <c r="B206" s="2944" t="s">
        <v>2902</v>
      </c>
      <c r="C206" s="2944">
        <v>7000</v>
      </c>
      <c r="D206" s="2944">
        <v>6950</v>
      </c>
      <c r="E206" s="2944">
        <v>9170</v>
      </c>
      <c r="F206" s="2944">
        <v>1400</v>
      </c>
      <c r="G206" s="2957">
        <v>4380</v>
      </c>
    </row>
    <row r="207" spans="1:7" s="2778" customFormat="1" ht="14.25" customHeight="1">
      <c r="A207" s="2944" t="s">
        <v>304</v>
      </c>
      <c r="B207" s="2944" t="s">
        <v>2904</v>
      </c>
      <c r="C207" s="2944">
        <v>6950</v>
      </c>
      <c r="D207" s="2944">
        <v>6900</v>
      </c>
      <c r="E207" s="2944">
        <v>9110</v>
      </c>
      <c r="F207" s="2944">
        <v>1790</v>
      </c>
      <c r="G207" s="2957">
        <v>4360</v>
      </c>
    </row>
    <row r="208" spans="1:7" s="2778" customFormat="1" ht="14.25" customHeight="1">
      <c r="A208" s="2944" t="s">
        <v>304</v>
      </c>
      <c r="B208" s="2944" t="s">
        <v>3078</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2914</v>
      </c>
      <c r="C210" s="2944">
        <v>8710</v>
      </c>
      <c r="D210" s="2944">
        <v>8660</v>
      </c>
      <c r="E210" s="2944">
        <v>11440</v>
      </c>
      <c r="F210" s="2944">
        <v>1740</v>
      </c>
      <c r="G210" s="2957">
        <v>5470</v>
      </c>
    </row>
    <row r="211" spans="1:7" s="2778" customFormat="1" ht="14.25" customHeight="1">
      <c r="A211" s="2944" t="s">
        <v>304</v>
      </c>
      <c r="B211" s="2944" t="s">
        <v>3079</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3080</v>
      </c>
      <c r="C214" s="2944">
        <v>8090</v>
      </c>
      <c r="D214" s="2944">
        <v>8030</v>
      </c>
      <c r="E214" s="2944">
        <v>10780</v>
      </c>
      <c r="F214" s="2944">
        <v>1570</v>
      </c>
      <c r="G214" s="2957">
        <v>5070</v>
      </c>
    </row>
    <row r="215" spans="1:7" s="2778" customFormat="1" ht="14.25" customHeight="1">
      <c r="A215" s="2944" t="s">
        <v>304</v>
      </c>
      <c r="B215" s="2944" t="s">
        <v>3081</v>
      </c>
      <c r="C215" s="2944">
        <v>7950</v>
      </c>
      <c r="D215" s="2944">
        <v>7900</v>
      </c>
      <c r="E215" s="2944">
        <v>10560</v>
      </c>
      <c r="F215" s="2944">
        <v>1630</v>
      </c>
      <c r="G215" s="2957">
        <v>4990</v>
      </c>
    </row>
    <row r="216" spans="1:7" s="2778" customFormat="1" ht="14.25" customHeight="1">
      <c r="A216" s="2944" t="s">
        <v>304</v>
      </c>
      <c r="B216" s="2944" t="s">
        <v>3082</v>
      </c>
      <c r="C216" s="2944">
        <v>8490</v>
      </c>
      <c r="D216" s="2944">
        <v>8440</v>
      </c>
      <c r="E216" s="2944">
        <v>11260</v>
      </c>
      <c r="F216" s="2944">
        <v>1690</v>
      </c>
      <c r="G216" s="2957">
        <v>5330</v>
      </c>
    </row>
    <row r="217" spans="1:7" s="2778" customFormat="1" ht="14.25" customHeight="1">
      <c r="A217" s="2944" t="s">
        <v>304</v>
      </c>
      <c r="B217" s="2944" t="s">
        <v>2947</v>
      </c>
      <c r="C217" s="2944">
        <v>8200</v>
      </c>
      <c r="D217" s="2944">
        <v>8150</v>
      </c>
      <c r="E217" s="2944">
        <v>10910</v>
      </c>
      <c r="F217" s="2944">
        <v>1670</v>
      </c>
      <c r="G217" s="2957">
        <v>5150</v>
      </c>
    </row>
    <row r="218" spans="1:7" s="2778" customFormat="1" ht="14.25" customHeight="1">
      <c r="A218" s="2944" t="s">
        <v>304</v>
      </c>
      <c r="B218" s="2944" t="s">
        <v>3083</v>
      </c>
      <c r="C218" s="2944"/>
      <c r="D218" s="2944"/>
      <c r="E218" s="2944"/>
      <c r="F218" s="2944">
        <v>2040</v>
      </c>
      <c r="G218" s="2957"/>
    </row>
    <row r="219" spans="1:7" s="2778" customFormat="1" ht="14.25" customHeight="1">
      <c r="A219" s="2944" t="s">
        <v>304</v>
      </c>
      <c r="B219" s="2944" t="s">
        <v>3084</v>
      </c>
      <c r="C219" s="2944"/>
      <c r="D219" s="2944"/>
      <c r="E219" s="2944"/>
      <c r="F219" s="2944">
        <v>2040</v>
      </c>
      <c r="G219" s="2957"/>
    </row>
    <row r="220" spans="1:7" s="2778" customFormat="1" ht="14.25" customHeight="1">
      <c r="A220" s="2944" t="s">
        <v>304</v>
      </c>
      <c r="B220" s="2944" t="s">
        <v>3085</v>
      </c>
      <c r="C220" s="2944"/>
      <c r="D220" s="2944"/>
      <c r="E220" s="2944"/>
      <c r="F220" s="2944">
        <v>2040</v>
      </c>
      <c r="G220" s="2957"/>
    </row>
    <row r="221" spans="1:7" s="2778" customFormat="1" ht="14.25" customHeight="1">
      <c r="A221" s="2944" t="s">
        <v>304</v>
      </c>
      <c r="B221" s="2944" t="s">
        <v>3086</v>
      </c>
      <c r="C221" s="2944"/>
      <c r="D221" s="2944"/>
      <c r="E221" s="2944"/>
      <c r="F221" s="2944">
        <v>2040</v>
      </c>
      <c r="G221" s="2957"/>
    </row>
    <row r="222" spans="1:7" s="2778" customFormat="1" ht="14.25" customHeight="1">
      <c r="A222" s="2944" t="s">
        <v>304</v>
      </c>
      <c r="B222" s="2944" t="s">
        <v>3087</v>
      </c>
      <c r="C222" s="2944"/>
      <c r="D222" s="2944"/>
      <c r="E222" s="2944"/>
      <c r="F222" s="2944">
        <v>2040</v>
      </c>
      <c r="G222" s="2957"/>
    </row>
    <row r="223" spans="1:7" s="2778" customFormat="1" ht="14.25" customHeight="1">
      <c r="A223" s="2944" t="s">
        <v>304</v>
      </c>
      <c r="B223" s="2944" t="s">
        <v>3088</v>
      </c>
      <c r="C223" s="2944"/>
      <c r="D223" s="2944"/>
      <c r="E223" s="2944"/>
      <c r="F223" s="2944">
        <v>1930</v>
      </c>
      <c r="G223" s="2957"/>
    </row>
    <row r="224" spans="1:7" s="2778" customFormat="1" ht="14.25" customHeight="1">
      <c r="A224" s="2944" t="s">
        <v>304</v>
      </c>
      <c r="B224" s="2944" t="s">
        <v>3089</v>
      </c>
      <c r="C224" s="2944"/>
      <c r="D224" s="2944"/>
      <c r="E224" s="2944"/>
      <c r="F224" s="2944">
        <v>1930</v>
      </c>
      <c r="G224" s="2957"/>
    </row>
    <row r="225" spans="1:7" s="2778" customFormat="1" ht="14.25" customHeight="1">
      <c r="A225" s="2944" t="s">
        <v>304</v>
      </c>
      <c r="B225" s="2944" t="s">
        <v>3090</v>
      </c>
      <c r="C225" s="2944"/>
      <c r="D225" s="2944"/>
      <c r="E225" s="2944"/>
      <c r="F225" s="2944">
        <v>1930</v>
      </c>
      <c r="G225" s="2957"/>
    </row>
    <row r="226" spans="1:7" s="2778" customFormat="1" ht="14.25" customHeight="1">
      <c r="A226" s="2944" t="s">
        <v>304</v>
      </c>
      <c r="B226" s="2944" t="s">
        <v>3091</v>
      </c>
      <c r="C226" s="2944"/>
      <c r="D226" s="2944"/>
      <c r="E226" s="2944"/>
      <c r="F226" s="2944">
        <v>1700</v>
      </c>
      <c r="G226" s="2957"/>
    </row>
    <row r="227" spans="1:7" s="2778" customFormat="1" ht="14.25" customHeight="1">
      <c r="A227" s="2944" t="s">
        <v>304</v>
      </c>
      <c r="B227" s="2944" t="s">
        <v>3092</v>
      </c>
      <c r="C227" s="2944"/>
      <c r="D227" s="2944"/>
      <c r="E227" s="2944"/>
      <c r="F227" s="2944">
        <v>1520</v>
      </c>
      <c r="G227" s="2957"/>
    </row>
    <row r="228" spans="1:7" s="2778" customFormat="1" ht="14.25" customHeight="1">
      <c r="A228" s="2944" t="s">
        <v>304</v>
      </c>
      <c r="B228" s="2944" t="s">
        <v>3093</v>
      </c>
      <c r="C228" s="2944"/>
      <c r="D228" s="2944"/>
      <c r="E228" s="2944"/>
      <c r="F228" s="2944">
        <v>1520</v>
      </c>
      <c r="G228" s="2957"/>
    </row>
    <row r="229" spans="1:7" s="2778" customFormat="1" ht="14.25" customHeight="1">
      <c r="A229" s="2944" t="s">
        <v>304</v>
      </c>
      <c r="B229" s="2944" t="s">
        <v>3010</v>
      </c>
      <c r="C229" s="2944"/>
      <c r="D229" s="2944"/>
      <c r="E229" s="2944"/>
      <c r="F229" s="2944">
        <v>1520</v>
      </c>
      <c r="G229" s="2957"/>
    </row>
    <row r="230" spans="1:7" s="2778" customFormat="1" ht="14.25" customHeight="1">
      <c r="A230" s="2944" t="s">
        <v>304</v>
      </c>
      <c r="B230" s="2944" t="s">
        <v>3094</v>
      </c>
      <c r="C230" s="2944"/>
      <c r="D230" s="2944"/>
      <c r="E230" s="2944"/>
      <c r="F230" s="2944">
        <v>1820</v>
      </c>
      <c r="G230" s="2957"/>
    </row>
    <row r="231" spans="1:7" s="2778" customFormat="1" ht="14.25" customHeight="1">
      <c r="A231" s="2944" t="s">
        <v>304</v>
      </c>
      <c r="B231" s="2944" t="s">
        <v>3095</v>
      </c>
      <c r="C231" s="2944"/>
      <c r="D231" s="2944"/>
      <c r="E231" s="2944"/>
      <c r="F231" s="2944">
        <v>1760</v>
      </c>
      <c r="G231" s="2957"/>
    </row>
    <row r="232" spans="1:7" s="2778" customFormat="1" ht="14.25" customHeight="1">
      <c r="A232" s="2944" t="s">
        <v>304</v>
      </c>
      <c r="B232" s="2944" t="s">
        <v>3096</v>
      </c>
      <c r="C232" s="2944"/>
      <c r="D232" s="2944"/>
      <c r="E232" s="2944"/>
      <c r="F232" s="2944">
        <v>1840</v>
      </c>
      <c r="G232" s="2957"/>
    </row>
    <row r="233" spans="1:7" s="2778" customFormat="1" ht="14.25" customHeight="1" thickBot="1">
      <c r="A233" s="2958" t="s">
        <v>304</v>
      </c>
      <c r="B233" s="2951" t="s">
        <v>3027</v>
      </c>
      <c r="C233" s="2951"/>
      <c r="D233" s="2951"/>
      <c r="E233" s="2951"/>
      <c r="F233" s="2951">
        <v>1770</v>
      </c>
      <c r="G233" s="2959"/>
    </row>
    <row r="234" spans="1:7" s="2778" customFormat="1" ht="14.25" customHeight="1">
      <c r="A234" s="2949" t="s">
        <v>305</v>
      </c>
      <c r="B234" s="2940" t="s">
        <v>3097</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2868</v>
      </c>
      <c r="C238" s="2944">
        <v>6920</v>
      </c>
      <c r="D238" s="2944">
        <v>6890</v>
      </c>
      <c r="E238" s="2944">
        <v>8640</v>
      </c>
      <c r="F238" s="2944">
        <v>1310</v>
      </c>
      <c r="G238" s="2944">
        <v>4230</v>
      </c>
    </row>
    <row r="239" spans="1:7" s="2778" customFormat="1" ht="14.25" customHeight="1">
      <c r="A239" s="2944" t="s">
        <v>305</v>
      </c>
      <c r="B239" s="2944" t="s">
        <v>3098</v>
      </c>
      <c r="C239" s="2944">
        <v>6780</v>
      </c>
      <c r="D239" s="2944">
        <v>6750</v>
      </c>
      <c r="E239" s="2944">
        <v>8440</v>
      </c>
      <c r="F239" s="2944">
        <v>1160</v>
      </c>
      <c r="G239" s="2944">
        <v>4140</v>
      </c>
    </row>
    <row r="240" spans="1:7" s="2778" customFormat="1" ht="14.25" customHeight="1">
      <c r="A240" s="2944" t="s">
        <v>305</v>
      </c>
      <c r="B240" s="2944" t="s">
        <v>3099</v>
      </c>
      <c r="C240" s="2944">
        <v>5420</v>
      </c>
      <c r="D240" s="2944">
        <v>5380</v>
      </c>
      <c r="E240" s="2944">
        <v>6640</v>
      </c>
      <c r="F240" s="2944">
        <v>1020</v>
      </c>
      <c r="G240" s="2944">
        <v>3300</v>
      </c>
    </row>
    <row r="241" spans="1:7" s="2778" customFormat="1" ht="14.25" customHeight="1">
      <c r="A241" s="2944" t="s">
        <v>305</v>
      </c>
      <c r="B241" s="2944" t="s">
        <v>3100</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3101</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3102</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3103</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3104</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3105</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2930</v>
      </c>
      <c r="C258" s="2944">
        <v>6190</v>
      </c>
      <c r="D258" s="2944">
        <v>6160</v>
      </c>
      <c r="E258" s="2944">
        <v>7680</v>
      </c>
      <c r="F258" s="2944">
        <v>1170</v>
      </c>
      <c r="G258" s="2944">
        <v>3780</v>
      </c>
    </row>
    <row r="259" spans="1:7" s="2778" customFormat="1" ht="14.25" customHeight="1">
      <c r="A259" s="2944" t="s">
        <v>305</v>
      </c>
      <c r="B259" s="2944" t="s">
        <v>3106</v>
      </c>
      <c r="C259" s="2944">
        <v>7610</v>
      </c>
      <c r="D259" s="2944">
        <v>7570</v>
      </c>
      <c r="E259" s="2944">
        <v>9350</v>
      </c>
      <c r="F259" s="2944">
        <v>1350</v>
      </c>
      <c r="G259" s="2944">
        <v>4650</v>
      </c>
    </row>
    <row r="260" spans="1:7" s="2778" customFormat="1" ht="14.25" customHeight="1">
      <c r="A260" s="2944" t="s">
        <v>305</v>
      </c>
      <c r="B260" s="2944" t="s">
        <v>3107</v>
      </c>
      <c r="C260" s="2944">
        <v>6920</v>
      </c>
      <c r="D260" s="2944">
        <v>6880</v>
      </c>
      <c r="E260" s="2944">
        <v>8380</v>
      </c>
      <c r="F260" s="2944">
        <v>1160</v>
      </c>
      <c r="G260" s="2944">
        <v>4220</v>
      </c>
    </row>
    <row r="261" spans="1:7" s="2778" customFormat="1" ht="14.25" customHeight="1">
      <c r="A261" s="2944" t="s">
        <v>305</v>
      </c>
      <c r="B261" s="2944" t="s">
        <v>3108</v>
      </c>
      <c r="C261" s="2944">
        <v>6850</v>
      </c>
      <c r="D261" s="2944">
        <v>6810</v>
      </c>
      <c r="E261" s="2944">
        <v>8290</v>
      </c>
      <c r="F261" s="2944">
        <v>1130</v>
      </c>
      <c r="G261" s="2944">
        <v>4180</v>
      </c>
    </row>
    <row r="262" spans="1:7" s="2778" customFormat="1" ht="14.25" customHeight="1">
      <c r="A262" s="2944" t="s">
        <v>305</v>
      </c>
      <c r="B262" s="2944" t="s">
        <v>3109</v>
      </c>
      <c r="C262" s="2944">
        <v>5860</v>
      </c>
      <c r="D262" s="2944">
        <v>5820</v>
      </c>
      <c r="E262" s="2944">
        <v>7640</v>
      </c>
      <c r="F262" s="2944">
        <v>1070</v>
      </c>
      <c r="G262" s="2944">
        <v>3570</v>
      </c>
    </row>
    <row r="263" spans="1:7" s="2778" customFormat="1" ht="14.25" customHeight="1">
      <c r="A263" s="2944" t="s">
        <v>305</v>
      </c>
      <c r="B263" s="2944" t="s">
        <v>3110</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3111</v>
      </c>
      <c r="C265" s="2944"/>
      <c r="D265" s="2944"/>
      <c r="E265" s="2944"/>
      <c r="F265" s="2944">
        <v>1500</v>
      </c>
      <c r="G265" s="2944"/>
    </row>
    <row r="266" spans="1:7" s="2778" customFormat="1" ht="14.25" customHeight="1">
      <c r="A266" s="2944" t="s">
        <v>305</v>
      </c>
      <c r="B266" s="2944" t="s">
        <v>3112</v>
      </c>
      <c r="C266" s="2944"/>
      <c r="D266" s="2944"/>
      <c r="E266" s="2944"/>
      <c r="F266" s="2944">
        <v>1500</v>
      </c>
      <c r="G266" s="2944"/>
    </row>
    <row r="267" spans="1:7" s="2778" customFormat="1" ht="14.25" customHeight="1">
      <c r="A267" s="2944" t="s">
        <v>305</v>
      </c>
      <c r="B267" s="2944" t="s">
        <v>3113</v>
      </c>
      <c r="C267" s="2944"/>
      <c r="D267" s="2944"/>
      <c r="E267" s="2944"/>
      <c r="F267" s="2944">
        <v>1500</v>
      </c>
      <c r="G267" s="2944"/>
    </row>
    <row r="268" spans="1:7" s="2778" customFormat="1" ht="14.25" customHeight="1">
      <c r="A268" s="2944" t="s">
        <v>305</v>
      </c>
      <c r="B268" s="2944" t="s">
        <v>3114</v>
      </c>
      <c r="C268" s="2944"/>
      <c r="D268" s="2944"/>
      <c r="E268" s="2944"/>
      <c r="F268" s="2944">
        <v>1290</v>
      </c>
      <c r="G268" s="2944"/>
    </row>
    <row r="269" spans="1:7" s="2778" customFormat="1" ht="14.25" customHeight="1">
      <c r="A269" s="2944" t="s">
        <v>305</v>
      </c>
      <c r="B269" s="2944" t="s">
        <v>3115</v>
      </c>
      <c r="C269" s="2944"/>
      <c r="D269" s="2944"/>
      <c r="E269" s="2944"/>
      <c r="F269" s="2944">
        <v>1150</v>
      </c>
      <c r="G269" s="2944"/>
    </row>
    <row r="270" spans="1:7" s="2778" customFormat="1" ht="14.25" customHeight="1">
      <c r="A270" s="2944" t="s">
        <v>305</v>
      </c>
      <c r="B270" s="2944" t="s">
        <v>3116</v>
      </c>
      <c r="C270" s="2944"/>
      <c r="D270" s="2944"/>
      <c r="E270" s="2944"/>
      <c r="F270" s="2944">
        <v>1380</v>
      </c>
      <c r="G270" s="2944"/>
    </row>
    <row r="271" spans="1:7" s="2778" customFormat="1" ht="14.25" customHeight="1">
      <c r="A271" s="2944" t="s">
        <v>305</v>
      </c>
      <c r="B271" s="2944" t="s">
        <v>3117</v>
      </c>
      <c r="C271" s="2944"/>
      <c r="D271" s="2944"/>
      <c r="E271" s="2944"/>
      <c r="F271" s="2944">
        <v>1460</v>
      </c>
      <c r="G271" s="2944"/>
    </row>
    <row r="272" spans="1:7" s="2778" customFormat="1" ht="14.25" customHeight="1">
      <c r="A272" s="2944" t="s">
        <v>305</v>
      </c>
      <c r="B272" s="2944" t="s">
        <v>3118</v>
      </c>
      <c r="C272" s="2944"/>
      <c r="D272" s="2944"/>
      <c r="E272" s="2944"/>
      <c r="F272" s="2944">
        <v>1460</v>
      </c>
      <c r="G272" s="2944"/>
    </row>
    <row r="273" spans="1:7" s="2778" customFormat="1" ht="14.25" customHeight="1">
      <c r="A273" s="2944" t="s">
        <v>305</v>
      </c>
      <c r="B273" s="2944" t="s">
        <v>3011</v>
      </c>
      <c r="C273" s="2944"/>
      <c r="D273" s="2944"/>
      <c r="E273" s="2944"/>
      <c r="F273" s="2944">
        <v>1490</v>
      </c>
      <c r="G273" s="2944"/>
    </row>
    <row r="274" spans="1:7" s="2778" customFormat="1" ht="14.25" customHeight="1">
      <c r="A274" s="2944" t="s">
        <v>305</v>
      </c>
      <c r="B274" s="2944" t="s">
        <v>3119</v>
      </c>
      <c r="C274" s="2944"/>
      <c r="D274" s="2944"/>
      <c r="E274" s="2944"/>
      <c r="F274" s="2944">
        <v>1490</v>
      </c>
      <c r="G274" s="2944"/>
    </row>
    <row r="275" spans="1:7" s="2778" customFormat="1" ht="14.25" customHeight="1">
      <c r="A275" s="2944" t="s">
        <v>305</v>
      </c>
      <c r="B275" s="2944" t="s">
        <v>3120</v>
      </c>
      <c r="C275" s="2944"/>
      <c r="D275" s="2944"/>
      <c r="E275" s="2944"/>
      <c r="F275" s="2944">
        <v>1220</v>
      </c>
      <c r="G275" s="2944"/>
    </row>
    <row r="276" spans="1:7" s="2778" customFormat="1" ht="14.25" customHeight="1" thickBot="1">
      <c r="A276" s="2952" t="s">
        <v>305</v>
      </c>
      <c r="B276" s="2954" t="s">
        <v>3121</v>
      </c>
      <c r="C276" s="2955"/>
      <c r="D276" s="2955"/>
      <c r="E276" s="2955"/>
      <c r="F276" s="2955">
        <v>1380</v>
      </c>
      <c r="G276" s="2955"/>
    </row>
    <row r="277" spans="1:7" s="2778" customFormat="1" ht="14.25" customHeight="1">
      <c r="A277" s="2949" t="s">
        <v>306</v>
      </c>
      <c r="B277" s="2940" t="s">
        <v>3122</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3123</v>
      </c>
      <c r="C279" s="2944">
        <v>4760</v>
      </c>
      <c r="D279" s="2944">
        <v>4720</v>
      </c>
      <c r="E279" s="2944">
        <v>5540</v>
      </c>
      <c r="F279" s="2944">
        <v>810</v>
      </c>
      <c r="G279" s="2957">
        <v>2850</v>
      </c>
    </row>
    <row r="280" spans="1:7" s="2778" customFormat="1" ht="14.25" customHeight="1">
      <c r="A280" s="2944" t="s">
        <v>306</v>
      </c>
      <c r="B280" s="2944" t="s">
        <v>3124</v>
      </c>
      <c r="C280" s="2944">
        <v>4010</v>
      </c>
      <c r="D280" s="2944">
        <v>3950</v>
      </c>
      <c r="E280" s="2944">
        <v>4710</v>
      </c>
      <c r="F280" s="2944">
        <v>800</v>
      </c>
      <c r="G280" s="2957">
        <v>2390</v>
      </c>
    </row>
    <row r="281" spans="1:7" s="2778" customFormat="1" ht="14.25" customHeight="1">
      <c r="A281" s="2944" t="s">
        <v>306</v>
      </c>
      <c r="B281" s="2944" t="s">
        <v>3125</v>
      </c>
      <c r="C281" s="2944">
        <v>4480</v>
      </c>
      <c r="D281" s="2944">
        <v>4420</v>
      </c>
      <c r="E281" s="2944">
        <v>5230</v>
      </c>
      <c r="F281" s="2944">
        <v>870</v>
      </c>
      <c r="G281" s="2957">
        <v>2660</v>
      </c>
    </row>
    <row r="282" spans="1:7" s="2778" customFormat="1" ht="14.25" customHeight="1">
      <c r="A282" s="2944" t="s">
        <v>306</v>
      </c>
      <c r="B282" s="2944" t="s">
        <v>3126</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3127</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3128</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2903</v>
      </c>
      <c r="C293" s="2944">
        <v>5320</v>
      </c>
      <c r="D293" s="2944">
        <v>5270</v>
      </c>
      <c r="E293" s="2944">
        <v>6160</v>
      </c>
      <c r="F293" s="2944">
        <v>990</v>
      </c>
      <c r="G293" s="2957">
        <v>3170</v>
      </c>
    </row>
    <row r="294" spans="1:7" s="2778" customFormat="1" ht="14.25" customHeight="1">
      <c r="A294" s="2944" t="s">
        <v>306</v>
      </c>
      <c r="B294" s="2944" t="s">
        <v>3129</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2922</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3130</v>
      </c>
      <c r="C302" s="2944">
        <v>5520</v>
      </c>
      <c r="D302" s="2944">
        <v>5470</v>
      </c>
      <c r="E302" s="2944">
        <v>6410</v>
      </c>
      <c r="F302" s="2944">
        <v>950</v>
      </c>
      <c r="G302" s="2957">
        <v>3300</v>
      </c>
    </row>
    <row r="303" spans="1:7" s="2778" customFormat="1" ht="14.25" customHeight="1">
      <c r="A303" s="2944" t="s">
        <v>306</v>
      </c>
      <c r="B303" s="2944" t="s">
        <v>2942</v>
      </c>
      <c r="C303" s="2944">
        <v>5630</v>
      </c>
      <c r="D303" s="2944">
        <v>5590</v>
      </c>
      <c r="E303" s="2944">
        <v>6550</v>
      </c>
      <c r="F303" s="2944">
        <v>1010</v>
      </c>
      <c r="G303" s="2957">
        <v>3370</v>
      </c>
    </row>
    <row r="304" spans="1:7" s="2778" customFormat="1" ht="14.25" customHeight="1">
      <c r="A304" s="2944" t="s">
        <v>306</v>
      </c>
      <c r="B304" s="2944" t="s">
        <v>2949</v>
      </c>
      <c r="C304" s="2944">
        <v>5680</v>
      </c>
      <c r="D304" s="2944">
        <v>5620</v>
      </c>
      <c r="E304" s="2944">
        <v>6620</v>
      </c>
      <c r="F304" s="2944">
        <v>1050</v>
      </c>
      <c r="G304" s="2957">
        <v>3390</v>
      </c>
    </row>
    <row r="305" spans="1:7" s="2778" customFormat="1" ht="14.25" customHeight="1">
      <c r="A305" s="2944" t="s">
        <v>306</v>
      </c>
      <c r="B305" s="2944" t="s">
        <v>2955</v>
      </c>
      <c r="C305" s="2944">
        <v>5590</v>
      </c>
      <c r="D305" s="2944">
        <v>5530</v>
      </c>
      <c r="E305" s="2944">
        <v>6460</v>
      </c>
      <c r="F305" s="2944">
        <v>900</v>
      </c>
      <c r="G305" s="2957">
        <v>3340</v>
      </c>
    </row>
    <row r="306" spans="1:7" s="2778" customFormat="1" ht="14.25" customHeight="1">
      <c r="A306" s="2944" t="s">
        <v>306</v>
      </c>
      <c r="B306" s="2944" t="s">
        <v>3131</v>
      </c>
      <c r="C306" s="2944">
        <v>5560</v>
      </c>
      <c r="D306" s="2944">
        <v>5510</v>
      </c>
      <c r="E306" s="2944">
        <v>6440</v>
      </c>
      <c r="F306" s="2944">
        <v>900</v>
      </c>
      <c r="G306" s="2957">
        <v>3320</v>
      </c>
    </row>
    <row r="307" spans="1:7" s="2778" customFormat="1" ht="14.25" customHeight="1">
      <c r="A307" s="2944" t="s">
        <v>306</v>
      </c>
      <c r="B307" s="2944" t="s">
        <v>2967</v>
      </c>
      <c r="C307" s="2944">
        <v>5650</v>
      </c>
      <c r="D307" s="2944">
        <v>5600</v>
      </c>
      <c r="E307" s="2944">
        <v>6590</v>
      </c>
      <c r="F307" s="2944">
        <v>930</v>
      </c>
      <c r="G307" s="2957">
        <v>3380</v>
      </c>
    </row>
    <row r="308" spans="1:7" s="2778" customFormat="1" ht="14.25" customHeight="1">
      <c r="A308" s="2944" t="s">
        <v>306</v>
      </c>
      <c r="B308" s="2944" t="s">
        <v>3132</v>
      </c>
      <c r="C308" s="2944">
        <v>5620</v>
      </c>
      <c r="D308" s="2944">
        <v>5580</v>
      </c>
      <c r="E308" s="2944">
        <v>6540</v>
      </c>
      <c r="F308" s="2944">
        <v>910</v>
      </c>
      <c r="G308" s="2957">
        <v>3370</v>
      </c>
    </row>
    <row r="309" spans="1:7" s="2778" customFormat="1" ht="14.25" customHeight="1">
      <c r="A309" s="2944" t="s">
        <v>306</v>
      </c>
      <c r="B309" s="2944" t="s">
        <v>3133</v>
      </c>
      <c r="C309" s="2944">
        <v>5060</v>
      </c>
      <c r="D309" s="2944">
        <v>5020</v>
      </c>
      <c r="E309" s="2944">
        <v>6370</v>
      </c>
      <c r="F309" s="2944">
        <v>800</v>
      </c>
      <c r="G309" s="2957">
        <v>3020</v>
      </c>
    </row>
    <row r="310" spans="1:7" s="2778" customFormat="1" ht="14.25" customHeight="1">
      <c r="A310" s="2944" t="s">
        <v>306</v>
      </c>
      <c r="B310" s="2944" t="s">
        <v>2982</v>
      </c>
      <c r="C310" s="2944">
        <v>5150</v>
      </c>
      <c r="D310" s="2944">
        <v>5110</v>
      </c>
      <c r="E310" s="2944">
        <v>6500</v>
      </c>
      <c r="F310" s="2944">
        <v>880</v>
      </c>
      <c r="G310" s="2957">
        <v>3080</v>
      </c>
    </row>
    <row r="311" spans="1:7" s="2778" customFormat="1" ht="14.25" customHeight="1">
      <c r="A311" s="2944" t="s">
        <v>306</v>
      </c>
      <c r="B311" s="2944" t="s">
        <v>3134</v>
      </c>
      <c r="C311" s="2944">
        <v>4750</v>
      </c>
      <c r="D311" s="2944">
        <v>4710</v>
      </c>
      <c r="E311" s="2944">
        <v>5510</v>
      </c>
      <c r="F311" s="2944">
        <v>880</v>
      </c>
      <c r="G311" s="2957">
        <v>2840</v>
      </c>
    </row>
    <row r="312" spans="1:7" s="2778" customFormat="1" ht="14.25" customHeight="1">
      <c r="A312" s="2944" t="s">
        <v>306</v>
      </c>
      <c r="B312" s="2944" t="s">
        <v>2992</v>
      </c>
      <c r="C312" s="2944">
        <v>4690</v>
      </c>
      <c r="D312" s="2944">
        <v>4640</v>
      </c>
      <c r="E312" s="2944">
        <v>5420</v>
      </c>
      <c r="F312" s="2944">
        <v>800</v>
      </c>
      <c r="G312" s="2957">
        <v>2800</v>
      </c>
    </row>
    <row r="313" spans="1:7" s="2778" customFormat="1" ht="14.25" customHeight="1">
      <c r="A313" s="2944" t="s">
        <v>306</v>
      </c>
      <c r="B313" s="2944" t="s">
        <v>2997</v>
      </c>
      <c r="C313" s="2944">
        <v>4810</v>
      </c>
      <c r="D313" s="2944">
        <v>4760</v>
      </c>
      <c r="E313" s="2944">
        <v>5550</v>
      </c>
      <c r="F313" s="2944">
        <v>920</v>
      </c>
      <c r="G313" s="2957">
        <v>2870</v>
      </c>
    </row>
    <row r="314" spans="1:7" s="2778" customFormat="1" ht="14.25" customHeight="1">
      <c r="A314" s="2944" t="s">
        <v>306</v>
      </c>
      <c r="B314" s="2944" t="s">
        <v>3135</v>
      </c>
      <c r="C314" s="2944"/>
      <c r="D314" s="2944"/>
      <c r="E314" s="2944"/>
      <c r="F314" s="2944">
        <v>1020</v>
      </c>
      <c r="G314" s="2957"/>
    </row>
    <row r="315" spans="1:7" s="2778" customFormat="1" ht="14.25" customHeight="1">
      <c r="A315" s="2944" t="s">
        <v>306</v>
      </c>
      <c r="B315" s="2944" t="s">
        <v>3136</v>
      </c>
      <c r="C315" s="2944"/>
      <c r="D315" s="2944"/>
      <c r="E315" s="2944"/>
      <c r="F315" s="2944">
        <v>1050</v>
      </c>
      <c r="G315" s="2957"/>
    </row>
    <row r="316" spans="1:7" s="2778" customFormat="1" ht="14.25" customHeight="1">
      <c r="A316" s="2944" t="s">
        <v>306</v>
      </c>
      <c r="B316" s="2944" t="s">
        <v>3012</v>
      </c>
      <c r="C316" s="2944"/>
      <c r="D316" s="2944"/>
      <c r="E316" s="2944"/>
      <c r="F316" s="2944">
        <v>900</v>
      </c>
      <c r="G316" s="2957"/>
    </row>
    <row r="317" spans="1:7" s="2778" customFormat="1" ht="14.25" customHeight="1">
      <c r="A317" s="2944" t="s">
        <v>306</v>
      </c>
      <c r="B317" s="2944" t="s">
        <v>3137</v>
      </c>
      <c r="C317" s="2944"/>
      <c r="D317" s="2944"/>
      <c r="E317" s="2944"/>
      <c r="F317" s="2944">
        <v>920</v>
      </c>
      <c r="G317" s="2957"/>
    </row>
    <row r="318" spans="1:7" s="2778" customFormat="1" ht="14.25" customHeight="1">
      <c r="A318" s="2944" t="s">
        <v>306</v>
      </c>
      <c r="B318" s="2944" t="s">
        <v>3138</v>
      </c>
      <c r="C318" s="2944"/>
      <c r="D318" s="2944"/>
      <c r="E318" s="2944"/>
      <c r="F318" s="2944">
        <v>1080</v>
      </c>
      <c r="G318" s="2957"/>
    </row>
    <row r="319" spans="1:7" s="2778" customFormat="1" ht="14.25" customHeight="1">
      <c r="A319" s="2944" t="s">
        <v>306</v>
      </c>
      <c r="B319" s="2944" t="s">
        <v>3025</v>
      </c>
      <c r="C319" s="2944"/>
      <c r="D319" s="2944"/>
      <c r="E319" s="2944"/>
      <c r="F319" s="2944">
        <v>1020</v>
      </c>
      <c r="G319" s="2957"/>
    </row>
    <row r="320" spans="1:7" s="2778" customFormat="1" ht="14.25" customHeight="1">
      <c r="A320" s="2944" t="s">
        <v>306</v>
      </c>
      <c r="B320" s="2944" t="s">
        <v>3028</v>
      </c>
      <c r="C320" s="2944"/>
      <c r="D320" s="2944"/>
      <c r="E320" s="2944"/>
      <c r="F320" s="2944">
        <v>1050</v>
      </c>
      <c r="G320" s="2957"/>
    </row>
    <row r="321" spans="1:7" s="2778" customFormat="1" ht="14.25" customHeight="1">
      <c r="A321" s="2944" t="s">
        <v>306</v>
      </c>
      <c r="B321" s="2944" t="s">
        <v>3030</v>
      </c>
      <c r="C321" s="2944"/>
      <c r="D321" s="2944"/>
      <c r="E321" s="2944"/>
      <c r="F321" s="2944">
        <v>960</v>
      </c>
      <c r="G321" s="2957"/>
    </row>
    <row r="322" spans="1:7" s="2778" customFormat="1" ht="14.25" customHeight="1">
      <c r="A322" s="2944" t="s">
        <v>306</v>
      </c>
      <c r="B322" s="2944" t="s">
        <v>3032</v>
      </c>
      <c r="C322" s="2944"/>
      <c r="D322" s="2944"/>
      <c r="E322" s="2944"/>
      <c r="F322" s="2944">
        <v>960</v>
      </c>
      <c r="G322" s="2957"/>
    </row>
    <row r="323" spans="1:7" s="2778" customFormat="1" ht="14.25" customHeight="1">
      <c r="A323" s="2944" t="s">
        <v>306</v>
      </c>
      <c r="B323" s="2944" t="s">
        <v>3034</v>
      </c>
      <c r="C323" s="2944"/>
      <c r="D323" s="2944"/>
      <c r="E323" s="2944"/>
      <c r="F323" s="2944">
        <v>880</v>
      </c>
      <c r="G323" s="2957"/>
    </row>
    <row r="324" spans="1:7" s="2778" customFormat="1" ht="14.25" customHeight="1">
      <c r="A324" s="2944" t="s">
        <v>306</v>
      </c>
      <c r="B324" s="2944" t="s">
        <v>3036</v>
      </c>
      <c r="C324" s="2944"/>
      <c r="D324" s="2944"/>
      <c r="E324" s="2944"/>
      <c r="F324" s="2944">
        <v>930</v>
      </c>
      <c r="G324" s="2957"/>
    </row>
    <row r="325" spans="1:7" s="2778" customFormat="1" ht="14.25" customHeight="1">
      <c r="A325" s="2944" t="s">
        <v>306</v>
      </c>
      <c r="B325" s="2945" t="s">
        <v>3038</v>
      </c>
      <c r="C325" s="2944"/>
      <c r="D325" s="2944"/>
      <c r="E325" s="2944"/>
      <c r="F325" s="2944">
        <v>900</v>
      </c>
      <c r="G325" s="2957"/>
    </row>
    <row r="326" spans="1:7" s="2778" customFormat="1" ht="14.25" customHeight="1" thickBot="1">
      <c r="A326" s="2958" t="s">
        <v>306</v>
      </c>
      <c r="B326" s="2951" t="s">
        <v>3040</v>
      </c>
      <c r="C326" s="2951"/>
      <c r="D326" s="2951"/>
      <c r="E326" s="2951"/>
      <c r="F326" s="2951">
        <v>790</v>
      </c>
      <c r="G326" s="2959"/>
    </row>
    <row r="327" spans="1:7" s="2778" customFormat="1" ht="14.25" customHeight="1">
      <c r="A327" s="2949" t="s">
        <v>307</v>
      </c>
      <c r="B327" s="2940" t="s">
        <v>3139</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3140</v>
      </c>
      <c r="C329" s="2944">
        <v>2730</v>
      </c>
      <c r="D329" s="2944">
        <v>2690</v>
      </c>
      <c r="E329" s="2944">
        <v>3100</v>
      </c>
      <c r="F329" s="2944">
        <v>660</v>
      </c>
      <c r="G329" s="2944">
        <v>1610</v>
      </c>
    </row>
    <row r="330" spans="1:7" s="2778" customFormat="1" ht="14.25" customHeight="1">
      <c r="A330" s="2944" t="s">
        <v>307</v>
      </c>
      <c r="B330" s="2944" t="s">
        <v>3141</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2874</v>
      </c>
      <c r="C332" s="2944">
        <v>3520</v>
      </c>
      <c r="D332" s="2944">
        <v>3480</v>
      </c>
      <c r="E332" s="2944">
        <v>3830</v>
      </c>
      <c r="F332" s="2944">
        <v>720</v>
      </c>
      <c r="G332" s="2944">
        <v>2090</v>
      </c>
    </row>
    <row r="333" spans="1:7" s="2778" customFormat="1" ht="14.25" customHeight="1">
      <c r="A333" s="2944" t="s">
        <v>307</v>
      </c>
      <c r="B333" s="2944" t="s">
        <v>3142</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2884</v>
      </c>
      <c r="C336" s="2944">
        <v>3570</v>
      </c>
      <c r="D336" s="2944">
        <v>3530</v>
      </c>
      <c r="E336" s="2944">
        <v>3880</v>
      </c>
      <c r="F336" s="2944">
        <v>770</v>
      </c>
      <c r="G336" s="2944">
        <v>2110</v>
      </c>
    </row>
    <row r="337" spans="1:10" s="2778" customFormat="1" ht="14.25" customHeight="1">
      <c r="A337" s="2944" t="s">
        <v>307</v>
      </c>
      <c r="B337" s="2944" t="s">
        <v>3143</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3144</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3145</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2909</v>
      </c>
      <c r="C345" s="2944">
        <v>3190</v>
      </c>
      <c r="D345" s="2944">
        <v>3140</v>
      </c>
      <c r="E345" s="2944">
        <v>3450</v>
      </c>
      <c r="F345" s="2944">
        <v>720</v>
      </c>
      <c r="G345" s="2944">
        <v>1880</v>
      </c>
      <c r="J345" s="2778"/>
    </row>
    <row r="346" spans="1:10">
      <c r="A346" s="2944" t="s">
        <v>307</v>
      </c>
      <c r="B346" s="2944" t="s">
        <v>3146</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2918</v>
      </c>
      <c r="C348" s="2944">
        <v>4000</v>
      </c>
      <c r="D348" s="2944">
        <v>3950</v>
      </c>
      <c r="E348" s="2944">
        <v>4430</v>
      </c>
      <c r="F348" s="2944">
        <v>760</v>
      </c>
      <c r="G348" s="2944">
        <v>2360</v>
      </c>
      <c r="J348" s="2778"/>
    </row>
    <row r="349" spans="1:10">
      <c r="A349" s="2944" t="s">
        <v>307</v>
      </c>
      <c r="B349" s="2944" t="s">
        <v>2923</v>
      </c>
      <c r="C349" s="2944">
        <v>3820</v>
      </c>
      <c r="D349" s="2944">
        <v>3780</v>
      </c>
      <c r="E349" s="2944">
        <v>4170</v>
      </c>
      <c r="F349" s="2944">
        <v>710</v>
      </c>
      <c r="G349" s="2944">
        <v>2260</v>
      </c>
      <c r="J349" s="2778"/>
    </row>
    <row r="350" spans="1:10">
      <c r="A350" s="2944" t="s">
        <v>307</v>
      </c>
      <c r="B350" s="2944" t="s">
        <v>3147</v>
      </c>
      <c r="C350" s="2944">
        <v>3760</v>
      </c>
      <c r="D350" s="2944">
        <v>3730</v>
      </c>
      <c r="E350" s="2944">
        <v>4100</v>
      </c>
      <c r="F350" s="2944">
        <v>800</v>
      </c>
      <c r="G350" s="2944">
        <v>2230</v>
      </c>
      <c r="J350" s="2778"/>
    </row>
    <row r="351" spans="1:10">
      <c r="A351" s="2944" t="s">
        <v>307</v>
      </c>
      <c r="B351" s="2944" t="s">
        <v>2931</v>
      </c>
      <c r="C351" s="2944">
        <v>3610</v>
      </c>
      <c r="D351" s="2944">
        <v>3580</v>
      </c>
      <c r="E351" s="2944">
        <v>3930</v>
      </c>
      <c r="F351" s="2944">
        <v>700</v>
      </c>
      <c r="G351" s="2944">
        <v>2140</v>
      </c>
      <c r="J351" s="2778"/>
    </row>
    <row r="352" spans="1:10">
      <c r="A352" s="2944" t="s">
        <v>307</v>
      </c>
      <c r="B352" s="2944" t="s">
        <v>2936</v>
      </c>
      <c r="C352" s="2944">
        <v>3670</v>
      </c>
      <c r="D352" s="2944">
        <v>3630</v>
      </c>
      <c r="E352" s="2944">
        <v>4000</v>
      </c>
      <c r="F352" s="2944">
        <v>750</v>
      </c>
      <c r="G352" s="2944">
        <v>2180</v>
      </c>
    </row>
    <row r="353" spans="1:7" s="2779" customFormat="1">
      <c r="A353" s="2944" t="s">
        <v>307</v>
      </c>
      <c r="B353" s="2944" t="s">
        <v>3148</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2956</v>
      </c>
      <c r="C355" s="2944">
        <v>3650</v>
      </c>
      <c r="D355" s="2944">
        <v>3610</v>
      </c>
      <c r="E355" s="2944">
        <v>4200</v>
      </c>
      <c r="F355" s="2944">
        <v>640</v>
      </c>
      <c r="G355" s="2944">
        <v>2160</v>
      </c>
    </row>
    <row r="356" spans="1:7" s="2779" customFormat="1">
      <c r="A356" s="2944" t="s">
        <v>307</v>
      </c>
      <c r="B356" s="2944" t="s">
        <v>2963</v>
      </c>
      <c r="C356" s="2944">
        <v>3260</v>
      </c>
      <c r="D356" s="2944">
        <v>3230</v>
      </c>
      <c r="E356" s="2944">
        <v>3740</v>
      </c>
      <c r="F356" s="2944">
        <v>600</v>
      </c>
      <c r="G356" s="2944">
        <v>1930</v>
      </c>
    </row>
    <row r="357" spans="1:7" s="2779" customFormat="1" ht="12" thickBot="1">
      <c r="A357" s="2952" t="s">
        <v>307</v>
      </c>
      <c r="B357" s="2955" t="s">
        <v>3149</v>
      </c>
      <c r="C357" s="2955">
        <v>3690</v>
      </c>
      <c r="D357" s="2955">
        <v>3650</v>
      </c>
      <c r="E357" s="2955">
        <v>4020</v>
      </c>
      <c r="F357" s="2955">
        <v>700</v>
      </c>
      <c r="G357" s="2955">
        <v>2190</v>
      </c>
    </row>
    <row r="358" spans="1:7" s="2779" customFormat="1">
      <c r="A358" s="2949" t="s">
        <v>3150</v>
      </c>
      <c r="B358" s="2940" t="s">
        <v>3151</v>
      </c>
      <c r="C358" s="2940">
        <v>2080</v>
      </c>
      <c r="D358" s="2940">
        <v>2040</v>
      </c>
      <c r="E358" s="2940">
        <v>2010</v>
      </c>
      <c r="F358" s="2940">
        <v>530</v>
      </c>
      <c r="G358" s="2956">
        <v>1230</v>
      </c>
    </row>
    <row r="359" spans="1:7" s="2779" customFormat="1">
      <c r="A359" s="2944" t="s">
        <v>3150</v>
      </c>
      <c r="B359" s="2944" t="s">
        <v>3152</v>
      </c>
      <c r="C359" s="2944">
        <v>1850</v>
      </c>
      <c r="D359" s="2944">
        <v>1820</v>
      </c>
      <c r="E359" s="2944">
        <v>1780</v>
      </c>
      <c r="F359" s="2944">
        <v>520</v>
      </c>
      <c r="G359" s="2957">
        <v>1100</v>
      </c>
    </row>
    <row r="360" spans="1:7" s="2779" customFormat="1">
      <c r="A360" s="2944" t="s">
        <v>3150</v>
      </c>
      <c r="B360" s="2944" t="s">
        <v>3153</v>
      </c>
      <c r="C360" s="2944">
        <v>2020</v>
      </c>
      <c r="D360" s="2944">
        <v>1990</v>
      </c>
      <c r="E360" s="2944">
        <v>1950</v>
      </c>
      <c r="F360" s="2944">
        <v>500</v>
      </c>
      <c r="G360" s="2957">
        <v>1200</v>
      </c>
    </row>
    <row r="361" spans="1:7" s="2779" customFormat="1">
      <c r="A361" s="2944" t="s">
        <v>3150</v>
      </c>
      <c r="B361" s="2944" t="s">
        <v>153</v>
      </c>
      <c r="C361" s="2944">
        <v>2260</v>
      </c>
      <c r="D361" s="2944">
        <v>2220</v>
      </c>
      <c r="E361" s="2944">
        <v>2180</v>
      </c>
      <c r="F361" s="2944">
        <v>580</v>
      </c>
      <c r="G361" s="2957">
        <v>1340</v>
      </c>
    </row>
    <row r="362" spans="1:7" s="2779" customFormat="1">
      <c r="A362" s="2944" t="s">
        <v>3150</v>
      </c>
      <c r="B362" s="2944" t="s">
        <v>3154</v>
      </c>
      <c r="C362" s="2944">
        <v>2650</v>
      </c>
      <c r="D362" s="2944">
        <v>2610</v>
      </c>
      <c r="E362" s="2944">
        <v>2570</v>
      </c>
      <c r="F362" s="2944">
        <v>630</v>
      </c>
      <c r="G362" s="2957">
        <v>1570</v>
      </c>
    </row>
    <row r="363" spans="1:7" s="2779" customFormat="1">
      <c r="A363" s="2944" t="s">
        <v>3150</v>
      </c>
      <c r="B363" s="2944" t="s">
        <v>2875</v>
      </c>
      <c r="C363" s="2944">
        <v>2390</v>
      </c>
      <c r="D363" s="2944">
        <v>2360</v>
      </c>
      <c r="E363" s="2944">
        <v>2320</v>
      </c>
      <c r="F363" s="2944">
        <v>600</v>
      </c>
      <c r="G363" s="2957">
        <v>1420</v>
      </c>
    </row>
    <row r="364" spans="1:7" s="2779" customFormat="1">
      <c r="A364" s="2944" t="s">
        <v>3150</v>
      </c>
      <c r="B364" s="2944" t="s">
        <v>3155</v>
      </c>
      <c r="C364" s="2944">
        <v>2050</v>
      </c>
      <c r="D364" s="2944">
        <v>2030</v>
      </c>
      <c r="E364" s="2944">
        <v>1990</v>
      </c>
      <c r="F364" s="2944">
        <v>550</v>
      </c>
      <c r="G364" s="2957">
        <v>1220</v>
      </c>
    </row>
    <row r="365" spans="1:7" s="2779" customFormat="1">
      <c r="A365" s="2944" t="s">
        <v>3150</v>
      </c>
      <c r="B365" s="2944" t="s">
        <v>200</v>
      </c>
      <c r="C365" s="2944">
        <v>2140</v>
      </c>
      <c r="D365" s="2944">
        <v>2100</v>
      </c>
      <c r="E365" s="2944">
        <v>2060</v>
      </c>
      <c r="F365" s="2944">
        <v>540</v>
      </c>
      <c r="G365" s="2957">
        <v>1270</v>
      </c>
    </row>
    <row r="366" spans="1:7" s="2779" customFormat="1">
      <c r="A366" s="2944" t="s">
        <v>3150</v>
      </c>
      <c r="B366" s="2944" t="s">
        <v>2882</v>
      </c>
      <c r="C366" s="2944">
        <v>2410</v>
      </c>
      <c r="D366" s="2944">
        <v>2370</v>
      </c>
      <c r="E366" s="2944">
        <v>2330</v>
      </c>
      <c r="F366" s="2944">
        <v>570</v>
      </c>
      <c r="G366" s="2957">
        <v>1440</v>
      </c>
    </row>
    <row r="367" spans="1:7" s="2779" customFormat="1">
      <c r="A367" s="2944" t="s">
        <v>3150</v>
      </c>
      <c r="B367" s="2944" t="s">
        <v>3156</v>
      </c>
      <c r="C367" s="2944">
        <v>2300</v>
      </c>
      <c r="D367" s="2944">
        <v>2260</v>
      </c>
      <c r="E367" s="2944">
        <v>2220</v>
      </c>
      <c r="F367" s="2944">
        <v>560</v>
      </c>
      <c r="G367" s="2957">
        <v>1370</v>
      </c>
    </row>
    <row r="368" spans="1:7" s="2779" customFormat="1">
      <c r="A368" s="2944" t="s">
        <v>3150</v>
      </c>
      <c r="B368" s="2944" t="s">
        <v>3157</v>
      </c>
      <c r="C368" s="2944">
        <v>2430</v>
      </c>
      <c r="D368" s="2944">
        <v>2390</v>
      </c>
      <c r="E368" s="2944">
        <v>2350</v>
      </c>
      <c r="F368" s="2944">
        <v>570</v>
      </c>
      <c r="G368" s="2957">
        <v>1450</v>
      </c>
    </row>
    <row r="369" spans="1:7" s="2779" customFormat="1">
      <c r="A369" s="2944" t="s">
        <v>3150</v>
      </c>
      <c r="B369" s="2944" t="s">
        <v>214</v>
      </c>
      <c r="C369" s="2944">
        <v>2320</v>
      </c>
      <c r="D369" s="2944">
        <v>2290</v>
      </c>
      <c r="E369" s="2944">
        <v>2250</v>
      </c>
      <c r="F369" s="2944">
        <v>550</v>
      </c>
      <c r="G369" s="2957">
        <v>1380</v>
      </c>
    </row>
    <row r="370" spans="1:7" s="2779" customFormat="1">
      <c r="A370" s="2944" t="s">
        <v>3150</v>
      </c>
      <c r="B370" s="2944" t="s">
        <v>221</v>
      </c>
      <c r="C370" s="2944">
        <v>2190</v>
      </c>
      <c r="D370" s="2944">
        <v>2170</v>
      </c>
      <c r="E370" s="2944">
        <v>2130</v>
      </c>
      <c r="F370" s="2944">
        <v>530</v>
      </c>
      <c r="G370" s="2957">
        <v>1310</v>
      </c>
    </row>
    <row r="371" spans="1:7" s="2779" customFormat="1">
      <c r="A371" s="2944" t="s">
        <v>3150</v>
      </c>
      <c r="B371" s="2944" t="s">
        <v>229</v>
      </c>
      <c r="C371" s="2944">
        <v>2460</v>
      </c>
      <c r="D371" s="2944">
        <v>2420</v>
      </c>
      <c r="E371" s="2944">
        <v>2370</v>
      </c>
      <c r="F371" s="2944">
        <v>560</v>
      </c>
      <c r="G371" s="2957">
        <v>1470</v>
      </c>
    </row>
    <row r="372" spans="1:7" s="2779" customFormat="1">
      <c r="A372" s="2944" t="s">
        <v>3150</v>
      </c>
      <c r="B372" s="2944" t="s">
        <v>3158</v>
      </c>
      <c r="C372" s="2944">
        <v>2250</v>
      </c>
      <c r="D372" s="2944">
        <v>2210</v>
      </c>
      <c r="E372" s="2944">
        <v>2180</v>
      </c>
      <c r="F372" s="2944">
        <v>550</v>
      </c>
      <c r="G372" s="2957">
        <v>1340</v>
      </c>
    </row>
    <row r="373" spans="1:7" s="2779" customFormat="1">
      <c r="A373" s="2944" t="s">
        <v>3150</v>
      </c>
      <c r="B373" s="2944" t="s">
        <v>258</v>
      </c>
      <c r="C373" s="2944">
        <v>2210</v>
      </c>
      <c r="D373" s="2944">
        <v>2190</v>
      </c>
      <c r="E373" s="2944">
        <v>2150</v>
      </c>
      <c r="F373" s="2944">
        <v>530</v>
      </c>
      <c r="G373" s="2957">
        <v>1320</v>
      </c>
    </row>
    <row r="374" spans="1:7" s="2779" customFormat="1">
      <c r="A374" s="2944" t="s">
        <v>3150</v>
      </c>
      <c r="B374" s="2944" t="s">
        <v>266</v>
      </c>
      <c r="C374" s="2944">
        <v>2320</v>
      </c>
      <c r="D374" s="2944">
        <v>2280</v>
      </c>
      <c r="E374" s="2944">
        <v>2230</v>
      </c>
      <c r="F374" s="2944">
        <v>580</v>
      </c>
      <c r="G374" s="2957">
        <v>1380</v>
      </c>
    </row>
    <row r="375" spans="1:7" s="2779" customFormat="1">
      <c r="A375" s="2944" t="s">
        <v>3150</v>
      </c>
      <c r="B375" s="2944" t="s">
        <v>3159</v>
      </c>
      <c r="C375" s="2944">
        <v>2090</v>
      </c>
      <c r="D375" s="2944">
        <v>2050</v>
      </c>
      <c r="E375" s="2944">
        <v>2020</v>
      </c>
      <c r="F375" s="2944">
        <v>520</v>
      </c>
      <c r="G375" s="2957">
        <v>1240</v>
      </c>
    </row>
    <row r="376" spans="1:7" s="2779" customFormat="1">
      <c r="A376" s="2944" t="s">
        <v>3150</v>
      </c>
      <c r="B376" s="2944" t="s">
        <v>277</v>
      </c>
      <c r="C376" s="2944">
        <v>2010</v>
      </c>
      <c r="D376" s="2944">
        <v>1980</v>
      </c>
      <c r="E376" s="2944">
        <v>1940</v>
      </c>
      <c r="F376" s="2944">
        <v>540</v>
      </c>
      <c r="G376" s="2957">
        <v>1190</v>
      </c>
    </row>
    <row r="377" spans="1:7" s="2779" customFormat="1" ht="12" thickBot="1">
      <c r="A377" s="2952" t="s">
        <v>3150</v>
      </c>
      <c r="B377" s="2955" t="s">
        <v>2912</v>
      </c>
      <c r="C377" s="2955">
        <v>1930</v>
      </c>
      <c r="D377" s="2955">
        <v>1890</v>
      </c>
      <c r="E377" s="2955">
        <v>1860</v>
      </c>
      <c r="F377" s="2955">
        <v>530</v>
      </c>
      <c r="G377" s="2960">
        <v>1150</v>
      </c>
    </row>
    <row r="378" spans="1:7" s="2779" customFormat="1">
      <c r="A378" s="2961" t="s">
        <v>3160</v>
      </c>
      <c r="B378" s="2940" t="s">
        <v>3161</v>
      </c>
      <c r="C378" s="2940">
        <v>1520</v>
      </c>
      <c r="D378" s="2940">
        <v>1490</v>
      </c>
      <c r="E378" s="2940">
        <v>1460</v>
      </c>
      <c r="F378" s="2940">
        <v>460</v>
      </c>
      <c r="G378" s="2956">
        <v>940</v>
      </c>
    </row>
    <row r="379" spans="1:7" s="2779" customFormat="1">
      <c r="A379" s="2962" t="s">
        <v>3160</v>
      </c>
      <c r="B379" s="2944" t="s">
        <v>3162</v>
      </c>
      <c r="C379" s="2944">
        <v>1500</v>
      </c>
      <c r="D379" s="2944">
        <v>1470</v>
      </c>
      <c r="E379" s="2944">
        <v>1430</v>
      </c>
      <c r="F379" s="2944">
        <v>460</v>
      </c>
      <c r="G379" s="2957">
        <v>920</v>
      </c>
    </row>
    <row r="380" spans="1:7" s="2779" customFormat="1">
      <c r="A380" s="2962" t="s">
        <v>3160</v>
      </c>
      <c r="B380" s="2944" t="s">
        <v>3163</v>
      </c>
      <c r="C380" s="2944">
        <v>1620</v>
      </c>
      <c r="D380" s="2944">
        <v>1590</v>
      </c>
      <c r="E380" s="2944">
        <v>1560</v>
      </c>
      <c r="F380" s="2944">
        <v>480</v>
      </c>
      <c r="G380" s="2957">
        <v>1000</v>
      </c>
    </row>
    <row r="381" spans="1:7" s="2779" customFormat="1">
      <c r="A381" s="2962" t="s">
        <v>3160</v>
      </c>
      <c r="B381" s="2944" t="s">
        <v>3164</v>
      </c>
      <c r="C381" s="2944">
        <v>1460</v>
      </c>
      <c r="D381" s="2944">
        <v>1430</v>
      </c>
      <c r="E381" s="2944">
        <v>1390</v>
      </c>
      <c r="F381" s="2944">
        <v>450</v>
      </c>
      <c r="G381" s="2957">
        <v>900</v>
      </c>
    </row>
    <row r="382" spans="1:7" s="2779" customFormat="1">
      <c r="A382" s="2962" t="s">
        <v>3160</v>
      </c>
      <c r="B382" s="2944" t="s">
        <v>3165</v>
      </c>
      <c r="C382" s="2944">
        <v>1310</v>
      </c>
      <c r="D382" s="2944">
        <v>1280</v>
      </c>
      <c r="E382" s="2944">
        <v>1250</v>
      </c>
      <c r="F382" s="2944">
        <v>440</v>
      </c>
      <c r="G382" s="2957">
        <v>800</v>
      </c>
    </row>
    <row r="383" spans="1:7" s="2779" customFormat="1">
      <c r="A383" s="2962" t="s">
        <v>3160</v>
      </c>
      <c r="B383" s="2944" t="s">
        <v>3166</v>
      </c>
      <c r="C383" s="2944">
        <v>1260</v>
      </c>
      <c r="D383" s="2944">
        <v>1230</v>
      </c>
      <c r="E383" s="2944">
        <v>1200</v>
      </c>
      <c r="F383" s="2944">
        <v>420</v>
      </c>
      <c r="G383" s="2957">
        <v>770</v>
      </c>
    </row>
    <row r="384" spans="1:7" s="2779" customFormat="1" ht="12" thickBot="1">
      <c r="A384" s="2963" t="s">
        <v>3160</v>
      </c>
      <c r="B384" s="2951" t="s">
        <v>3167</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533" t="s">
        <v>3168</v>
      </c>
      <c r="B1" s="3533"/>
    </row>
    <row r="2" spans="1:7" ht="14.25" thickBot="1">
      <c r="A2" s="2965"/>
      <c r="B2" s="2965"/>
    </row>
    <row r="3" spans="1:7" ht="14.25" thickBot="1">
      <c r="A3" s="2965"/>
      <c r="B3" s="2965"/>
      <c r="C3" s="2966" t="s">
        <v>2798</v>
      </c>
      <c r="D3" s="2966" t="s">
        <v>2854</v>
      </c>
      <c r="E3" s="2966" t="s">
        <v>2800</v>
      </c>
      <c r="F3" s="2966" t="s">
        <v>2855</v>
      </c>
      <c r="G3" s="2966" t="s">
        <v>2618</v>
      </c>
    </row>
    <row r="4" spans="1:7" ht="14.25" thickBot="1">
      <c r="A4" s="2967" t="s">
        <v>2853</v>
      </c>
      <c r="B4" s="2968" t="s">
        <v>2859</v>
      </c>
      <c r="C4" s="2966"/>
      <c r="D4" s="2966"/>
      <c r="E4" s="2966"/>
      <c r="F4" s="2966"/>
      <c r="G4" s="2966"/>
    </row>
    <row r="5" spans="1:7">
      <c r="A5" s="2969" t="s">
        <v>2827</v>
      </c>
      <c r="B5" s="2970" t="s">
        <v>2841</v>
      </c>
      <c r="C5" s="2971">
        <v>9.8000000000000004E-2</v>
      </c>
      <c r="D5" s="2971">
        <v>8.6999999999999994E-2</v>
      </c>
      <c r="E5" s="2971">
        <v>8.6999999999999994E-2</v>
      </c>
      <c r="F5" s="2971">
        <v>9.8000000000000004E-2</v>
      </c>
      <c r="G5" s="2972">
        <v>9.5000000000000001E-2</v>
      </c>
    </row>
    <row r="6" spans="1:7">
      <c r="A6" s="2973" t="s">
        <v>144</v>
      </c>
      <c r="B6" s="2974" t="s">
        <v>2856</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2842</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2892</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2910</v>
      </c>
      <c r="C29" s="2983"/>
      <c r="D29" s="2979">
        <v>5.1999999999999998E-2</v>
      </c>
      <c r="E29" s="2979">
        <v>7.0000000000000007E-2</v>
      </c>
      <c r="F29" s="2983"/>
      <c r="G29" s="2981">
        <v>7.0999999999999994E-2</v>
      </c>
    </row>
    <row r="30" spans="1:7">
      <c r="A30" s="2984" t="s">
        <v>296</v>
      </c>
      <c r="B30" s="2970" t="s">
        <v>2843</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2829</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2913</v>
      </c>
      <c r="C50" s="2975">
        <v>9.8000000000000004E-2</v>
      </c>
      <c r="D50" s="2975">
        <v>7.2999999999999995E-2</v>
      </c>
      <c r="E50" s="2975">
        <v>7.0999999999999994E-2</v>
      </c>
      <c r="F50" s="2986"/>
      <c r="G50" s="2976">
        <v>7.2999999999999995E-2</v>
      </c>
    </row>
    <row r="51" spans="1:7">
      <c r="A51" s="2985" t="s">
        <v>296</v>
      </c>
      <c r="B51" s="2974" t="s">
        <v>2915</v>
      </c>
      <c r="C51" s="2975">
        <v>9.9000000000000005E-2</v>
      </c>
      <c r="D51" s="2975">
        <v>8.5000000000000006E-2</v>
      </c>
      <c r="E51" s="2975">
        <v>6.3E-2</v>
      </c>
      <c r="F51" s="2986"/>
      <c r="G51" s="2976">
        <v>9.6000000000000002E-2</v>
      </c>
    </row>
    <row r="52" spans="1:7">
      <c r="A52" s="2985" t="s">
        <v>296</v>
      </c>
      <c r="B52" s="2974" t="s">
        <v>2919</v>
      </c>
      <c r="C52" s="2975">
        <v>7.3999999999999996E-2</v>
      </c>
      <c r="D52" s="2975">
        <v>9.6000000000000002E-2</v>
      </c>
      <c r="E52" s="2975">
        <v>0.05</v>
      </c>
      <c r="F52" s="2986"/>
      <c r="G52" s="2976">
        <v>9.8000000000000004E-2</v>
      </c>
    </row>
    <row r="53" spans="1:7">
      <c r="A53" s="2985" t="s">
        <v>296</v>
      </c>
      <c r="B53" s="2974" t="s">
        <v>2924</v>
      </c>
      <c r="C53" s="2975">
        <v>8.5999999999999993E-2</v>
      </c>
      <c r="D53" s="2986"/>
      <c r="E53" s="2975">
        <v>9.1999999999999998E-2</v>
      </c>
      <c r="F53" s="2986"/>
      <c r="G53" s="2987"/>
    </row>
    <row r="54" spans="1:7" ht="14.25" thickBot="1">
      <c r="A54" s="2988" t="s">
        <v>296</v>
      </c>
      <c r="B54" s="2978" t="s">
        <v>2927</v>
      </c>
      <c r="C54" s="2979">
        <v>9.6000000000000002E-2</v>
      </c>
      <c r="D54" s="2980"/>
      <c r="E54" s="2989"/>
      <c r="F54" s="2980"/>
      <c r="G54" s="2990"/>
    </row>
    <row r="55" spans="1:7">
      <c r="A55" s="2984" t="s">
        <v>110</v>
      </c>
      <c r="B55" s="2970" t="s">
        <v>2844</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2925</v>
      </c>
      <c r="C78" s="2975">
        <v>0.1</v>
      </c>
      <c r="D78" s="2975">
        <v>8.5000000000000006E-2</v>
      </c>
      <c r="E78" s="2975">
        <v>9.6000000000000002E-2</v>
      </c>
      <c r="F78" s="2986"/>
      <c r="G78" s="2976">
        <v>9.6000000000000002E-2</v>
      </c>
    </row>
    <row r="79" spans="1:7">
      <c r="A79" s="2985" t="s">
        <v>110</v>
      </c>
      <c r="B79" s="2974" t="s">
        <v>2928</v>
      </c>
      <c r="C79" s="2975">
        <v>0.05</v>
      </c>
      <c r="D79" s="2975">
        <v>9.6000000000000002E-2</v>
      </c>
      <c r="E79" s="2975">
        <v>9.5000000000000001E-2</v>
      </c>
      <c r="F79" s="2986"/>
      <c r="G79" s="2976">
        <v>9.8000000000000004E-2</v>
      </c>
    </row>
    <row r="80" spans="1:7">
      <c r="A80" s="2985" t="s">
        <v>110</v>
      </c>
      <c r="B80" s="2974" t="s">
        <v>2932</v>
      </c>
      <c r="C80" s="2975">
        <v>8.5999999999999993E-2</v>
      </c>
      <c r="D80" s="2991"/>
      <c r="E80" s="2975">
        <v>0.1</v>
      </c>
      <c r="F80" s="2986"/>
      <c r="G80" s="2987"/>
    </row>
    <row r="81" spans="1:7">
      <c r="A81" s="2985" t="s">
        <v>110</v>
      </c>
      <c r="B81" s="2974" t="s">
        <v>2937</v>
      </c>
      <c r="C81" s="2975">
        <v>9.6000000000000002E-2</v>
      </c>
      <c r="D81" s="2986"/>
      <c r="E81" s="2975">
        <v>9.8000000000000004E-2</v>
      </c>
      <c r="F81" s="2986"/>
      <c r="G81" s="2987"/>
    </row>
    <row r="82" spans="1:7">
      <c r="A82" s="2985" t="s">
        <v>110</v>
      </c>
      <c r="B82" s="2974" t="s">
        <v>2944</v>
      </c>
      <c r="C82" s="2991"/>
      <c r="D82" s="2986"/>
      <c r="E82" s="2975">
        <v>7.6999999999999999E-2</v>
      </c>
      <c r="F82" s="2986"/>
      <c r="G82" s="2987"/>
    </row>
    <row r="83" spans="1:7">
      <c r="A83" s="2985" t="s">
        <v>110</v>
      </c>
      <c r="B83" s="2974" t="s">
        <v>2950</v>
      </c>
      <c r="C83" s="2986"/>
      <c r="D83" s="2986"/>
      <c r="E83" s="2986"/>
      <c r="F83" s="2975">
        <v>0.1</v>
      </c>
      <c r="G83" s="2992"/>
    </row>
    <row r="84" spans="1:7">
      <c r="A84" s="2985" t="s">
        <v>110</v>
      </c>
      <c r="B84" s="2974" t="s">
        <v>2957</v>
      </c>
      <c r="C84" s="2986"/>
      <c r="D84" s="2986"/>
      <c r="E84" s="2986"/>
      <c r="F84" s="2975">
        <v>0.1</v>
      </c>
      <c r="G84" s="2992"/>
    </row>
    <row r="85" spans="1:7">
      <c r="A85" s="2985" t="s">
        <v>110</v>
      </c>
      <c r="B85" s="2974" t="s">
        <v>2964</v>
      </c>
      <c r="C85" s="2986"/>
      <c r="D85" s="2986"/>
      <c r="E85" s="2986"/>
      <c r="F85" s="2975">
        <v>0.1</v>
      </c>
      <c r="G85" s="2992"/>
    </row>
    <row r="86" spans="1:7" ht="14.25" thickBot="1">
      <c r="A86" s="2988" t="s">
        <v>110</v>
      </c>
      <c r="B86" s="2978" t="s">
        <v>2969</v>
      </c>
      <c r="C86" s="2979">
        <v>9.8000000000000004E-2</v>
      </c>
      <c r="D86" s="2979">
        <v>9.8000000000000004E-2</v>
      </c>
      <c r="E86" s="2979">
        <v>9.6000000000000002E-2</v>
      </c>
      <c r="F86" s="2989"/>
      <c r="G86" s="2981">
        <v>0.1</v>
      </c>
    </row>
    <row r="87" spans="1:7">
      <c r="A87" s="2984" t="s">
        <v>303</v>
      </c>
      <c r="B87" s="2970" t="s">
        <v>2845</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2938</v>
      </c>
      <c r="C113" s="2975">
        <v>0.1</v>
      </c>
      <c r="D113" s="2975">
        <v>0.1</v>
      </c>
      <c r="E113" s="2986"/>
      <c r="F113" s="2986"/>
      <c r="G113" s="2976">
        <v>0.1</v>
      </c>
    </row>
    <row r="114" spans="1:7">
      <c r="A114" s="2985" t="s">
        <v>303</v>
      </c>
      <c r="B114" s="2974" t="s">
        <v>2945</v>
      </c>
      <c r="C114" s="2975">
        <v>9.7000000000000003E-2</v>
      </c>
      <c r="D114" s="2975">
        <v>9.7000000000000003E-2</v>
      </c>
      <c r="E114" s="2986"/>
      <c r="F114" s="2986"/>
      <c r="G114" s="2976">
        <v>9.9000000000000005E-2</v>
      </c>
    </row>
    <row r="115" spans="1:7">
      <c r="A115" s="2985" t="s">
        <v>303</v>
      </c>
      <c r="B115" s="2974" t="s">
        <v>2951</v>
      </c>
      <c r="C115" s="2975">
        <v>0.1</v>
      </c>
      <c r="D115" s="2975">
        <v>0.1</v>
      </c>
      <c r="E115" s="2986"/>
      <c r="F115" s="2986"/>
      <c r="G115" s="2976">
        <v>0.1</v>
      </c>
    </row>
    <row r="116" spans="1:7">
      <c r="A116" s="2985" t="s">
        <v>303</v>
      </c>
      <c r="B116" s="2974" t="s">
        <v>2958</v>
      </c>
      <c r="C116" s="2975">
        <v>0.1</v>
      </c>
      <c r="D116" s="2975">
        <v>0.1</v>
      </c>
      <c r="E116" s="2986"/>
      <c r="F116" s="2986"/>
      <c r="G116" s="2976">
        <v>0.1</v>
      </c>
    </row>
    <row r="117" spans="1:7">
      <c r="A117" s="2985" t="s">
        <v>303</v>
      </c>
      <c r="B117" s="2974" t="s">
        <v>2965</v>
      </c>
      <c r="C117" s="2975">
        <v>9.7000000000000003E-2</v>
      </c>
      <c r="D117" s="2975">
        <v>9.7000000000000003E-2</v>
      </c>
      <c r="E117" s="2986"/>
      <c r="F117" s="2986"/>
      <c r="G117" s="2976">
        <v>9.7000000000000003E-2</v>
      </c>
    </row>
    <row r="118" spans="1:7">
      <c r="A118" s="2985" t="s">
        <v>303</v>
      </c>
      <c r="B118" s="2974" t="s">
        <v>2970</v>
      </c>
      <c r="C118" s="2975">
        <v>0.1</v>
      </c>
      <c r="D118" s="2975">
        <v>0.1</v>
      </c>
      <c r="E118" s="2986"/>
      <c r="F118" s="2986"/>
      <c r="G118" s="2976">
        <v>0.1</v>
      </c>
    </row>
    <row r="119" spans="1:7">
      <c r="A119" s="2985" t="s">
        <v>303</v>
      </c>
      <c r="B119" s="2974" t="s">
        <v>2974</v>
      </c>
      <c r="C119" s="2975">
        <v>5.0999999999999997E-2</v>
      </c>
      <c r="D119" s="2975">
        <v>5.1999999999999998E-2</v>
      </c>
      <c r="E119" s="2986"/>
      <c r="F119" s="2991"/>
      <c r="G119" s="2976">
        <v>0.06</v>
      </c>
    </row>
    <row r="120" spans="1:7">
      <c r="A120" s="2985" t="s">
        <v>303</v>
      </c>
      <c r="B120" s="2974" t="s">
        <v>2978</v>
      </c>
      <c r="C120" s="2986"/>
      <c r="D120" s="2986"/>
      <c r="E120" s="2986"/>
      <c r="F120" s="2975">
        <v>0.1</v>
      </c>
      <c r="G120" s="2992"/>
    </row>
    <row r="121" spans="1:7">
      <c r="A121" s="2985" t="s">
        <v>303</v>
      </c>
      <c r="B121" s="2974" t="s">
        <v>2983</v>
      </c>
      <c r="C121" s="2986"/>
      <c r="D121" s="2986"/>
      <c r="E121" s="2986"/>
      <c r="F121" s="2975">
        <v>0.1</v>
      </c>
      <c r="G121" s="2992"/>
    </row>
    <row r="122" spans="1:7">
      <c r="A122" s="2985" t="s">
        <v>303</v>
      </c>
      <c r="B122" s="2974" t="s">
        <v>2988</v>
      </c>
      <c r="C122" s="2975">
        <v>0.1</v>
      </c>
      <c r="D122" s="2975">
        <v>0.1</v>
      </c>
      <c r="E122" s="2975">
        <v>9.8000000000000004E-2</v>
      </c>
      <c r="F122" s="2975">
        <v>0.1</v>
      </c>
      <c r="G122" s="2976">
        <v>0.1</v>
      </c>
    </row>
    <row r="123" spans="1:7">
      <c r="A123" s="2985" t="s">
        <v>303</v>
      </c>
      <c r="B123" s="2974" t="s">
        <v>2993</v>
      </c>
      <c r="C123" s="2975">
        <v>0.1</v>
      </c>
      <c r="D123" s="2975">
        <v>0.1</v>
      </c>
      <c r="E123" s="2975">
        <v>9.8000000000000004E-2</v>
      </c>
      <c r="F123" s="2975">
        <v>0.1</v>
      </c>
      <c r="G123" s="2976">
        <v>0.1</v>
      </c>
    </row>
    <row r="124" spans="1:7">
      <c r="A124" s="2985" t="s">
        <v>303</v>
      </c>
      <c r="B124" s="2974" t="s">
        <v>2998</v>
      </c>
      <c r="C124" s="2975">
        <v>0.1</v>
      </c>
      <c r="D124" s="2975">
        <v>0.1</v>
      </c>
      <c r="E124" s="2975">
        <v>9.8000000000000004E-2</v>
      </c>
      <c r="F124" s="2991"/>
      <c r="G124" s="2976">
        <v>0.1</v>
      </c>
    </row>
    <row r="125" spans="1:7">
      <c r="A125" s="2985" t="s">
        <v>303</v>
      </c>
      <c r="B125" s="2974" t="s">
        <v>3003</v>
      </c>
      <c r="C125" s="2975">
        <v>9.8000000000000004E-2</v>
      </c>
      <c r="D125" s="2975">
        <v>9.8000000000000004E-2</v>
      </c>
      <c r="E125" s="2975">
        <v>9.6000000000000002E-2</v>
      </c>
      <c r="F125" s="2991"/>
      <c r="G125" s="2976">
        <v>0.1</v>
      </c>
    </row>
    <row r="126" spans="1:7" ht="14.25" thickBot="1">
      <c r="A126" s="2988" t="s">
        <v>303</v>
      </c>
      <c r="B126" s="2978" t="s">
        <v>3169</v>
      </c>
      <c r="C126" s="2979">
        <v>0.1</v>
      </c>
      <c r="D126" s="2979">
        <v>0.1</v>
      </c>
      <c r="E126" s="2979">
        <v>9.8000000000000004E-2</v>
      </c>
      <c r="F126" s="2979">
        <v>0.1</v>
      </c>
      <c r="G126" s="2981">
        <v>0.1</v>
      </c>
    </row>
    <row r="127" spans="1:7">
      <c r="A127" s="2984" t="s">
        <v>29</v>
      </c>
      <c r="B127" s="2970" t="s">
        <v>2846</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2916</v>
      </c>
      <c r="C148" s="2975">
        <v>0.13</v>
      </c>
      <c r="D148" s="2975">
        <v>0.13</v>
      </c>
      <c r="E148" s="2975">
        <v>0.13</v>
      </c>
      <c r="F148" s="2986"/>
      <c r="G148" s="2976">
        <v>0.13</v>
      </c>
    </row>
    <row r="149" spans="1:7">
      <c r="A149" s="2985" t="s">
        <v>29</v>
      </c>
      <c r="B149" s="2974" t="s">
        <v>2920</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2939</v>
      </c>
      <c r="C153" s="2975">
        <v>0.13</v>
      </c>
      <c r="D153" s="2975">
        <v>0.13</v>
      </c>
      <c r="E153" s="2975">
        <v>0.13</v>
      </c>
      <c r="F153" s="2975">
        <v>0.13</v>
      </c>
      <c r="G153" s="2976">
        <v>0.13</v>
      </c>
    </row>
    <row r="154" spans="1:7">
      <c r="A154" s="2985" t="s">
        <v>29</v>
      </c>
      <c r="B154" s="2974" t="s">
        <v>2946</v>
      </c>
      <c r="C154" s="2975">
        <v>0.121</v>
      </c>
      <c r="D154" s="2975">
        <v>0.121</v>
      </c>
      <c r="E154" s="2975">
        <v>0.105</v>
      </c>
      <c r="F154" s="2975">
        <v>0.121</v>
      </c>
      <c r="G154" s="2976">
        <v>0.123</v>
      </c>
    </row>
    <row r="155" spans="1:7">
      <c r="A155" s="2985" t="s">
        <v>29</v>
      </c>
      <c r="B155" s="2974" t="s">
        <v>2952</v>
      </c>
      <c r="C155" s="2975">
        <v>0.1</v>
      </c>
      <c r="D155" s="2975">
        <v>0.1</v>
      </c>
      <c r="E155" s="2975">
        <v>0.1</v>
      </c>
      <c r="F155" s="2975">
        <v>0.1</v>
      </c>
      <c r="G155" s="2976">
        <v>0.1</v>
      </c>
    </row>
    <row r="156" spans="1:7">
      <c r="A156" s="2985" t="s">
        <v>29</v>
      </c>
      <c r="B156" s="2974" t="s">
        <v>2959</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2979</v>
      </c>
      <c r="C160" s="2975">
        <v>0.13</v>
      </c>
      <c r="D160" s="2975">
        <v>0.13</v>
      </c>
      <c r="E160" s="2975">
        <v>0.124</v>
      </c>
      <c r="F160" s="2975">
        <v>0.126</v>
      </c>
      <c r="G160" s="2976">
        <v>0.13</v>
      </c>
    </row>
    <row r="161" spans="1:7">
      <c r="A161" s="2985" t="s">
        <v>29</v>
      </c>
      <c r="B161" s="2974" t="s">
        <v>2984</v>
      </c>
      <c r="C161" s="2975">
        <v>0.13</v>
      </c>
      <c r="D161" s="2975">
        <v>0.13</v>
      </c>
      <c r="E161" s="2975">
        <v>0.124</v>
      </c>
      <c r="F161" s="2975">
        <v>0.127</v>
      </c>
      <c r="G161" s="2976">
        <v>0.13</v>
      </c>
    </row>
    <row r="162" spans="1:7">
      <c r="A162" s="2985" t="s">
        <v>29</v>
      </c>
      <c r="B162" s="2974" t="s">
        <v>2989</v>
      </c>
      <c r="C162" s="2975">
        <v>0.1</v>
      </c>
      <c r="D162" s="2975">
        <v>0.1</v>
      </c>
      <c r="E162" s="2975">
        <v>0.1</v>
      </c>
      <c r="F162" s="2975">
        <v>0.121</v>
      </c>
      <c r="G162" s="2976">
        <v>0.105</v>
      </c>
    </row>
    <row r="163" spans="1:7">
      <c r="A163" s="2985" t="s">
        <v>29</v>
      </c>
      <c r="B163" s="2974" t="s">
        <v>2994</v>
      </c>
      <c r="C163" s="2975">
        <v>0.1</v>
      </c>
      <c r="D163" s="2975">
        <v>0.1</v>
      </c>
      <c r="E163" s="2975">
        <v>0.1</v>
      </c>
      <c r="F163" s="2975">
        <v>0.1</v>
      </c>
      <c r="G163" s="2976">
        <v>0.1</v>
      </c>
    </row>
    <row r="164" spans="1:7">
      <c r="A164" s="2985" t="s">
        <v>29</v>
      </c>
      <c r="B164" s="2974" t="s">
        <v>2999</v>
      </c>
      <c r="C164" s="2991"/>
      <c r="D164" s="2991"/>
      <c r="E164" s="2991"/>
      <c r="F164" s="2975">
        <v>0.1</v>
      </c>
      <c r="G164" s="2987"/>
    </row>
    <row r="165" spans="1:7">
      <c r="A165" s="2985" t="s">
        <v>29</v>
      </c>
      <c r="B165" s="2974" t="s">
        <v>3170</v>
      </c>
      <c r="C165" s="2975">
        <v>0.126</v>
      </c>
      <c r="D165" s="2975">
        <v>0.126</v>
      </c>
      <c r="E165" s="2975">
        <v>0.11899999999999999</v>
      </c>
      <c r="F165" s="2975">
        <v>0.13</v>
      </c>
      <c r="G165" s="2976">
        <v>0.128</v>
      </c>
    </row>
    <row r="166" spans="1:7">
      <c r="A166" s="2985" t="s">
        <v>29</v>
      </c>
      <c r="B166" s="2974" t="s">
        <v>3009</v>
      </c>
      <c r="C166" s="2975">
        <v>0.129</v>
      </c>
      <c r="D166" s="2975">
        <v>0.129</v>
      </c>
      <c r="E166" s="2975">
        <v>0.123</v>
      </c>
      <c r="F166" s="2975">
        <v>0.128</v>
      </c>
      <c r="G166" s="2976">
        <v>0.13</v>
      </c>
    </row>
    <row r="167" spans="1:7">
      <c r="A167" s="2985" t="s">
        <v>29</v>
      </c>
      <c r="B167" s="2974" t="s">
        <v>3013</v>
      </c>
      <c r="C167" s="2975">
        <v>0.125</v>
      </c>
      <c r="D167" s="2975">
        <v>0.125</v>
      </c>
      <c r="E167" s="2975">
        <v>0.11700000000000001</v>
      </c>
      <c r="F167" s="2975">
        <v>0.13</v>
      </c>
      <c r="G167" s="2976">
        <v>0.126</v>
      </c>
    </row>
    <row r="168" spans="1:7">
      <c r="A168" s="2985" t="s">
        <v>29</v>
      </c>
      <c r="B168" s="2974" t="s">
        <v>3018</v>
      </c>
      <c r="C168" s="2975">
        <v>0.128</v>
      </c>
      <c r="D168" s="2975">
        <v>0.128</v>
      </c>
      <c r="E168" s="2975">
        <v>0.123</v>
      </c>
      <c r="F168" s="2986"/>
      <c r="G168" s="2976">
        <v>0.13</v>
      </c>
    </row>
    <row r="169" spans="1:7">
      <c r="A169" s="2985" t="s">
        <v>29</v>
      </c>
      <c r="B169" s="2974" t="s">
        <v>3171</v>
      </c>
      <c r="C169" s="2991"/>
      <c r="D169" s="2991"/>
      <c r="E169" s="2991"/>
      <c r="F169" s="2975">
        <v>0.05</v>
      </c>
      <c r="G169" s="2987"/>
    </row>
    <row r="170" spans="1:7">
      <c r="A170" s="2985" t="s">
        <v>29</v>
      </c>
      <c r="B170" s="2974" t="s">
        <v>3172</v>
      </c>
      <c r="C170" s="2991"/>
      <c r="D170" s="2991"/>
      <c r="E170" s="2991"/>
      <c r="F170" s="2975">
        <v>0.05</v>
      </c>
      <c r="G170" s="2987"/>
    </row>
    <row r="171" spans="1:7">
      <c r="A171" s="2985" t="s">
        <v>29</v>
      </c>
      <c r="B171" s="2974" t="s">
        <v>3173</v>
      </c>
      <c r="C171" s="2991"/>
      <c r="D171" s="2991"/>
      <c r="E171" s="2991"/>
      <c r="F171" s="2975">
        <v>0.05</v>
      </c>
      <c r="G171" s="2992"/>
    </row>
    <row r="172" spans="1:7">
      <c r="A172" s="2985" t="s">
        <v>29</v>
      </c>
      <c r="B172" s="2974" t="s">
        <v>3174</v>
      </c>
      <c r="C172" s="2991"/>
      <c r="D172" s="2991"/>
      <c r="E172" s="2991"/>
      <c r="F172" s="2975">
        <v>0.05</v>
      </c>
      <c r="G172" s="2992"/>
    </row>
    <row r="173" spans="1:7">
      <c r="A173" s="2985" t="s">
        <v>29</v>
      </c>
      <c r="B173" s="2974" t="s">
        <v>3175</v>
      </c>
      <c r="C173" s="2991"/>
      <c r="D173" s="2991"/>
      <c r="E173" s="2991"/>
      <c r="F173" s="2975">
        <v>0.05</v>
      </c>
      <c r="G173" s="2987"/>
    </row>
    <row r="174" spans="1:7">
      <c r="A174" s="2985" t="s">
        <v>29</v>
      </c>
      <c r="B174" s="2974" t="s">
        <v>3176</v>
      </c>
      <c r="C174" s="2991"/>
      <c r="D174" s="2991"/>
      <c r="E174" s="2991"/>
      <c r="F174" s="2975">
        <v>0.05</v>
      </c>
      <c r="G174" s="2987"/>
    </row>
    <row r="175" spans="1:7">
      <c r="A175" s="2985" t="s">
        <v>29</v>
      </c>
      <c r="B175" s="2974" t="s">
        <v>3177</v>
      </c>
      <c r="C175" s="2991"/>
      <c r="D175" s="2991"/>
      <c r="E175" s="2991"/>
      <c r="F175" s="2975">
        <v>0.05</v>
      </c>
      <c r="G175" s="2987"/>
    </row>
    <row r="176" spans="1:7">
      <c r="A176" s="2985" t="s">
        <v>29</v>
      </c>
      <c r="B176" s="2974" t="s">
        <v>3178</v>
      </c>
      <c r="C176" s="2991"/>
      <c r="D176" s="2991"/>
      <c r="E176" s="2991"/>
      <c r="F176" s="2975">
        <v>0.05</v>
      </c>
      <c r="G176" s="2987"/>
    </row>
    <row r="177" spans="1:7">
      <c r="A177" s="2985" t="s">
        <v>29</v>
      </c>
      <c r="B177" s="2974" t="s">
        <v>3179</v>
      </c>
      <c r="C177" s="2986"/>
      <c r="D177" s="2986"/>
      <c r="E177" s="2986"/>
      <c r="F177" s="2975">
        <v>0.05</v>
      </c>
      <c r="G177" s="2992"/>
    </row>
    <row r="178" spans="1:7">
      <c r="A178" s="2985" t="s">
        <v>29</v>
      </c>
      <c r="B178" s="2974" t="s">
        <v>3180</v>
      </c>
      <c r="C178" s="2986"/>
      <c r="D178" s="2986"/>
      <c r="E178" s="2986"/>
      <c r="F178" s="2975">
        <v>0.05</v>
      </c>
      <c r="G178" s="2992"/>
    </row>
    <row r="179" spans="1:7">
      <c r="A179" s="2985" t="s">
        <v>29</v>
      </c>
      <c r="B179" s="2974" t="s">
        <v>3181</v>
      </c>
      <c r="C179" s="2986"/>
      <c r="D179" s="2986"/>
      <c r="E179" s="2986"/>
      <c r="F179" s="2975">
        <v>0.05</v>
      </c>
      <c r="G179" s="2992"/>
    </row>
    <row r="180" spans="1:7">
      <c r="A180" s="2985" t="s">
        <v>29</v>
      </c>
      <c r="B180" s="2974" t="s">
        <v>3182</v>
      </c>
      <c r="C180" s="2986"/>
      <c r="D180" s="2986"/>
      <c r="E180" s="2986"/>
      <c r="F180" s="2975">
        <v>0.05</v>
      </c>
      <c r="G180" s="2992"/>
    </row>
    <row r="181" spans="1:7">
      <c r="A181" s="2985" t="s">
        <v>29</v>
      </c>
      <c r="B181" s="2974" t="s">
        <v>3183</v>
      </c>
      <c r="C181" s="2986"/>
      <c r="D181" s="2986"/>
      <c r="E181" s="2986"/>
      <c r="F181" s="2975">
        <v>0.05</v>
      </c>
      <c r="G181" s="2992"/>
    </row>
    <row r="182" spans="1:7">
      <c r="A182" s="2985" t="s">
        <v>29</v>
      </c>
      <c r="B182" s="2974" t="s">
        <v>3184</v>
      </c>
      <c r="C182" s="2986"/>
      <c r="D182" s="2986"/>
      <c r="E182" s="2986"/>
      <c r="F182" s="2975">
        <v>0.05</v>
      </c>
      <c r="G182" s="2992"/>
    </row>
    <row r="183" spans="1:7">
      <c r="A183" s="2985" t="s">
        <v>29</v>
      </c>
      <c r="B183" s="2974" t="s">
        <v>3185</v>
      </c>
      <c r="C183" s="2986"/>
      <c r="D183" s="2986"/>
      <c r="E183" s="2986"/>
      <c r="F183" s="2975">
        <v>0.05</v>
      </c>
      <c r="G183" s="2992"/>
    </row>
    <row r="184" spans="1:7">
      <c r="A184" s="2985" t="s">
        <v>29</v>
      </c>
      <c r="B184" s="2974" t="s">
        <v>3186</v>
      </c>
      <c r="C184" s="2986"/>
      <c r="D184" s="2986"/>
      <c r="E184" s="2986"/>
      <c r="F184" s="2975">
        <v>0.05</v>
      </c>
      <c r="G184" s="2992"/>
    </row>
    <row r="185" spans="1:7">
      <c r="A185" s="2985" t="s">
        <v>29</v>
      </c>
      <c r="B185" s="2974" t="s">
        <v>3187</v>
      </c>
      <c r="C185" s="2986"/>
      <c r="D185" s="2986"/>
      <c r="E185" s="2986"/>
      <c r="F185" s="2975">
        <v>0.05</v>
      </c>
      <c r="G185" s="2992"/>
    </row>
    <row r="186" spans="1:7">
      <c r="A186" s="2985" t="s">
        <v>29</v>
      </c>
      <c r="B186" s="2974" t="s">
        <v>3188</v>
      </c>
      <c r="C186" s="2986"/>
      <c r="D186" s="2986"/>
      <c r="E186" s="2986"/>
      <c r="F186" s="2975">
        <v>0.05</v>
      </c>
      <c r="G186" s="2992"/>
    </row>
    <row r="187" spans="1:7">
      <c r="A187" s="2985" t="s">
        <v>29</v>
      </c>
      <c r="B187" s="2974" t="s">
        <v>3189</v>
      </c>
      <c r="C187" s="2986"/>
      <c r="D187" s="2986"/>
      <c r="E187" s="2986"/>
      <c r="F187" s="2975">
        <v>0.05</v>
      </c>
      <c r="G187" s="2992"/>
    </row>
    <row r="188" spans="1:7">
      <c r="A188" s="2985" t="s">
        <v>29</v>
      </c>
      <c r="B188" s="2974" t="s">
        <v>3190</v>
      </c>
      <c r="C188" s="2986"/>
      <c r="D188" s="2986"/>
      <c r="E188" s="2986"/>
      <c r="F188" s="2975">
        <v>0.05</v>
      </c>
      <c r="G188" s="2992"/>
    </row>
    <row r="189" spans="1:7" ht="14.25" thickBot="1">
      <c r="A189" s="2988" t="s">
        <v>29</v>
      </c>
      <c r="B189" s="2978" t="s">
        <v>3191</v>
      </c>
      <c r="C189" s="2980"/>
      <c r="D189" s="2980"/>
      <c r="E189" s="2980"/>
      <c r="F189" s="2979">
        <v>0.05</v>
      </c>
      <c r="G189" s="2993"/>
    </row>
    <row r="190" spans="1:7">
      <c r="A190" s="2984" t="s">
        <v>304</v>
      </c>
      <c r="B190" s="2970" t="s">
        <v>2847</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2883</v>
      </c>
      <c r="C199" s="2975">
        <v>0.13</v>
      </c>
      <c r="D199" s="2975">
        <v>0.13</v>
      </c>
      <c r="E199" s="2975">
        <v>0.13</v>
      </c>
      <c r="F199" s="2975">
        <v>0.13</v>
      </c>
      <c r="G199" s="2976">
        <v>0.13</v>
      </c>
    </row>
    <row r="200" spans="1:7">
      <c r="A200" s="2985" t="s">
        <v>304</v>
      </c>
      <c r="B200" s="2974" t="s">
        <v>2886</v>
      </c>
      <c r="C200" s="2991"/>
      <c r="D200" s="2991"/>
      <c r="E200" s="2991"/>
      <c r="F200" s="2975">
        <v>0.13</v>
      </c>
      <c r="G200" s="2987"/>
    </row>
    <row r="201" spans="1:7">
      <c r="A201" s="2985" t="s">
        <v>304</v>
      </c>
      <c r="B201" s="2974" t="s">
        <v>2891</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2894</v>
      </c>
      <c r="C203" s="2975">
        <v>0.129</v>
      </c>
      <c r="D203" s="2975">
        <v>0.129</v>
      </c>
      <c r="E203" s="2975">
        <v>0.13</v>
      </c>
      <c r="F203" s="2975">
        <v>0.13</v>
      </c>
      <c r="G203" s="2976">
        <v>0.13</v>
      </c>
    </row>
    <row r="204" spans="1:7">
      <c r="A204" s="2985" t="s">
        <v>304</v>
      </c>
      <c r="B204" s="2974" t="s">
        <v>2897</v>
      </c>
      <c r="C204" s="2975">
        <v>0.129</v>
      </c>
      <c r="D204" s="2975">
        <v>0.129</v>
      </c>
      <c r="E204" s="2975">
        <v>0.123</v>
      </c>
      <c r="F204" s="2975">
        <v>0.13</v>
      </c>
      <c r="G204" s="2976">
        <v>0.13</v>
      </c>
    </row>
    <row r="205" spans="1:7">
      <c r="A205" s="2985" t="s">
        <v>304</v>
      </c>
      <c r="B205" s="2974" t="s">
        <v>2899</v>
      </c>
      <c r="C205" s="2975">
        <v>0.13</v>
      </c>
      <c r="D205" s="2975">
        <v>0.13</v>
      </c>
      <c r="E205" s="2975">
        <v>0.13</v>
      </c>
      <c r="F205" s="2975">
        <v>0.13</v>
      </c>
      <c r="G205" s="2976">
        <v>0.13</v>
      </c>
    </row>
    <row r="206" spans="1:7">
      <c r="A206" s="2985" t="s">
        <v>304</v>
      </c>
      <c r="B206" s="2974" t="s">
        <v>2902</v>
      </c>
      <c r="C206" s="2975">
        <v>0.13</v>
      </c>
      <c r="D206" s="2975">
        <v>0.13</v>
      </c>
      <c r="E206" s="2975">
        <v>0.13</v>
      </c>
      <c r="F206" s="2975">
        <v>0.128</v>
      </c>
      <c r="G206" s="2976">
        <v>0.13</v>
      </c>
    </row>
    <row r="207" spans="1:7">
      <c r="A207" s="2985" t="s">
        <v>304</v>
      </c>
      <c r="B207" s="2974" t="s">
        <v>2904</v>
      </c>
      <c r="C207" s="2975">
        <v>0.13</v>
      </c>
      <c r="D207" s="2975">
        <v>0.13</v>
      </c>
      <c r="E207" s="2975">
        <v>0.13</v>
      </c>
      <c r="F207" s="2975">
        <v>0.13</v>
      </c>
      <c r="G207" s="2976">
        <v>0.13</v>
      </c>
    </row>
    <row r="208" spans="1:7">
      <c r="A208" s="2985" t="s">
        <v>304</v>
      </c>
      <c r="B208" s="2974" t="s">
        <v>2907</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2914</v>
      </c>
      <c r="C210" s="2975">
        <v>0.121</v>
      </c>
      <c r="D210" s="2975">
        <v>0.121</v>
      </c>
      <c r="E210" s="2975">
        <v>0.125</v>
      </c>
      <c r="F210" s="2975">
        <v>0.13</v>
      </c>
      <c r="G210" s="2976">
        <v>0.123</v>
      </c>
    </row>
    <row r="211" spans="1:7">
      <c r="A211" s="2985" t="s">
        <v>304</v>
      </c>
      <c r="B211" s="2974" t="s">
        <v>2917</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2929</v>
      </c>
      <c r="C214" s="2975">
        <v>0.128</v>
      </c>
      <c r="D214" s="2975">
        <v>0.128</v>
      </c>
      <c r="E214" s="2975">
        <v>0.13</v>
      </c>
      <c r="F214" s="2975">
        <v>0.13</v>
      </c>
      <c r="G214" s="2976">
        <v>0.13</v>
      </c>
    </row>
    <row r="215" spans="1:7">
      <c r="A215" s="2985" t="s">
        <v>304</v>
      </c>
      <c r="B215" s="2974" t="s">
        <v>2933</v>
      </c>
      <c r="C215" s="2975">
        <v>0.13</v>
      </c>
      <c r="D215" s="2975">
        <v>0.13</v>
      </c>
      <c r="E215" s="2975">
        <v>0.13</v>
      </c>
      <c r="F215" s="2975">
        <v>0.129</v>
      </c>
      <c r="G215" s="2976">
        <v>0.13</v>
      </c>
    </row>
    <row r="216" spans="1:7">
      <c r="A216" s="2985" t="s">
        <v>304</v>
      </c>
      <c r="B216" s="2974" t="s">
        <v>2940</v>
      </c>
      <c r="C216" s="2975">
        <v>0.13</v>
      </c>
      <c r="D216" s="2975">
        <v>0.13</v>
      </c>
      <c r="E216" s="2975">
        <v>0.13</v>
      </c>
      <c r="F216" s="2975">
        <v>0.13</v>
      </c>
      <c r="G216" s="2976">
        <v>0.13</v>
      </c>
    </row>
    <row r="217" spans="1:7">
      <c r="A217" s="2985" t="s">
        <v>304</v>
      </c>
      <c r="B217" s="2974" t="s">
        <v>2947</v>
      </c>
      <c r="C217" s="2975">
        <v>0.129</v>
      </c>
      <c r="D217" s="2975">
        <v>0.129</v>
      </c>
      <c r="E217" s="2975">
        <v>0.13</v>
      </c>
      <c r="F217" s="2975">
        <v>0.13</v>
      </c>
      <c r="G217" s="2976">
        <v>0.13</v>
      </c>
    </row>
    <row r="218" spans="1:7">
      <c r="A218" s="2985" t="s">
        <v>304</v>
      </c>
      <c r="B218" s="2974" t="s">
        <v>2953</v>
      </c>
      <c r="C218" s="2986"/>
      <c r="D218" s="2986"/>
      <c r="E218" s="2986"/>
      <c r="F218" s="2975">
        <v>0.05</v>
      </c>
      <c r="G218" s="2992"/>
    </row>
    <row r="219" spans="1:7">
      <c r="A219" s="2985" t="s">
        <v>304</v>
      </c>
      <c r="B219" s="2974" t="s">
        <v>2960</v>
      </c>
      <c r="C219" s="2986"/>
      <c r="D219" s="2986"/>
      <c r="E219" s="2986"/>
      <c r="F219" s="2975">
        <v>0.05</v>
      </c>
      <c r="G219" s="2992"/>
    </row>
    <row r="220" spans="1:7">
      <c r="A220" s="2985" t="s">
        <v>304</v>
      </c>
      <c r="B220" s="2974" t="s">
        <v>2966</v>
      </c>
      <c r="C220" s="2986"/>
      <c r="D220" s="2986"/>
      <c r="E220" s="2986"/>
      <c r="F220" s="2975">
        <v>0.05</v>
      </c>
      <c r="G220" s="2992"/>
    </row>
    <row r="221" spans="1:7">
      <c r="A221" s="2985" t="s">
        <v>304</v>
      </c>
      <c r="B221" s="2974" t="s">
        <v>2971</v>
      </c>
      <c r="C221" s="2986"/>
      <c r="D221" s="2986"/>
      <c r="E221" s="2986"/>
      <c r="F221" s="2975">
        <v>0.05</v>
      </c>
      <c r="G221" s="2992"/>
    </row>
    <row r="222" spans="1:7">
      <c r="A222" s="2985" t="s">
        <v>304</v>
      </c>
      <c r="B222" s="2974" t="s">
        <v>2975</v>
      </c>
      <c r="C222" s="2986"/>
      <c r="D222" s="2986"/>
      <c r="E222" s="2986"/>
      <c r="F222" s="2975">
        <v>0.05</v>
      </c>
      <c r="G222" s="2992"/>
    </row>
    <row r="223" spans="1:7">
      <c r="A223" s="2985" t="s">
        <v>304</v>
      </c>
      <c r="B223" s="2974" t="s">
        <v>2980</v>
      </c>
      <c r="C223" s="2986"/>
      <c r="D223" s="2986"/>
      <c r="E223" s="2986"/>
      <c r="F223" s="2975">
        <v>0.05</v>
      </c>
      <c r="G223" s="2992"/>
    </row>
    <row r="224" spans="1:7">
      <c r="A224" s="2985" t="s">
        <v>304</v>
      </c>
      <c r="B224" s="2974" t="s">
        <v>2985</v>
      </c>
      <c r="C224" s="2986"/>
      <c r="D224" s="2986"/>
      <c r="E224" s="2986"/>
      <c r="F224" s="2975">
        <v>0.05</v>
      </c>
      <c r="G224" s="2992"/>
    </row>
    <row r="225" spans="1:7">
      <c r="A225" s="2985" t="s">
        <v>304</v>
      </c>
      <c r="B225" s="2974" t="s">
        <v>2990</v>
      </c>
      <c r="C225" s="2986"/>
      <c r="D225" s="2986"/>
      <c r="E225" s="2986"/>
      <c r="F225" s="2975">
        <v>0.05</v>
      </c>
      <c r="G225" s="2992"/>
    </row>
    <row r="226" spans="1:7">
      <c r="A226" s="2985" t="s">
        <v>304</v>
      </c>
      <c r="B226" s="2974" t="s">
        <v>3192</v>
      </c>
      <c r="C226" s="2986"/>
      <c r="D226" s="2986"/>
      <c r="E226" s="2986"/>
      <c r="F226" s="2975">
        <v>0.05</v>
      </c>
      <c r="G226" s="2992"/>
    </row>
    <row r="227" spans="1:7">
      <c r="A227" s="2985" t="s">
        <v>304</v>
      </c>
      <c r="B227" s="2974" t="s">
        <v>3193</v>
      </c>
      <c r="C227" s="2986"/>
      <c r="D227" s="2986"/>
      <c r="E227" s="2986"/>
      <c r="F227" s="2975">
        <v>0.05</v>
      </c>
      <c r="G227" s="2992"/>
    </row>
    <row r="228" spans="1:7">
      <c r="A228" s="2985" t="s">
        <v>304</v>
      </c>
      <c r="B228" s="2974" t="s">
        <v>3194</v>
      </c>
      <c r="C228" s="2986"/>
      <c r="D228" s="2986"/>
      <c r="E228" s="2986"/>
      <c r="F228" s="2975">
        <v>0.05</v>
      </c>
      <c r="G228" s="2992"/>
    </row>
    <row r="229" spans="1:7">
      <c r="A229" s="2985" t="s">
        <v>304</v>
      </c>
      <c r="B229" s="2974" t="s">
        <v>3195</v>
      </c>
      <c r="C229" s="2986"/>
      <c r="D229" s="2986"/>
      <c r="E229" s="2986"/>
      <c r="F229" s="2975">
        <v>0.05</v>
      </c>
      <c r="G229" s="2992"/>
    </row>
    <row r="230" spans="1:7">
      <c r="A230" s="2985" t="s">
        <v>304</v>
      </c>
      <c r="B230" s="2974" t="s">
        <v>3196</v>
      </c>
      <c r="C230" s="2986"/>
      <c r="D230" s="2986"/>
      <c r="E230" s="2986"/>
      <c r="F230" s="2975">
        <v>0.05</v>
      </c>
      <c r="G230" s="2992"/>
    </row>
    <row r="231" spans="1:7">
      <c r="A231" s="2985" t="s">
        <v>304</v>
      </c>
      <c r="B231" s="2974" t="s">
        <v>3197</v>
      </c>
      <c r="C231" s="2986"/>
      <c r="D231" s="2986"/>
      <c r="E231" s="2986"/>
      <c r="F231" s="2975">
        <v>0.05</v>
      </c>
      <c r="G231" s="2992"/>
    </row>
    <row r="232" spans="1:7">
      <c r="A232" s="2985" t="s">
        <v>304</v>
      </c>
      <c r="B232" s="2974" t="s">
        <v>3198</v>
      </c>
      <c r="C232" s="2986"/>
      <c r="D232" s="2986"/>
      <c r="E232" s="2986"/>
      <c r="F232" s="2975">
        <v>0.05</v>
      </c>
      <c r="G232" s="2992"/>
    </row>
    <row r="233" spans="1:7" ht="14.25" thickBot="1">
      <c r="A233" s="2988" t="s">
        <v>304</v>
      </c>
      <c r="B233" s="2978" t="s">
        <v>3199</v>
      </c>
      <c r="C233" s="2980"/>
      <c r="D233" s="2980"/>
      <c r="E233" s="2980"/>
      <c r="F233" s="2979">
        <v>0.05</v>
      </c>
      <c r="G233" s="2993"/>
    </row>
    <row r="234" spans="1:7">
      <c r="A234" s="2984" t="s">
        <v>305</v>
      </c>
      <c r="B234" s="2970" t="s">
        <v>2848</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2868</v>
      </c>
      <c r="C238" s="2975">
        <v>0.14899999999999999</v>
      </c>
      <c r="D238" s="2975">
        <v>0.14899999999999999</v>
      </c>
      <c r="E238" s="2975">
        <v>0.15</v>
      </c>
      <c r="F238" s="2975">
        <v>0.15</v>
      </c>
      <c r="G238" s="2976">
        <v>0.15</v>
      </c>
    </row>
    <row r="239" spans="1:7">
      <c r="A239" s="2985" t="s">
        <v>305</v>
      </c>
      <c r="B239" s="2974" t="s">
        <v>2872</v>
      </c>
      <c r="C239" s="2975">
        <v>0.15</v>
      </c>
      <c r="D239" s="2975">
        <v>0.15</v>
      </c>
      <c r="E239" s="2975">
        <v>0.15</v>
      </c>
      <c r="F239" s="2975">
        <v>0.15</v>
      </c>
      <c r="G239" s="2976">
        <v>0.15</v>
      </c>
    </row>
    <row r="240" spans="1:7">
      <c r="A240" s="2985" t="s">
        <v>305</v>
      </c>
      <c r="B240" s="2974" t="s">
        <v>2877</v>
      </c>
      <c r="C240" s="2975">
        <v>0.15</v>
      </c>
      <c r="D240" s="2975">
        <v>0.15</v>
      </c>
      <c r="E240" s="2975">
        <v>0.15</v>
      </c>
      <c r="F240" s="2975">
        <v>0.15</v>
      </c>
      <c r="G240" s="2976">
        <v>0.15</v>
      </c>
    </row>
    <row r="241" spans="1:7">
      <c r="A241" s="2985" t="s">
        <v>305</v>
      </c>
      <c r="B241" s="2974" t="s">
        <v>2881</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2887</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2895</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2900</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2908</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2921</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2930</v>
      </c>
      <c r="C258" s="2975">
        <v>0.14299999999999999</v>
      </c>
      <c r="D258" s="2975">
        <v>0.14299999999999999</v>
      </c>
      <c r="E258" s="2975">
        <v>0.15</v>
      </c>
      <c r="F258" s="2975">
        <v>0.14799999999999999</v>
      </c>
      <c r="G258" s="2976">
        <v>0.14599999999999999</v>
      </c>
    </row>
    <row r="259" spans="1:7">
      <c r="A259" s="2985" t="s">
        <v>305</v>
      </c>
      <c r="B259" s="2974" t="s">
        <v>2934</v>
      </c>
      <c r="C259" s="2975">
        <v>0.14399999999999999</v>
      </c>
      <c r="D259" s="2975">
        <v>0.14399999999999999</v>
      </c>
      <c r="E259" s="2975">
        <v>0.14899999999999999</v>
      </c>
      <c r="F259" s="2975">
        <v>0.14699999999999999</v>
      </c>
      <c r="G259" s="2976">
        <v>0.14599999999999999</v>
      </c>
    </row>
    <row r="260" spans="1:7">
      <c r="A260" s="2985" t="s">
        <v>305</v>
      </c>
      <c r="B260" s="2974" t="s">
        <v>2941</v>
      </c>
      <c r="C260" s="2975">
        <v>0.109</v>
      </c>
      <c r="D260" s="2975">
        <v>0.111</v>
      </c>
      <c r="E260" s="2975">
        <v>0.13100000000000001</v>
      </c>
      <c r="F260" s="2975">
        <v>0.126</v>
      </c>
      <c r="G260" s="2976">
        <v>0.11899999999999999</v>
      </c>
    </row>
    <row r="261" spans="1:7">
      <c r="A261" s="2985" t="s">
        <v>305</v>
      </c>
      <c r="B261" s="2974" t="s">
        <v>2948</v>
      </c>
      <c r="C261" s="2975">
        <v>0.1</v>
      </c>
      <c r="D261" s="2975">
        <v>0.1</v>
      </c>
      <c r="E261" s="2975">
        <v>0.11799999999999999</v>
      </c>
      <c r="F261" s="2975">
        <v>0.108</v>
      </c>
      <c r="G261" s="2976">
        <v>0.107</v>
      </c>
    </row>
    <row r="262" spans="1:7">
      <c r="A262" s="2985" t="s">
        <v>305</v>
      </c>
      <c r="B262" s="2974" t="s">
        <v>2954</v>
      </c>
      <c r="C262" s="2975">
        <v>0.1</v>
      </c>
      <c r="D262" s="2975">
        <v>0.1</v>
      </c>
      <c r="E262" s="2975">
        <v>0.1</v>
      </c>
      <c r="F262" s="2975">
        <v>0.14099999999999999</v>
      </c>
      <c r="G262" s="2976">
        <v>0.1</v>
      </c>
    </row>
    <row r="263" spans="1:7">
      <c r="A263" s="2985" t="s">
        <v>305</v>
      </c>
      <c r="B263" s="2974" t="s">
        <v>2961</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2972</v>
      </c>
      <c r="C265" s="2986"/>
      <c r="D265" s="2986"/>
      <c r="E265" s="2986"/>
      <c r="F265" s="2975">
        <v>0.05</v>
      </c>
      <c r="G265" s="2992"/>
    </row>
    <row r="266" spans="1:7">
      <c r="A266" s="2985" t="s">
        <v>305</v>
      </c>
      <c r="B266" s="2974" t="s">
        <v>2976</v>
      </c>
      <c r="C266" s="2986"/>
      <c r="D266" s="2986"/>
      <c r="E266" s="2986"/>
      <c r="F266" s="2975">
        <v>0.05</v>
      </c>
      <c r="G266" s="2992"/>
    </row>
    <row r="267" spans="1:7">
      <c r="A267" s="2985" t="s">
        <v>305</v>
      </c>
      <c r="B267" s="2974" t="s">
        <v>2981</v>
      </c>
      <c r="C267" s="2986"/>
      <c r="D267" s="2986"/>
      <c r="E267" s="2986"/>
      <c r="F267" s="2975">
        <v>0.05</v>
      </c>
      <c r="G267" s="2992"/>
    </row>
    <row r="268" spans="1:7">
      <c r="A268" s="2985" t="s">
        <v>305</v>
      </c>
      <c r="B268" s="2974" t="s">
        <v>2986</v>
      </c>
      <c r="C268" s="2986"/>
      <c r="D268" s="2986"/>
      <c r="E268" s="2986"/>
      <c r="F268" s="2975">
        <v>0.05</v>
      </c>
      <c r="G268" s="2992"/>
    </row>
    <row r="269" spans="1:7">
      <c r="A269" s="2985" t="s">
        <v>305</v>
      </c>
      <c r="B269" s="2974" t="s">
        <v>2991</v>
      </c>
      <c r="C269" s="2986"/>
      <c r="D269" s="2986"/>
      <c r="E269" s="2986"/>
      <c r="F269" s="2975">
        <v>0.05</v>
      </c>
      <c r="G269" s="2992"/>
    </row>
    <row r="270" spans="1:7">
      <c r="A270" s="2985" t="s">
        <v>305</v>
      </c>
      <c r="B270" s="2974" t="s">
        <v>2996</v>
      </c>
      <c r="C270" s="2986"/>
      <c r="D270" s="2986"/>
      <c r="E270" s="2986"/>
      <c r="F270" s="2975">
        <v>0.05</v>
      </c>
      <c r="G270" s="2992"/>
    </row>
    <row r="271" spans="1:7">
      <c r="A271" s="2985" t="s">
        <v>305</v>
      </c>
      <c r="B271" s="2974" t="s">
        <v>3200</v>
      </c>
      <c r="C271" s="2986"/>
      <c r="D271" s="2986"/>
      <c r="E271" s="2986"/>
      <c r="F271" s="2975">
        <v>0.05</v>
      </c>
      <c r="G271" s="2992"/>
    </row>
    <row r="272" spans="1:7">
      <c r="A272" s="2985" t="s">
        <v>305</v>
      </c>
      <c r="B272" s="2974" t="s">
        <v>3201</v>
      </c>
      <c r="C272" s="2986"/>
      <c r="D272" s="2986"/>
      <c r="E272" s="2986"/>
      <c r="F272" s="2975">
        <v>0.05</v>
      </c>
      <c r="G272" s="2992"/>
    </row>
    <row r="273" spans="1:7">
      <c r="A273" s="2985" t="s">
        <v>305</v>
      </c>
      <c r="B273" s="2974" t="s">
        <v>3202</v>
      </c>
      <c r="C273" s="2986"/>
      <c r="D273" s="2986"/>
      <c r="E273" s="2986"/>
      <c r="F273" s="2975">
        <v>0.05</v>
      </c>
      <c r="G273" s="2992"/>
    </row>
    <row r="274" spans="1:7">
      <c r="A274" s="2985" t="s">
        <v>305</v>
      </c>
      <c r="B274" s="2974" t="s">
        <v>3203</v>
      </c>
      <c r="C274" s="2986"/>
      <c r="D274" s="2986"/>
      <c r="E274" s="2986"/>
      <c r="F274" s="2975">
        <v>0.05</v>
      </c>
      <c r="G274" s="2992"/>
    </row>
    <row r="275" spans="1:7">
      <c r="A275" s="2985" t="s">
        <v>305</v>
      </c>
      <c r="B275" s="2974" t="s">
        <v>3204</v>
      </c>
      <c r="C275" s="2986"/>
      <c r="D275" s="2986"/>
      <c r="E275" s="2986"/>
      <c r="F275" s="2975">
        <v>0.05</v>
      </c>
      <c r="G275" s="2992"/>
    </row>
    <row r="276" spans="1:7" ht="14.25" thickBot="1">
      <c r="A276" s="2988" t="s">
        <v>305</v>
      </c>
      <c r="B276" s="2978" t="s">
        <v>3205</v>
      </c>
      <c r="C276" s="2980"/>
      <c r="D276" s="2980"/>
      <c r="E276" s="2980"/>
      <c r="F276" s="2979">
        <v>0.05</v>
      </c>
      <c r="G276" s="2993"/>
    </row>
    <row r="277" spans="1:7">
      <c r="A277" s="2984" t="s">
        <v>306</v>
      </c>
      <c r="B277" s="2970" t="s">
        <v>2849</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2861</v>
      </c>
      <c r="C279" s="2975">
        <v>0.15</v>
      </c>
      <c r="D279" s="2975">
        <v>0.15</v>
      </c>
      <c r="E279" s="2975">
        <v>0.15</v>
      </c>
      <c r="F279" s="2975">
        <v>0.15</v>
      </c>
      <c r="G279" s="2976">
        <v>0.15</v>
      </c>
    </row>
    <row r="280" spans="1:7">
      <c r="A280" s="2985" t="s">
        <v>306</v>
      </c>
      <c r="B280" s="2974" t="s">
        <v>2865</v>
      </c>
      <c r="C280" s="2975">
        <v>0.15</v>
      </c>
      <c r="D280" s="2975">
        <v>0.15</v>
      </c>
      <c r="E280" s="2975">
        <v>0.15</v>
      </c>
      <c r="F280" s="2975">
        <v>0.15</v>
      </c>
      <c r="G280" s="2976">
        <v>0.15</v>
      </c>
    </row>
    <row r="281" spans="1:7">
      <c r="A281" s="2985" t="s">
        <v>306</v>
      </c>
      <c r="B281" s="2974" t="s">
        <v>2869</v>
      </c>
      <c r="C281" s="2975">
        <v>0.15</v>
      </c>
      <c r="D281" s="2975">
        <v>0.15</v>
      </c>
      <c r="E281" s="2975">
        <v>0.15</v>
      </c>
      <c r="F281" s="2975">
        <v>0.15</v>
      </c>
      <c r="G281" s="2976">
        <v>0.15</v>
      </c>
    </row>
    <row r="282" spans="1:7">
      <c r="A282" s="2985" t="s">
        <v>306</v>
      </c>
      <c r="B282" s="2974" t="s">
        <v>2873</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2888</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2893</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2903</v>
      </c>
      <c r="C293" s="2975">
        <v>0.15</v>
      </c>
      <c r="D293" s="2975">
        <v>0.15</v>
      </c>
      <c r="E293" s="2975">
        <v>0.15</v>
      </c>
      <c r="F293" s="2975">
        <v>0.14499999999999999</v>
      </c>
      <c r="G293" s="2976">
        <v>0.15</v>
      </c>
    </row>
    <row r="294" spans="1:7">
      <c r="A294" s="2985" t="s">
        <v>306</v>
      </c>
      <c r="B294" s="2974" t="s">
        <v>2905</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2922</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2935</v>
      </c>
      <c r="C302" s="2975">
        <v>0.15</v>
      </c>
      <c r="D302" s="2975">
        <v>0.15</v>
      </c>
      <c r="E302" s="2975">
        <v>0.15</v>
      </c>
      <c r="F302" s="2975">
        <v>0.14699999999999999</v>
      </c>
      <c r="G302" s="2976">
        <v>0.15</v>
      </c>
    </row>
    <row r="303" spans="1:7">
      <c r="A303" s="2985" t="s">
        <v>306</v>
      </c>
      <c r="B303" s="2974" t="s">
        <v>2942</v>
      </c>
      <c r="C303" s="2975">
        <v>0.15</v>
      </c>
      <c r="D303" s="2975">
        <v>0.15</v>
      </c>
      <c r="E303" s="2975">
        <v>0.15</v>
      </c>
      <c r="F303" s="2975">
        <v>0.14199999999999999</v>
      </c>
      <c r="G303" s="2976">
        <v>0.15</v>
      </c>
    </row>
    <row r="304" spans="1:7">
      <c r="A304" s="2985" t="s">
        <v>306</v>
      </c>
      <c r="B304" s="2974" t="s">
        <v>2949</v>
      </c>
      <c r="C304" s="2975">
        <v>0.15</v>
      </c>
      <c r="D304" s="2975">
        <v>0.15</v>
      </c>
      <c r="E304" s="2975">
        <v>0.15</v>
      </c>
      <c r="F304" s="2975">
        <v>0.14499999999999999</v>
      </c>
      <c r="G304" s="2976">
        <v>0.15</v>
      </c>
    </row>
    <row r="305" spans="1:7">
      <c r="A305" s="2985" t="s">
        <v>306</v>
      </c>
      <c r="B305" s="2974" t="s">
        <v>2955</v>
      </c>
      <c r="C305" s="2975">
        <v>0.15</v>
      </c>
      <c r="D305" s="2975">
        <v>0.15</v>
      </c>
      <c r="E305" s="2975">
        <v>0.15</v>
      </c>
      <c r="F305" s="2975">
        <v>0.111</v>
      </c>
      <c r="G305" s="2976">
        <v>0.15</v>
      </c>
    </row>
    <row r="306" spans="1:7">
      <c r="A306" s="2985" t="s">
        <v>306</v>
      </c>
      <c r="B306" s="2974" t="s">
        <v>2962</v>
      </c>
      <c r="C306" s="2975">
        <v>0.15</v>
      </c>
      <c r="D306" s="2975">
        <v>0.15</v>
      </c>
      <c r="E306" s="2975">
        <v>0.15</v>
      </c>
      <c r="F306" s="2975">
        <v>0.126</v>
      </c>
      <c r="G306" s="2976">
        <v>0.15</v>
      </c>
    </row>
    <row r="307" spans="1:7">
      <c r="A307" s="2985" t="s">
        <v>306</v>
      </c>
      <c r="B307" s="2974" t="s">
        <v>2967</v>
      </c>
      <c r="C307" s="2975">
        <v>0.15</v>
      </c>
      <c r="D307" s="2975">
        <v>0.15</v>
      </c>
      <c r="E307" s="2975">
        <v>0.15</v>
      </c>
      <c r="F307" s="2975">
        <v>0.12</v>
      </c>
      <c r="G307" s="2976">
        <v>0.15</v>
      </c>
    </row>
    <row r="308" spans="1:7">
      <c r="A308" s="2985" t="s">
        <v>306</v>
      </c>
      <c r="B308" s="2974" t="s">
        <v>2973</v>
      </c>
      <c r="C308" s="2975">
        <v>0.15</v>
      </c>
      <c r="D308" s="2975">
        <v>0.15</v>
      </c>
      <c r="E308" s="2975">
        <v>0.15</v>
      </c>
      <c r="F308" s="2975">
        <v>0.13</v>
      </c>
      <c r="G308" s="2976">
        <v>0.15</v>
      </c>
    </row>
    <row r="309" spans="1:7">
      <c r="A309" s="2985" t="s">
        <v>306</v>
      </c>
      <c r="B309" s="2974" t="s">
        <v>2977</v>
      </c>
      <c r="C309" s="2975">
        <v>0.15</v>
      </c>
      <c r="D309" s="2975">
        <v>0.15</v>
      </c>
      <c r="E309" s="2975">
        <v>0.15</v>
      </c>
      <c r="F309" s="2975">
        <v>0.14099999999999999</v>
      </c>
      <c r="G309" s="2976">
        <v>0.15</v>
      </c>
    </row>
    <row r="310" spans="1:7">
      <c r="A310" s="2985" t="s">
        <v>306</v>
      </c>
      <c r="B310" s="2974" t="s">
        <v>2982</v>
      </c>
      <c r="C310" s="2975">
        <v>0.15</v>
      </c>
      <c r="D310" s="2975">
        <v>0.15</v>
      </c>
      <c r="E310" s="2975">
        <v>0.15</v>
      </c>
      <c r="F310" s="2975">
        <v>0.15</v>
      </c>
      <c r="G310" s="2976">
        <v>0.15</v>
      </c>
    </row>
    <row r="311" spans="1:7">
      <c r="A311" s="2985" t="s">
        <v>306</v>
      </c>
      <c r="B311" s="2974" t="s">
        <v>2987</v>
      </c>
      <c r="C311" s="2975">
        <v>0.13200000000000001</v>
      </c>
      <c r="D311" s="2975">
        <v>0.13300000000000001</v>
      </c>
      <c r="E311" s="2975">
        <v>0.14499999999999999</v>
      </c>
      <c r="F311" s="2975">
        <v>0.14199999999999999</v>
      </c>
      <c r="G311" s="2976">
        <v>0.14000000000000001</v>
      </c>
    </row>
    <row r="312" spans="1:7">
      <c r="A312" s="2985" t="s">
        <v>306</v>
      </c>
      <c r="B312" s="2974" t="s">
        <v>2992</v>
      </c>
      <c r="C312" s="2975">
        <v>0.13800000000000001</v>
      </c>
      <c r="D312" s="2975">
        <v>0.14000000000000001</v>
      </c>
      <c r="E312" s="2975">
        <v>0.14599999999999999</v>
      </c>
      <c r="F312" s="2975">
        <v>0.14899999999999999</v>
      </c>
      <c r="G312" s="2976">
        <v>0.14199999999999999</v>
      </c>
    </row>
    <row r="313" spans="1:7">
      <c r="A313" s="2985" t="s">
        <v>306</v>
      </c>
      <c r="B313" s="2974" t="s">
        <v>2997</v>
      </c>
      <c r="C313" s="2975">
        <v>0.125</v>
      </c>
      <c r="D313" s="2975">
        <v>0.127</v>
      </c>
      <c r="E313" s="2975">
        <v>0.14399999999999999</v>
      </c>
      <c r="F313" s="2975">
        <v>0.115</v>
      </c>
      <c r="G313" s="2976">
        <v>0.13600000000000001</v>
      </c>
    </row>
    <row r="314" spans="1:7">
      <c r="A314" s="2985" t="s">
        <v>306</v>
      </c>
      <c r="B314" s="2974" t="s">
        <v>3206</v>
      </c>
      <c r="C314" s="2991"/>
      <c r="D314" s="2991"/>
      <c r="E314" s="2991"/>
      <c r="F314" s="2975">
        <v>0.05</v>
      </c>
      <c r="G314" s="2992"/>
    </row>
    <row r="315" spans="1:7">
      <c r="A315" s="2985" t="s">
        <v>306</v>
      </c>
      <c r="B315" s="2974" t="s">
        <v>3207</v>
      </c>
      <c r="C315" s="2991"/>
      <c r="D315" s="2991"/>
      <c r="E315" s="2991"/>
      <c r="F315" s="2975">
        <v>0.05</v>
      </c>
      <c r="G315" s="2992"/>
    </row>
    <row r="316" spans="1:7">
      <c r="A316" s="2985" t="s">
        <v>306</v>
      </c>
      <c r="B316" s="2974" t="s">
        <v>3208</v>
      </c>
      <c r="C316" s="2986"/>
      <c r="D316" s="2986"/>
      <c r="E316" s="2986"/>
      <c r="F316" s="2975">
        <v>0.05</v>
      </c>
      <c r="G316" s="2992"/>
    </row>
    <row r="317" spans="1:7">
      <c r="A317" s="2985" t="s">
        <v>306</v>
      </c>
      <c r="B317" s="2974" t="s">
        <v>3209</v>
      </c>
      <c r="C317" s="2986"/>
      <c r="D317" s="2986"/>
      <c r="E317" s="2986"/>
      <c r="F317" s="2975">
        <v>0.05</v>
      </c>
      <c r="G317" s="2992"/>
    </row>
    <row r="318" spans="1:7">
      <c r="A318" s="2985" t="s">
        <v>306</v>
      </c>
      <c r="B318" s="2974" t="s">
        <v>3210</v>
      </c>
      <c r="C318" s="2986"/>
      <c r="D318" s="2986"/>
      <c r="E318" s="2986"/>
      <c r="F318" s="2975">
        <v>0.05</v>
      </c>
      <c r="G318" s="2992"/>
    </row>
    <row r="319" spans="1:7">
      <c r="A319" s="2985" t="s">
        <v>306</v>
      </c>
      <c r="B319" s="2974" t="s">
        <v>3211</v>
      </c>
      <c r="C319" s="2986"/>
      <c r="D319" s="2986"/>
      <c r="E319" s="2986"/>
      <c r="F319" s="2975">
        <v>0.05</v>
      </c>
      <c r="G319" s="2992"/>
    </row>
    <row r="320" spans="1:7">
      <c r="A320" s="2985" t="s">
        <v>306</v>
      </c>
      <c r="B320" s="2974" t="s">
        <v>3212</v>
      </c>
      <c r="C320" s="2986"/>
      <c r="D320" s="2986"/>
      <c r="E320" s="2986"/>
      <c r="F320" s="2975">
        <v>0.05</v>
      </c>
      <c r="G320" s="2992"/>
    </row>
    <row r="321" spans="1:7">
      <c r="A321" s="2985" t="s">
        <v>306</v>
      </c>
      <c r="B321" s="2974" t="s">
        <v>3213</v>
      </c>
      <c r="C321" s="2986"/>
      <c r="D321" s="2986"/>
      <c r="E321" s="2986"/>
      <c r="F321" s="2975">
        <v>0.05</v>
      </c>
      <c r="G321" s="2992"/>
    </row>
    <row r="322" spans="1:7">
      <c r="A322" s="2985" t="s">
        <v>306</v>
      </c>
      <c r="B322" s="2974" t="s">
        <v>3214</v>
      </c>
      <c r="C322" s="2986"/>
      <c r="D322" s="2986"/>
      <c r="E322" s="2986"/>
      <c r="F322" s="2975">
        <v>0.05</v>
      </c>
      <c r="G322" s="2992"/>
    </row>
    <row r="323" spans="1:7">
      <c r="A323" s="2985" t="s">
        <v>306</v>
      </c>
      <c r="B323" s="2974" t="s">
        <v>3215</v>
      </c>
      <c r="C323" s="2986"/>
      <c r="D323" s="2986"/>
      <c r="E323" s="2986"/>
      <c r="F323" s="2975">
        <v>0.05</v>
      </c>
      <c r="G323" s="2992"/>
    </row>
    <row r="324" spans="1:7">
      <c r="A324" s="2985" t="s">
        <v>306</v>
      </c>
      <c r="B324" s="2974" t="s">
        <v>3216</v>
      </c>
      <c r="C324" s="2986"/>
      <c r="D324" s="2986"/>
      <c r="E324" s="2986"/>
      <c r="F324" s="2975">
        <v>0.05</v>
      </c>
      <c r="G324" s="2992"/>
    </row>
    <row r="325" spans="1:7">
      <c r="A325" s="2985" t="s">
        <v>306</v>
      </c>
      <c r="B325" s="2974" t="s">
        <v>3217</v>
      </c>
      <c r="C325" s="2986"/>
      <c r="D325" s="2986"/>
      <c r="E325" s="2986"/>
      <c r="F325" s="2975">
        <v>0.05</v>
      </c>
      <c r="G325" s="2992"/>
    </row>
    <row r="326" spans="1:7" ht="14.25" thickBot="1">
      <c r="A326" s="2988" t="s">
        <v>306</v>
      </c>
      <c r="B326" s="2978" t="s">
        <v>3218</v>
      </c>
      <c r="C326" s="2980"/>
      <c r="D326" s="2980"/>
      <c r="E326" s="2980"/>
      <c r="F326" s="2979">
        <v>0.05</v>
      </c>
      <c r="G326" s="2993"/>
    </row>
    <row r="327" spans="1:7">
      <c r="A327" s="2984" t="s">
        <v>307</v>
      </c>
      <c r="B327" s="2970" t="s">
        <v>2850</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2862</v>
      </c>
      <c r="C329" s="2975">
        <v>0.15</v>
      </c>
      <c r="D329" s="2975">
        <v>0.15</v>
      </c>
      <c r="E329" s="2975">
        <v>0.15</v>
      </c>
      <c r="F329" s="2975">
        <v>0.15</v>
      </c>
      <c r="G329" s="2976">
        <v>0.15</v>
      </c>
    </row>
    <row r="330" spans="1:7">
      <c r="A330" s="2985" t="s">
        <v>307</v>
      </c>
      <c r="B330" s="2974" t="s">
        <v>2866</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2874</v>
      </c>
      <c r="C332" s="2975">
        <v>0.15</v>
      </c>
      <c r="D332" s="2975">
        <v>0.15</v>
      </c>
      <c r="E332" s="2975">
        <v>0.15</v>
      </c>
      <c r="F332" s="2975">
        <v>0.15</v>
      </c>
      <c r="G332" s="2976">
        <v>0.15</v>
      </c>
    </row>
    <row r="333" spans="1:7">
      <c r="A333" s="2985" t="s">
        <v>307</v>
      </c>
      <c r="B333" s="2974" t="s">
        <v>2878</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2884</v>
      </c>
      <c r="C336" s="2975">
        <v>0.15</v>
      </c>
      <c r="D336" s="2975">
        <v>0.15</v>
      </c>
      <c r="E336" s="2975">
        <v>0.15</v>
      </c>
      <c r="F336" s="2975">
        <v>0.14199999999999999</v>
      </c>
      <c r="G336" s="2976">
        <v>0.15</v>
      </c>
    </row>
    <row r="337" spans="1:7">
      <c r="A337" s="2985" t="s">
        <v>307</v>
      </c>
      <c r="B337" s="2974" t="s">
        <v>2889</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2896</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2901</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2909</v>
      </c>
      <c r="C345" s="2975">
        <v>0.15</v>
      </c>
      <c r="D345" s="2975">
        <v>0.15</v>
      </c>
      <c r="E345" s="2975">
        <v>0.15</v>
      </c>
      <c r="F345" s="2975">
        <v>0.13800000000000001</v>
      </c>
      <c r="G345" s="2976">
        <v>0.15</v>
      </c>
    </row>
    <row r="346" spans="1:7">
      <c r="A346" s="2985" t="s">
        <v>307</v>
      </c>
      <c r="B346" s="2974" t="s">
        <v>2911</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2918</v>
      </c>
      <c r="C348" s="2975">
        <v>0.15</v>
      </c>
      <c r="D348" s="2975">
        <v>0.15</v>
      </c>
      <c r="E348" s="2975">
        <v>0.15</v>
      </c>
      <c r="F348" s="2975">
        <v>0.14399999999999999</v>
      </c>
      <c r="G348" s="2976">
        <v>0.15</v>
      </c>
    </row>
    <row r="349" spans="1:7">
      <c r="A349" s="2985" t="s">
        <v>307</v>
      </c>
      <c r="B349" s="2974" t="s">
        <v>2923</v>
      </c>
      <c r="C349" s="2975">
        <v>0.15</v>
      </c>
      <c r="D349" s="2975">
        <v>0.15</v>
      </c>
      <c r="E349" s="2975">
        <v>0.15</v>
      </c>
      <c r="F349" s="2975">
        <v>0.15</v>
      </c>
      <c r="G349" s="2976">
        <v>0.15</v>
      </c>
    </row>
    <row r="350" spans="1:7">
      <c r="A350" s="2985" t="s">
        <v>307</v>
      </c>
      <c r="B350" s="2974" t="s">
        <v>2926</v>
      </c>
      <c r="C350" s="2975">
        <v>0.15</v>
      </c>
      <c r="D350" s="2975">
        <v>0.15</v>
      </c>
      <c r="E350" s="2975">
        <v>0.15</v>
      </c>
      <c r="F350" s="2975">
        <v>0.14699999999999999</v>
      </c>
      <c r="G350" s="2976">
        <v>0.15</v>
      </c>
    </row>
    <row r="351" spans="1:7">
      <c r="A351" s="2985" t="s">
        <v>307</v>
      </c>
      <c r="B351" s="2974" t="s">
        <v>2931</v>
      </c>
      <c r="C351" s="2975">
        <v>0.15</v>
      </c>
      <c r="D351" s="2975">
        <v>0.15</v>
      </c>
      <c r="E351" s="2975">
        <v>0.15</v>
      </c>
      <c r="F351" s="2975">
        <v>0.13</v>
      </c>
      <c r="G351" s="2976">
        <v>0.15</v>
      </c>
    </row>
    <row r="352" spans="1:7">
      <c r="A352" s="2985" t="s">
        <v>307</v>
      </c>
      <c r="B352" s="2974" t="s">
        <v>2936</v>
      </c>
      <c r="C352" s="2975">
        <v>0.15</v>
      </c>
      <c r="D352" s="2975">
        <v>0.15</v>
      </c>
      <c r="E352" s="2975">
        <v>0.15</v>
      </c>
      <c r="F352" s="2975">
        <v>0.14599999999999999</v>
      </c>
      <c r="G352" s="2976">
        <v>0.15</v>
      </c>
    </row>
    <row r="353" spans="1:7">
      <c r="A353" s="2985" t="s">
        <v>307</v>
      </c>
      <c r="B353" s="2974" t="s">
        <v>2943</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2956</v>
      </c>
      <c r="C355" s="2975">
        <v>0.15</v>
      </c>
      <c r="D355" s="2975">
        <v>0.15</v>
      </c>
      <c r="E355" s="2975">
        <v>0.15</v>
      </c>
      <c r="F355" s="2975">
        <v>0.15</v>
      </c>
      <c r="G355" s="2976">
        <v>0.15</v>
      </c>
    </row>
    <row r="356" spans="1:7">
      <c r="A356" s="2985" t="s">
        <v>307</v>
      </c>
      <c r="B356" s="2974" t="s">
        <v>2963</v>
      </c>
      <c r="C356" s="2975">
        <v>0.15</v>
      </c>
      <c r="D356" s="2975">
        <v>0.15</v>
      </c>
      <c r="E356" s="2975">
        <v>0.15</v>
      </c>
      <c r="F356" s="2975">
        <v>0.15</v>
      </c>
      <c r="G356" s="2976">
        <v>0.15</v>
      </c>
    </row>
    <row r="357" spans="1:7" ht="14.25" thickBot="1">
      <c r="A357" s="2988" t="s">
        <v>307</v>
      </c>
      <c r="B357" s="2978" t="s">
        <v>2968</v>
      </c>
      <c r="C357" s="2979">
        <v>0.126</v>
      </c>
      <c r="D357" s="2979">
        <v>0.127</v>
      </c>
      <c r="E357" s="2979">
        <v>0.14299999999999999</v>
      </c>
      <c r="F357" s="2979">
        <v>0.125</v>
      </c>
      <c r="G357" s="2981">
        <v>0.129</v>
      </c>
    </row>
    <row r="358" spans="1:7">
      <c r="A358" s="2984" t="s">
        <v>2837</v>
      </c>
      <c r="B358" s="2970" t="s">
        <v>2851</v>
      </c>
      <c r="C358" s="2971">
        <v>0.15</v>
      </c>
      <c r="D358" s="2971">
        <v>0.15</v>
      </c>
      <c r="E358" s="2971">
        <v>0.15</v>
      </c>
      <c r="F358" s="2971">
        <v>0.15</v>
      </c>
      <c r="G358" s="2972">
        <v>0.15</v>
      </c>
    </row>
    <row r="359" spans="1:7">
      <c r="A359" s="2985" t="s">
        <v>2837</v>
      </c>
      <c r="B359" s="2974" t="s">
        <v>2857</v>
      </c>
      <c r="C359" s="2975">
        <v>0.1</v>
      </c>
      <c r="D359" s="2975">
        <v>0.1</v>
      </c>
      <c r="E359" s="2975">
        <v>0.1</v>
      </c>
      <c r="F359" s="2975">
        <v>0.1</v>
      </c>
      <c r="G359" s="2976">
        <v>0.1</v>
      </c>
    </row>
    <row r="360" spans="1:7">
      <c r="A360" s="2985" t="s">
        <v>2837</v>
      </c>
      <c r="B360" s="2974" t="s">
        <v>2863</v>
      </c>
      <c r="C360" s="2975">
        <v>0.15</v>
      </c>
      <c r="D360" s="2975">
        <v>0.15</v>
      </c>
      <c r="E360" s="2975">
        <v>0.15</v>
      </c>
      <c r="F360" s="2975">
        <v>0.14899999999999999</v>
      </c>
      <c r="G360" s="2976">
        <v>0.15</v>
      </c>
    </row>
    <row r="361" spans="1:7">
      <c r="A361" s="2985" t="s">
        <v>2837</v>
      </c>
      <c r="B361" s="2974" t="s">
        <v>153</v>
      </c>
      <c r="C361" s="2975">
        <v>0.15</v>
      </c>
      <c r="D361" s="2975">
        <v>0.15</v>
      </c>
      <c r="E361" s="2975">
        <v>0.15</v>
      </c>
      <c r="F361" s="2975">
        <v>0.115</v>
      </c>
      <c r="G361" s="2976">
        <v>0.15</v>
      </c>
    </row>
    <row r="362" spans="1:7">
      <c r="A362" s="2985" t="s">
        <v>2837</v>
      </c>
      <c r="B362" s="2974" t="s">
        <v>2870</v>
      </c>
      <c r="C362" s="2975">
        <v>0.15</v>
      </c>
      <c r="D362" s="2975">
        <v>0.15</v>
      </c>
      <c r="E362" s="2975">
        <v>0.15</v>
      </c>
      <c r="F362" s="2975">
        <v>0.106</v>
      </c>
      <c r="G362" s="2976">
        <v>0.15</v>
      </c>
    </row>
    <row r="363" spans="1:7">
      <c r="A363" s="2985" t="s">
        <v>2837</v>
      </c>
      <c r="B363" s="2974" t="s">
        <v>2875</v>
      </c>
      <c r="C363" s="2975">
        <v>0.15</v>
      </c>
      <c r="D363" s="2975">
        <v>0.15</v>
      </c>
      <c r="E363" s="2975">
        <v>0.15</v>
      </c>
      <c r="F363" s="2975">
        <v>0.14699999999999999</v>
      </c>
      <c r="G363" s="2976">
        <v>0.15</v>
      </c>
    </row>
    <row r="364" spans="1:7">
      <c r="A364" s="2985" t="s">
        <v>2837</v>
      </c>
      <c r="B364" s="2974" t="s">
        <v>2879</v>
      </c>
      <c r="C364" s="2975">
        <v>0.15</v>
      </c>
      <c r="D364" s="2975">
        <v>0.15</v>
      </c>
      <c r="E364" s="2975">
        <v>0.15</v>
      </c>
      <c r="F364" s="2975">
        <v>0.14799999999999999</v>
      </c>
      <c r="G364" s="2976">
        <v>0.15</v>
      </c>
    </row>
    <row r="365" spans="1:7">
      <c r="A365" s="2985" t="s">
        <v>2837</v>
      </c>
      <c r="B365" s="2974" t="s">
        <v>200</v>
      </c>
      <c r="C365" s="2975">
        <v>0.15</v>
      </c>
      <c r="D365" s="2975">
        <v>0.15</v>
      </c>
      <c r="E365" s="2975">
        <v>0.15</v>
      </c>
      <c r="F365" s="2975">
        <v>0.15</v>
      </c>
      <c r="G365" s="2976">
        <v>0.15</v>
      </c>
    </row>
    <row r="366" spans="1:7">
      <c r="A366" s="2985" t="s">
        <v>2837</v>
      </c>
      <c r="B366" s="2974" t="s">
        <v>2882</v>
      </c>
      <c r="C366" s="2975">
        <v>0.15</v>
      </c>
      <c r="D366" s="2975">
        <v>0.15</v>
      </c>
      <c r="E366" s="2975">
        <v>0.15</v>
      </c>
      <c r="F366" s="2975">
        <v>0.15</v>
      </c>
      <c r="G366" s="2976">
        <v>0.15</v>
      </c>
    </row>
    <row r="367" spans="1:7">
      <c r="A367" s="2985" t="s">
        <v>2837</v>
      </c>
      <c r="B367" s="2974" t="s">
        <v>2885</v>
      </c>
      <c r="C367" s="2975">
        <v>0.15</v>
      </c>
      <c r="D367" s="2975">
        <v>0.15</v>
      </c>
      <c r="E367" s="2975">
        <v>0.15</v>
      </c>
      <c r="F367" s="2975">
        <v>0.14699999999999999</v>
      </c>
      <c r="G367" s="2976">
        <v>0.15</v>
      </c>
    </row>
    <row r="368" spans="1:7">
      <c r="A368" s="2985" t="s">
        <v>2837</v>
      </c>
      <c r="B368" s="2974" t="s">
        <v>2890</v>
      </c>
      <c r="C368" s="2975">
        <v>0.15</v>
      </c>
      <c r="D368" s="2975">
        <v>0.15</v>
      </c>
      <c r="E368" s="2975">
        <v>0.15</v>
      </c>
      <c r="F368" s="2975">
        <v>0.13600000000000001</v>
      </c>
      <c r="G368" s="2976">
        <v>0.15</v>
      </c>
    </row>
    <row r="369" spans="1:7">
      <c r="A369" s="2985" t="s">
        <v>2837</v>
      </c>
      <c r="B369" s="2974" t="s">
        <v>214</v>
      </c>
      <c r="C369" s="2975">
        <v>0.15</v>
      </c>
      <c r="D369" s="2975">
        <v>0.15</v>
      </c>
      <c r="E369" s="2975">
        <v>0.15</v>
      </c>
      <c r="F369" s="2975">
        <v>0.14399999999999999</v>
      </c>
      <c r="G369" s="2976">
        <v>0.15</v>
      </c>
    </row>
    <row r="370" spans="1:7">
      <c r="A370" s="2985" t="s">
        <v>2837</v>
      </c>
      <c r="B370" s="2974" t="s">
        <v>221</v>
      </c>
      <c r="C370" s="2975">
        <v>0.15</v>
      </c>
      <c r="D370" s="2975">
        <v>0.15</v>
      </c>
      <c r="E370" s="2975">
        <v>0.15</v>
      </c>
      <c r="F370" s="2975">
        <v>0.14599999999999999</v>
      </c>
      <c r="G370" s="2976">
        <v>0.15</v>
      </c>
    </row>
    <row r="371" spans="1:7">
      <c r="A371" s="2985" t="s">
        <v>2837</v>
      </c>
      <c r="B371" s="2974" t="s">
        <v>229</v>
      </c>
      <c r="C371" s="2975">
        <v>0.15</v>
      </c>
      <c r="D371" s="2975">
        <v>0.15</v>
      </c>
      <c r="E371" s="2975">
        <v>0.15</v>
      </c>
      <c r="F371" s="2975">
        <v>0.12</v>
      </c>
      <c r="G371" s="2976">
        <v>0.15</v>
      </c>
    </row>
    <row r="372" spans="1:7">
      <c r="A372" s="2985" t="s">
        <v>2837</v>
      </c>
      <c r="B372" s="2974" t="s">
        <v>2898</v>
      </c>
      <c r="C372" s="2975">
        <v>0.15</v>
      </c>
      <c r="D372" s="2975">
        <v>0.15</v>
      </c>
      <c r="E372" s="2975">
        <v>0.15</v>
      </c>
      <c r="F372" s="2975">
        <v>0.14299999999999999</v>
      </c>
      <c r="G372" s="2976">
        <v>0.15</v>
      </c>
    </row>
    <row r="373" spans="1:7">
      <c r="A373" s="2985" t="s">
        <v>2837</v>
      </c>
      <c r="B373" s="2974" t="s">
        <v>258</v>
      </c>
      <c r="C373" s="2975">
        <v>0.15</v>
      </c>
      <c r="D373" s="2975">
        <v>0.15</v>
      </c>
      <c r="E373" s="2975">
        <v>0.15</v>
      </c>
      <c r="F373" s="2975">
        <v>0.14599999999999999</v>
      </c>
      <c r="G373" s="2976">
        <v>0.15</v>
      </c>
    </row>
    <row r="374" spans="1:7">
      <c r="A374" s="2985" t="s">
        <v>2837</v>
      </c>
      <c r="B374" s="2974" t="s">
        <v>266</v>
      </c>
      <c r="C374" s="2975">
        <v>0.15</v>
      </c>
      <c r="D374" s="2975">
        <v>0.15</v>
      </c>
      <c r="E374" s="2975">
        <v>0.15</v>
      </c>
      <c r="F374" s="2975">
        <v>0.14399999999999999</v>
      </c>
      <c r="G374" s="2976">
        <v>0.15</v>
      </c>
    </row>
    <row r="375" spans="1:7">
      <c r="A375" s="2985" t="s">
        <v>2837</v>
      </c>
      <c r="B375" s="2974" t="s">
        <v>2906</v>
      </c>
      <c r="C375" s="2975">
        <v>0.15</v>
      </c>
      <c r="D375" s="2975">
        <v>0.15</v>
      </c>
      <c r="E375" s="2975">
        <v>0.15</v>
      </c>
      <c r="F375" s="2975">
        <v>0.13</v>
      </c>
      <c r="G375" s="2976">
        <v>0.15</v>
      </c>
    </row>
    <row r="376" spans="1:7">
      <c r="A376" s="2985" t="s">
        <v>2837</v>
      </c>
      <c r="B376" s="2974" t="s">
        <v>277</v>
      </c>
      <c r="C376" s="2975">
        <v>0.15</v>
      </c>
      <c r="D376" s="2975">
        <v>0.15</v>
      </c>
      <c r="E376" s="2975">
        <v>0.15</v>
      </c>
      <c r="F376" s="2975">
        <v>0.14199999999999999</v>
      </c>
      <c r="G376" s="2976">
        <v>0.15</v>
      </c>
    </row>
    <row r="377" spans="1:7" ht="14.25" thickBot="1">
      <c r="A377" s="2988" t="s">
        <v>2837</v>
      </c>
      <c r="B377" s="2978" t="s">
        <v>2912</v>
      </c>
      <c r="C377" s="2979">
        <v>0.15</v>
      </c>
      <c r="D377" s="2979">
        <v>0.15</v>
      </c>
      <c r="E377" s="2979">
        <v>0.15</v>
      </c>
      <c r="F377" s="2979">
        <v>0.14000000000000001</v>
      </c>
      <c r="G377" s="2981">
        <v>0.15</v>
      </c>
    </row>
    <row r="378" spans="1:7">
      <c r="A378" s="2984" t="s">
        <v>2838</v>
      </c>
      <c r="B378" s="2970" t="s">
        <v>2852</v>
      </c>
      <c r="C378" s="2971">
        <v>0.15</v>
      </c>
      <c r="D378" s="2971">
        <v>0.15</v>
      </c>
      <c r="E378" s="2971">
        <v>0.15</v>
      </c>
      <c r="F378" s="2971">
        <v>0.107</v>
      </c>
      <c r="G378" s="2972">
        <v>0.15</v>
      </c>
    </row>
    <row r="379" spans="1:7">
      <c r="A379" s="2985" t="s">
        <v>2838</v>
      </c>
      <c r="B379" s="2974" t="s">
        <v>2858</v>
      </c>
      <c r="C379" s="2975">
        <v>0.15</v>
      </c>
      <c r="D379" s="2975">
        <v>0.15</v>
      </c>
      <c r="E379" s="2975">
        <v>0.15</v>
      </c>
      <c r="F379" s="2975">
        <v>0.115</v>
      </c>
      <c r="G379" s="2976">
        <v>0.14899999999999999</v>
      </c>
    </row>
    <row r="380" spans="1:7">
      <c r="A380" s="2985" t="s">
        <v>2838</v>
      </c>
      <c r="B380" s="2974" t="s">
        <v>2864</v>
      </c>
      <c r="C380" s="2975">
        <v>0.15</v>
      </c>
      <c r="D380" s="2975">
        <v>0.15</v>
      </c>
      <c r="E380" s="2975">
        <v>0.15</v>
      </c>
      <c r="F380" s="2975">
        <v>0.1</v>
      </c>
      <c r="G380" s="2976">
        <v>0.14799999999999999</v>
      </c>
    </row>
    <row r="381" spans="1:7">
      <c r="A381" s="2985" t="s">
        <v>2838</v>
      </c>
      <c r="B381" s="2974" t="s">
        <v>2867</v>
      </c>
      <c r="C381" s="2975">
        <v>0.15</v>
      </c>
      <c r="D381" s="2975">
        <v>0.15</v>
      </c>
      <c r="E381" s="2975">
        <v>0.15</v>
      </c>
      <c r="F381" s="2975">
        <v>0.126</v>
      </c>
      <c r="G381" s="2976">
        <v>0.15</v>
      </c>
    </row>
    <row r="382" spans="1:7">
      <c r="A382" s="2985" t="s">
        <v>2838</v>
      </c>
      <c r="B382" s="2974" t="s">
        <v>2871</v>
      </c>
      <c r="C382" s="2975">
        <v>0.15</v>
      </c>
      <c r="D382" s="2975">
        <v>0.15</v>
      </c>
      <c r="E382" s="2975">
        <v>0.15</v>
      </c>
      <c r="F382" s="2975">
        <v>0.15</v>
      </c>
      <c r="G382" s="2976">
        <v>0.15</v>
      </c>
    </row>
    <row r="383" spans="1:7">
      <c r="A383" s="2985" t="s">
        <v>2838</v>
      </c>
      <c r="B383" s="2974" t="s">
        <v>2876</v>
      </c>
      <c r="C383" s="2975">
        <v>0.15</v>
      </c>
      <c r="D383" s="2975">
        <v>0.15</v>
      </c>
      <c r="E383" s="2975">
        <v>0.15</v>
      </c>
      <c r="F383" s="2975">
        <v>0.14699999999999999</v>
      </c>
      <c r="G383" s="2976">
        <v>0.15</v>
      </c>
    </row>
    <row r="384" spans="1:7" ht="14.25" thickBot="1">
      <c r="A384" s="2995" t="s">
        <v>2838</v>
      </c>
      <c r="B384" s="2996" t="s">
        <v>2880</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810"/>
  </cols>
  <sheetData>
    <row r="1" spans="1:6">
      <c r="A1" s="3534" t="s">
        <v>3219</v>
      </c>
      <c r="B1" s="3534"/>
      <c r="C1" s="3534"/>
      <c r="D1" s="3534"/>
      <c r="E1" s="3534"/>
      <c r="F1" s="3535"/>
    </row>
    <row r="2" spans="1:6">
      <c r="A2" s="2999" t="s">
        <v>3220</v>
      </c>
    </row>
    <row r="3" spans="1:6">
      <c r="A3" s="2999" t="s">
        <v>3221</v>
      </c>
      <c r="F3" s="3000" t="s">
        <v>3222</v>
      </c>
    </row>
    <row r="4" spans="1:6">
      <c r="A4" s="3001" t="s">
        <v>667</v>
      </c>
      <c r="B4" s="3001" t="s">
        <v>668</v>
      </c>
      <c r="C4" s="3001" t="s">
        <v>21</v>
      </c>
      <c r="D4" s="3001" t="s">
        <v>669</v>
      </c>
      <c r="E4" s="3001" t="s">
        <v>3</v>
      </c>
      <c r="F4" s="3001" t="s">
        <v>3223</v>
      </c>
    </row>
    <row r="5" spans="1:6">
      <c r="A5" s="3002" t="s">
        <v>670</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8"/>
  <sheetViews>
    <sheetView zoomScale="90" zoomScaleNormal="90" workbookViewId="0">
      <selection activeCell="A5" sqref="A5:XFD5"/>
    </sheetView>
  </sheetViews>
  <sheetFormatPr defaultRowHeight="13.5"/>
  <cols>
    <col min="1" max="1" width="13.875" customWidth="1"/>
    <col min="11" max="17" width="0" hidden="1" customWidth="1"/>
    <col min="25" max="30" width="0" hidden="1" customWidth="1"/>
  </cols>
  <sheetData>
    <row r="1" spans="1:30">
      <c r="A1" s="2934">
        <f>基准地价修正!G23</f>
        <v>45383</v>
      </c>
      <c r="B1" s="2926" t="s">
        <v>3368</v>
      </c>
      <c r="C1" s="2927"/>
      <c r="D1" s="2927"/>
      <c r="E1" s="2927"/>
      <c r="F1" s="2927"/>
      <c r="G1" s="2927"/>
      <c r="H1" s="2927"/>
      <c r="I1" s="2927"/>
      <c r="J1" s="2893"/>
      <c r="K1" s="2927" t="s">
        <v>454</v>
      </c>
      <c r="L1" s="2927"/>
      <c r="M1" s="2927"/>
      <c r="N1" s="2927"/>
      <c r="O1" s="2927"/>
      <c r="P1" s="2927"/>
      <c r="Q1" s="2893"/>
      <c r="R1" s="3536" t="s">
        <v>456</v>
      </c>
      <c r="S1" s="3537"/>
      <c r="T1" s="3537"/>
      <c r="U1" s="3537"/>
      <c r="V1" s="3537"/>
      <c r="W1" s="3537"/>
      <c r="X1" s="2893"/>
      <c r="Y1" s="3536" t="s">
        <v>457</v>
      </c>
      <c r="Z1" s="3537"/>
      <c r="AA1" s="3537"/>
      <c r="AB1" s="3537"/>
      <c r="AC1" s="3537"/>
      <c r="AD1" s="3537"/>
    </row>
    <row r="2" spans="1:30" s="2007" customFormat="1" ht="14.25" thickBot="1">
      <c r="B2" s="2878"/>
      <c r="C2" s="2879"/>
      <c r="D2" s="2008" t="s">
        <v>2797</v>
      </c>
      <c r="E2" s="2009" t="s">
        <v>2798</v>
      </c>
      <c r="F2" s="2009" t="s">
        <v>2799</v>
      </c>
      <c r="G2" s="2009" t="s">
        <v>2800</v>
      </c>
      <c r="H2" s="2009" t="s">
        <v>2801</v>
      </c>
      <c r="I2" s="2009" t="s">
        <v>2618</v>
      </c>
      <c r="J2" s="2880"/>
      <c r="K2" s="2008" t="s">
        <v>2797</v>
      </c>
      <c r="L2" s="2009" t="s">
        <v>2798</v>
      </c>
      <c r="M2" s="2009" t="s">
        <v>2799</v>
      </c>
      <c r="N2" s="2009" t="s">
        <v>2800</v>
      </c>
      <c r="O2" s="2009" t="s">
        <v>2802</v>
      </c>
      <c r="P2" s="2009" t="s">
        <v>2618</v>
      </c>
      <c r="Q2" s="2880"/>
      <c r="R2" s="2008" t="s">
        <v>2797</v>
      </c>
      <c r="S2" s="2009" t="s">
        <v>2798</v>
      </c>
      <c r="T2" s="2009" t="s">
        <v>2799</v>
      </c>
      <c r="U2" s="2009" t="s">
        <v>2803</v>
      </c>
      <c r="V2" s="2009" t="s">
        <v>2804</v>
      </c>
      <c r="W2" s="2009" t="s">
        <v>2618</v>
      </c>
      <c r="X2" s="2880"/>
      <c r="Y2" s="2008" t="s">
        <v>2797</v>
      </c>
      <c r="Z2" s="2009" t="s">
        <v>2798</v>
      </c>
      <c r="AA2" s="2009" t="s">
        <v>2799</v>
      </c>
      <c r="AB2" s="2009" t="s">
        <v>2805</v>
      </c>
      <c r="AC2" s="2009" t="s">
        <v>2804</v>
      </c>
      <c r="AD2" s="2009" t="s">
        <v>2618</v>
      </c>
    </row>
    <row r="3" spans="1:30" s="2883" customFormat="1" ht="12.75">
      <c r="A3" s="2881" t="s">
        <v>2806</v>
      </c>
      <c r="B3" s="2882"/>
      <c r="D3" s="2883">
        <f>ROUND(AVERAGEIF(D4:D21,"&lt;&gt;0"),2)</f>
        <v>0.47</v>
      </c>
      <c r="E3" s="2883">
        <f t="shared" ref="E3:H3" si="0">ROUND(AVERAGEIF(E4:E21,"&lt;&gt;0"),2)</f>
        <v>0.3</v>
      </c>
      <c r="F3" s="2883">
        <f t="shared" si="0"/>
        <v>0.04</v>
      </c>
      <c r="G3" s="2883">
        <f t="shared" si="0"/>
        <v>0.51</v>
      </c>
      <c r="H3" s="2883">
        <f t="shared" si="0"/>
        <v>0.55000000000000004</v>
      </c>
      <c r="I3" s="2883">
        <f>F3</f>
        <v>0.04</v>
      </c>
      <c r="J3" s="2884"/>
      <c r="K3" s="2885">
        <f>ROUND(AVERAGEIF(K4:K21,"&lt;&gt;0"),4)</f>
        <v>4.7000000000000002E-3</v>
      </c>
      <c r="L3" s="2886">
        <f t="shared" ref="L3:O3" si="1">ROUND(AVERAGEIF(L4:L21,"&lt;&gt;0"),4)</f>
        <v>3.0000000000000001E-3</v>
      </c>
      <c r="M3" s="2886">
        <f t="shared" si="1"/>
        <v>4.0000000000000002E-4</v>
      </c>
      <c r="N3" s="2886">
        <f t="shared" si="1"/>
        <v>5.1000000000000004E-3</v>
      </c>
      <c r="O3" s="2886">
        <f t="shared" si="1"/>
        <v>5.4999999999999997E-3</v>
      </c>
      <c r="P3" s="2886">
        <f>M3</f>
        <v>4.0000000000000002E-4</v>
      </c>
      <c r="Q3" s="2884"/>
      <c r="R3" s="2887">
        <f>ROUND(SUMPRODUCT(PRODUCT(1+K4:K21)),4)</f>
        <v>1.0723</v>
      </c>
      <c r="S3" s="2888">
        <f t="shared" ref="S3:V3" si="2">ROUND(SUMPRODUCT(PRODUCT(1+L4:L21)),4)</f>
        <v>1.0465</v>
      </c>
      <c r="T3" s="2888">
        <f t="shared" si="2"/>
        <v>1.0054000000000001</v>
      </c>
      <c r="U3" s="2888">
        <f t="shared" si="2"/>
        <v>1.0790999999999999</v>
      </c>
      <c r="V3" s="2888">
        <f t="shared" si="2"/>
        <v>1.0857000000000001</v>
      </c>
      <c r="W3" s="2887">
        <f>T3</f>
        <v>1.0054000000000001</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6" customFormat="1" ht="12.75">
      <c r="B4" s="2022"/>
      <c r="J4" s="2893"/>
      <c r="K4" s="2894"/>
      <c r="L4" s="2895"/>
      <c r="M4" s="2895"/>
      <c r="N4" s="2895"/>
      <c r="O4" s="2895"/>
      <c r="P4" s="2895"/>
      <c r="Q4" s="2893"/>
      <c r="R4" s="2024"/>
      <c r="S4" s="2896"/>
      <c r="T4" s="2897"/>
      <c r="U4" s="2024"/>
      <c r="V4" s="2898"/>
      <c r="W4" s="2024"/>
      <c r="X4" s="2893"/>
      <c r="Y4" s="2025"/>
      <c r="Z4" s="2899"/>
      <c r="AA4" s="2900"/>
      <c r="AB4" s="2025"/>
      <c r="AC4" s="2901"/>
      <c r="AD4" s="2025"/>
    </row>
    <row r="5" spans="1:30" s="2042" customFormat="1" ht="12.75">
      <c r="A5" s="2037" t="s">
        <v>3364</v>
      </c>
      <c r="B5" s="2028">
        <v>2025</v>
      </c>
      <c r="C5" s="2039">
        <v>1</v>
      </c>
      <c r="D5" s="2004">
        <v>0</v>
      </c>
      <c r="E5" s="2004">
        <v>0</v>
      </c>
      <c r="F5" s="2004">
        <v>0</v>
      </c>
      <c r="G5" s="2004">
        <v>0</v>
      </c>
      <c r="H5" s="2004">
        <v>0</v>
      </c>
      <c r="I5" s="2005">
        <f t="shared" ref="I5" si="4">F5</f>
        <v>0</v>
      </c>
      <c r="J5" s="2903"/>
      <c r="K5" s="2040">
        <f t="shared" ref="K5" si="5">D5/100</f>
        <v>0</v>
      </c>
      <c r="L5" s="2025">
        <f t="shared" ref="L5" si="6">E5/100</f>
        <v>0</v>
      </c>
      <c r="M5" s="2025">
        <f t="shared" ref="M5" si="7">F5/100</f>
        <v>0</v>
      </c>
      <c r="N5" s="2025">
        <f t="shared" ref="N5" si="8">G5/100</f>
        <v>0</v>
      </c>
      <c r="O5" s="2025">
        <f t="shared" ref="O5" si="9">H5/100</f>
        <v>0</v>
      </c>
      <c r="P5" s="2025">
        <f>M5</f>
        <v>0</v>
      </c>
      <c r="Q5" s="2903"/>
      <c r="R5" s="2024">
        <f>ROUND(IF(项目基本情况!$B$8="出让",SUMPRODUCT(PRODUCT(1+K5:$K$21)),SUMPRODUCT(PRODUCT(1+K5:$K$20))),4)</f>
        <v>1.0620000000000001</v>
      </c>
      <c r="S5" s="2024">
        <f>ROUND(IF(项目基本情况!$B$8="出让",SUMPRODUCT(PRODUCT(1+L5:$L$21)),SUMPRODUCT(PRODUCT(1+L5:$L$20))),4)</f>
        <v>1.0448</v>
      </c>
      <c r="T5" s="2024">
        <f>ROUND(IF(项目基本情况!$B$8="出让",SUMPRODUCT(PRODUCT(1+M5:$M$21)),SUMPRODUCT(PRODUCT(1+M5:$M$20))),4)</f>
        <v>1.0079</v>
      </c>
      <c r="U5" s="2024">
        <f>ROUND(IF(项目基本情况!$B$8="出让",SUMPRODUCT(PRODUCT(1+N5:$N$21)),SUMPRODUCT(PRODUCT(1+N5:$N$20))),4)</f>
        <v>1.0672999999999999</v>
      </c>
      <c r="V5" s="2024">
        <f>ROUND(IF(项目基本情况!$B$8="出让",SUMPRODUCT(PRODUCT(1+O5:$O$21)),SUMPRODUCT(PRODUCT(1+O5:$O$20))),4)</f>
        <v>1.0818000000000001</v>
      </c>
      <c r="W5" s="2024">
        <f>T5</f>
        <v>1.0079</v>
      </c>
      <c r="X5" s="2903"/>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3" customFormat="1" ht="12.75">
      <c r="A6" s="2904" t="s">
        <v>3373</v>
      </c>
      <c r="B6" s="2905">
        <v>2024</v>
      </c>
      <c r="C6" s="2906">
        <v>4</v>
      </c>
      <c r="D6" s="2907">
        <v>0</v>
      </c>
      <c r="E6" s="2907">
        <v>0</v>
      </c>
      <c r="F6" s="2907">
        <v>0</v>
      </c>
      <c r="G6" s="2907">
        <v>0</v>
      </c>
      <c r="H6" s="2908">
        <v>0</v>
      </c>
      <c r="I6" s="2909">
        <f t="shared" ref="I6" si="15">F6</f>
        <v>0</v>
      </c>
      <c r="J6" s="2910"/>
      <c r="K6" s="2911">
        <f t="shared" ref="K6" si="16">D6/100</f>
        <v>0</v>
      </c>
      <c r="L6" s="2912">
        <f t="shared" ref="L6" si="17">E6/100</f>
        <v>0</v>
      </c>
      <c r="M6" s="2912">
        <f t="shared" ref="M6" si="18">F6/100</f>
        <v>0</v>
      </c>
      <c r="N6" s="2912">
        <f t="shared" ref="N6" si="19">G6/100</f>
        <v>0</v>
      </c>
      <c r="O6" s="2912">
        <f t="shared" ref="O6" si="20">H6/100</f>
        <v>0</v>
      </c>
      <c r="P6" s="2912">
        <f>M6</f>
        <v>0</v>
      </c>
      <c r="Q6" s="2910"/>
      <c r="R6" s="2910">
        <f>ROUND(IF(项目基本情况!$B$8="出让",SUMPRODUCT(PRODUCT(1+K6:$K$21)),SUMPRODUCT(PRODUCT(1+K6:$K$20))),4)</f>
        <v>1.0620000000000001</v>
      </c>
      <c r="S6" s="2910">
        <f>ROUND(IF(项目基本情况!$B$8="出让",SUMPRODUCT(PRODUCT(1+L6:$L$21)),SUMPRODUCT(PRODUCT(1+L6:$L$20))),4)</f>
        <v>1.0448</v>
      </c>
      <c r="T6" s="2910">
        <f>ROUND(IF(项目基本情况!$B$8="出让",SUMPRODUCT(PRODUCT(1+M6:$M$21)),SUMPRODUCT(PRODUCT(1+M6:$M$20))),4)</f>
        <v>1.0079</v>
      </c>
      <c r="U6" s="2910">
        <f>ROUND(IF(项目基本情况!$B$8="出让",SUMPRODUCT(PRODUCT(1+N6:$N$21)),SUMPRODUCT(PRODUCT(1+N6:$N$20))),4)</f>
        <v>1.0672999999999999</v>
      </c>
      <c r="V6" s="2910">
        <f>ROUND(IF(项目基本情况!$B$8="出让",SUMPRODUCT(PRODUCT(1+O6:$O$21)),SUMPRODUCT(PRODUCT(1+O6:$O$20))),4)</f>
        <v>1.0818000000000001</v>
      </c>
      <c r="W6" s="2910">
        <f>T6</f>
        <v>1.0079</v>
      </c>
      <c r="X6" s="2910"/>
      <c r="Y6" s="2912">
        <f>IF(D6=0,0,ROUND(AVERAGE(D6:D19)/100,4))</f>
        <v>0</v>
      </c>
      <c r="Z6" s="2912">
        <f t="shared" ref="Z6" si="21">IF(E6=0,0,ROUND(AVERAGE(E6:E19)/100,4))</f>
        <v>0</v>
      </c>
      <c r="AA6" s="2912">
        <f t="shared" ref="AA6" si="22">IF(F6=0,0,ROUND(AVERAGE(F6:F19)/100,4))</f>
        <v>0</v>
      </c>
      <c r="AB6" s="2912">
        <f t="shared" ref="AB6" si="23">IF(G6=0,0,ROUND(AVERAGE(G6:G19)/100,4))</f>
        <v>0</v>
      </c>
      <c r="AC6" s="2912">
        <f t="shared" ref="AC6" si="24">IF(H6=0,0,ROUND(AVERAGE(H6:H19)/100,4))</f>
        <v>0</v>
      </c>
      <c r="AD6" s="2912">
        <f t="shared" ref="AD6" si="25">AA6</f>
        <v>0</v>
      </c>
    </row>
    <row r="7" spans="1:30" s="2042" customFormat="1" ht="12.75">
      <c r="A7" s="2037" t="s">
        <v>3372</v>
      </c>
      <c r="B7" s="2028">
        <v>2024</v>
      </c>
      <c r="C7" s="2039">
        <v>3</v>
      </c>
      <c r="D7" s="2004">
        <v>-1.19</v>
      </c>
      <c r="E7" s="2004">
        <v>-0.47</v>
      </c>
      <c r="F7" s="2004">
        <v>-0.28999999999999998</v>
      </c>
      <c r="G7" s="2004">
        <v>-0.74</v>
      </c>
      <c r="H7" s="2004">
        <v>-0.21</v>
      </c>
      <c r="I7" s="2005">
        <f t="shared" ref="I7" si="26">F7</f>
        <v>-0.28999999999999998</v>
      </c>
      <c r="J7" s="2903"/>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3"/>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3"/>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2.75">
      <c r="A8" s="2902" t="s">
        <v>3365</v>
      </c>
      <c r="B8" s="2028">
        <v>2024</v>
      </c>
      <c r="C8" s="2039">
        <v>2</v>
      </c>
      <c r="D8" s="2004">
        <v>-0.59</v>
      </c>
      <c r="E8" s="2004">
        <v>-0.21</v>
      </c>
      <c r="F8" s="2004">
        <v>-1.38</v>
      </c>
      <c r="G8" s="2004">
        <v>-1.24</v>
      </c>
      <c r="H8" s="2914">
        <v>0.34</v>
      </c>
      <c r="I8" s="2005">
        <f t="shared" ref="I8:I21" si="37">F8</f>
        <v>-1.38</v>
      </c>
      <c r="J8" s="2903"/>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3"/>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3"/>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2.75">
      <c r="A9" s="2902" t="s">
        <v>3361</v>
      </c>
      <c r="B9" s="2028">
        <v>2024</v>
      </c>
      <c r="C9" s="2039">
        <v>1</v>
      </c>
      <c r="D9" s="2004">
        <v>0.08</v>
      </c>
      <c r="E9" s="2004">
        <v>0.46</v>
      </c>
      <c r="F9" s="2004">
        <v>-0.16</v>
      </c>
      <c r="G9" s="2004">
        <v>0.26</v>
      </c>
      <c r="H9" s="2914">
        <v>0.59</v>
      </c>
      <c r="I9" s="2005">
        <v>0</v>
      </c>
      <c r="J9" s="2903"/>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3"/>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3"/>
      <c r="Y9" s="2025"/>
      <c r="Z9" s="2025"/>
      <c r="AA9" s="2025"/>
      <c r="AB9" s="2025"/>
      <c r="AC9" s="2025"/>
      <c r="AD9" s="2025"/>
    </row>
    <row r="10" spans="1:30" s="2042" customFormat="1" ht="12.75">
      <c r="A10" s="2902" t="s">
        <v>3357</v>
      </c>
      <c r="B10" s="2028">
        <v>2023</v>
      </c>
      <c r="C10" s="2039">
        <v>4</v>
      </c>
      <c r="D10" s="2004">
        <v>0.19</v>
      </c>
      <c r="E10" s="2004">
        <v>0.24</v>
      </c>
      <c r="F10" s="2004">
        <v>-0.16</v>
      </c>
      <c r="G10" s="2004">
        <v>0.17</v>
      </c>
      <c r="H10" s="2914">
        <v>0.61</v>
      </c>
      <c r="I10" s="2005">
        <f>F10</f>
        <v>-0.16</v>
      </c>
      <c r="J10" s="2903"/>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3"/>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3"/>
      <c r="Y10" s="2025"/>
      <c r="Z10" s="2025"/>
      <c r="AA10" s="2025"/>
      <c r="AB10" s="2025"/>
      <c r="AC10" s="2025"/>
      <c r="AD10" s="2025"/>
    </row>
    <row r="11" spans="1:30" s="2042" customFormat="1" ht="12.75">
      <c r="A11" s="2902" t="s">
        <v>3356</v>
      </c>
      <c r="B11" s="2028">
        <v>2023</v>
      </c>
      <c r="C11" s="2039">
        <v>3</v>
      </c>
      <c r="D11" s="2004">
        <v>0.25</v>
      </c>
      <c r="E11" s="2004">
        <v>0.5</v>
      </c>
      <c r="F11" s="2004">
        <v>0.31</v>
      </c>
      <c r="G11" s="2004">
        <v>0.21</v>
      </c>
      <c r="H11" s="2914">
        <v>0.43</v>
      </c>
      <c r="I11" s="2005">
        <f t="shared" si="37"/>
        <v>0.31</v>
      </c>
      <c r="J11" s="2903"/>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3"/>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3"/>
      <c r="Y11" s="2025"/>
      <c r="Z11" s="2025"/>
      <c r="AA11" s="2025"/>
      <c r="AB11" s="2025"/>
      <c r="AC11" s="2025"/>
      <c r="AD11" s="2025"/>
    </row>
    <row r="12" spans="1:30" s="2042" customFormat="1" ht="12.75">
      <c r="A12" s="2902" t="s">
        <v>3354</v>
      </c>
      <c r="B12" s="2028">
        <v>2023</v>
      </c>
      <c r="C12" s="2039">
        <v>2</v>
      </c>
      <c r="D12" s="2004">
        <v>0.91</v>
      </c>
      <c r="E12" s="2004">
        <v>0.66</v>
      </c>
      <c r="F12" s="2004">
        <v>0.47</v>
      </c>
      <c r="G12" s="2004">
        <v>0.96</v>
      </c>
      <c r="H12" s="2914">
        <v>0.71</v>
      </c>
      <c r="I12" s="2005">
        <f t="shared" si="37"/>
        <v>0.47</v>
      </c>
      <c r="J12" s="2903"/>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3"/>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3"/>
      <c r="Y12" s="2025"/>
      <c r="Z12" s="2025"/>
      <c r="AA12" s="2025"/>
      <c r="AB12" s="2025"/>
      <c r="AC12" s="2025"/>
      <c r="AD12" s="2025"/>
    </row>
    <row r="13" spans="1:30" s="2042" customFormat="1" ht="12.75">
      <c r="A13" s="2902" t="s">
        <v>3353</v>
      </c>
      <c r="B13" s="2028">
        <v>2023</v>
      </c>
      <c r="C13" s="2039">
        <v>1</v>
      </c>
      <c r="D13" s="2004">
        <v>0.89</v>
      </c>
      <c r="E13" s="2004">
        <v>0.74</v>
      </c>
      <c r="F13" s="2004">
        <v>0.56999999999999995</v>
      </c>
      <c r="G13" s="2004">
        <v>0.92</v>
      </c>
      <c r="H13" s="2914">
        <v>0.5</v>
      </c>
      <c r="I13" s="2005">
        <f t="shared" si="37"/>
        <v>0.56999999999999995</v>
      </c>
      <c r="J13" s="2903"/>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3"/>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3"/>
      <c r="Y13" s="2025"/>
      <c r="Z13" s="2025"/>
      <c r="AA13" s="2025"/>
      <c r="AB13" s="2025"/>
      <c r="AC13" s="2025"/>
      <c r="AD13" s="2025"/>
    </row>
    <row r="14" spans="1:30" s="2042" customFormat="1" ht="12.75">
      <c r="A14" s="2902" t="s">
        <v>3352</v>
      </c>
      <c r="B14" s="2028">
        <v>2022</v>
      </c>
      <c r="C14" s="2039">
        <v>4</v>
      </c>
      <c r="D14" s="2004">
        <v>0.62</v>
      </c>
      <c r="E14" s="2004">
        <v>0.2</v>
      </c>
      <c r="F14" s="2004">
        <v>0.11</v>
      </c>
      <c r="G14" s="2004">
        <v>0.69</v>
      </c>
      <c r="H14" s="2914">
        <v>0.53</v>
      </c>
      <c r="I14" s="2005">
        <f t="shared" si="37"/>
        <v>0.11</v>
      </c>
      <c r="J14" s="2903"/>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3"/>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3"/>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2.75">
      <c r="A15" s="2902" t="s">
        <v>3350</v>
      </c>
      <c r="B15" s="2028">
        <v>2022</v>
      </c>
      <c r="C15" s="2039">
        <v>3</v>
      </c>
      <c r="D15" s="2004">
        <v>0.66</v>
      </c>
      <c r="E15" s="2004">
        <v>0.32</v>
      </c>
      <c r="F15" s="2004">
        <v>0.23</v>
      </c>
      <c r="G15" s="2004">
        <v>0.72</v>
      </c>
      <c r="H15" s="2914">
        <v>0.63</v>
      </c>
      <c r="I15" s="2005">
        <f t="shared" si="37"/>
        <v>0.23</v>
      </c>
      <c r="J15" s="2903"/>
      <c r="K15" s="2040">
        <f t="shared" si="38"/>
        <v>6.6E-3</v>
      </c>
      <c r="L15" s="2025">
        <f t="shared" si="38"/>
        <v>3.2000000000000002E-3</v>
      </c>
      <c r="M15" s="2025">
        <f t="shared" si="38"/>
        <v>2.3E-3</v>
      </c>
      <c r="N15" s="2025">
        <f t="shared" si="38"/>
        <v>7.1999999999999998E-3</v>
      </c>
      <c r="O15" s="2025">
        <f t="shared" si="38"/>
        <v>6.3E-3</v>
      </c>
      <c r="P15" s="2025">
        <f t="shared" si="58"/>
        <v>2.3E-3</v>
      </c>
      <c r="Q15" s="2903"/>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3"/>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2.75">
      <c r="A16" s="2902" t="s">
        <v>3341</v>
      </c>
      <c r="B16" s="2028">
        <v>2022</v>
      </c>
      <c r="C16" s="2039">
        <v>2</v>
      </c>
      <c r="D16" s="2004">
        <v>0.93</v>
      </c>
      <c r="E16" s="2004">
        <v>0.15</v>
      </c>
      <c r="F16" s="2004">
        <v>0.01</v>
      </c>
      <c r="G16" s="2004">
        <v>1.05</v>
      </c>
      <c r="H16" s="2914">
        <v>1.08</v>
      </c>
      <c r="I16" s="2005">
        <f t="shared" si="37"/>
        <v>0.01</v>
      </c>
      <c r="J16" s="2903"/>
      <c r="K16" s="2040">
        <f t="shared" si="38"/>
        <v>9.300000000000001E-3</v>
      </c>
      <c r="L16" s="2025">
        <f t="shared" si="38"/>
        <v>1.5E-3</v>
      </c>
      <c r="M16" s="2025">
        <f t="shared" si="38"/>
        <v>1E-4</v>
      </c>
      <c r="N16" s="2025">
        <f t="shared" si="38"/>
        <v>1.0500000000000001E-2</v>
      </c>
      <c r="O16" s="2025">
        <f t="shared" si="38"/>
        <v>1.0800000000000001E-2</v>
      </c>
      <c r="P16" s="2025">
        <f t="shared" si="58"/>
        <v>1E-4</v>
      </c>
      <c r="Q16" s="2903"/>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3"/>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2.75">
      <c r="A17" s="2902" t="s">
        <v>2807</v>
      </c>
      <c r="B17" s="2028">
        <v>2022</v>
      </c>
      <c r="C17" s="2039">
        <v>1</v>
      </c>
      <c r="D17" s="2004">
        <v>0.89</v>
      </c>
      <c r="E17" s="2004">
        <v>0.44</v>
      </c>
      <c r="F17" s="2004">
        <v>0.37</v>
      </c>
      <c r="G17" s="2004">
        <v>0.96</v>
      </c>
      <c r="H17" s="2914">
        <v>0.64</v>
      </c>
      <c r="I17" s="2005">
        <f t="shared" si="37"/>
        <v>0.37</v>
      </c>
      <c r="J17" s="2903"/>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3"/>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3"/>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2.75">
      <c r="A18" s="2902" t="s">
        <v>2808</v>
      </c>
      <c r="B18" s="2028">
        <v>2021</v>
      </c>
      <c r="C18" s="2039">
        <v>4</v>
      </c>
      <c r="D18" s="2004">
        <v>1.03</v>
      </c>
      <c r="E18" s="2004">
        <v>0.24</v>
      </c>
      <c r="F18" s="2004">
        <v>7.0000000000000007E-2</v>
      </c>
      <c r="G18" s="2004">
        <v>1.17</v>
      </c>
      <c r="H18" s="2914">
        <v>0.55000000000000004</v>
      </c>
      <c r="I18" s="2005">
        <f t="shared" si="37"/>
        <v>7.0000000000000007E-2</v>
      </c>
      <c r="J18" s="2903"/>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3"/>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3"/>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2.75">
      <c r="A19" s="2902" t="s">
        <v>2809</v>
      </c>
      <c r="B19" s="2028">
        <v>2021</v>
      </c>
      <c r="C19" s="2039">
        <v>3</v>
      </c>
      <c r="D19" s="2004">
        <v>0.47</v>
      </c>
      <c r="E19" s="2004">
        <v>0.41</v>
      </c>
      <c r="F19" s="2004">
        <v>0.24</v>
      </c>
      <c r="G19" s="2004">
        <v>0.48</v>
      </c>
      <c r="H19" s="2914">
        <v>0.48</v>
      </c>
      <c r="I19" s="2005">
        <f t="shared" si="37"/>
        <v>0.24</v>
      </c>
      <c r="J19" s="2903"/>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3"/>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3"/>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2.75">
      <c r="A20" s="2902" t="s">
        <v>2810</v>
      </c>
      <c r="B20" s="2028">
        <v>2021</v>
      </c>
      <c r="C20" s="2039">
        <v>2</v>
      </c>
      <c r="D20" s="2004">
        <v>0.92</v>
      </c>
      <c r="E20" s="2004">
        <v>0.72</v>
      </c>
      <c r="F20" s="2004">
        <v>0.41</v>
      </c>
      <c r="G20" s="2004">
        <v>0.95</v>
      </c>
      <c r="H20" s="2914">
        <v>1.01</v>
      </c>
      <c r="I20" s="2005">
        <f t="shared" si="37"/>
        <v>0.41</v>
      </c>
      <c r="J20" s="2903"/>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3"/>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3"/>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5" customFormat="1" thickBot="1">
      <c r="A21" s="2915" t="s">
        <v>2811</v>
      </c>
      <c r="B21" s="2916">
        <v>2021</v>
      </c>
      <c r="C21" s="2917">
        <v>1</v>
      </c>
      <c r="D21" s="2918">
        <v>0.97</v>
      </c>
      <c r="E21" s="2918">
        <v>0.16</v>
      </c>
      <c r="F21" s="2918">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4.25" thickTop="1"/>
    <row r="23" spans="1:30">
      <c r="A23" s="3140" t="s">
        <v>3371</v>
      </c>
    </row>
    <row r="24" spans="1:30">
      <c r="I24" s="1404" t="s">
        <v>2812</v>
      </c>
    </row>
    <row r="26" spans="1:30" s="2006" customFormat="1" ht="12.75">
      <c r="B26" s="2926" t="s">
        <v>3369</v>
      </c>
      <c r="C26" s="2927"/>
      <c r="D26" s="2927"/>
      <c r="E26" s="2927"/>
      <c r="F26" s="2927"/>
      <c r="G26" s="2927"/>
      <c r="H26" s="2927"/>
      <c r="I26" s="2927"/>
      <c r="J26" s="2893"/>
      <c r="K26" s="2927" t="s">
        <v>2813</v>
      </c>
      <c r="L26" s="2927"/>
      <c r="M26" s="2927"/>
      <c r="N26" s="2927"/>
      <c r="O26" s="2927"/>
      <c r="P26" s="2927"/>
      <c r="Q26" s="2893"/>
      <c r="R26" s="3536" t="s">
        <v>2814</v>
      </c>
      <c r="S26" s="3537"/>
      <c r="T26" s="3537"/>
      <c r="U26" s="3537"/>
      <c r="V26" s="3537"/>
      <c r="W26" s="3537"/>
      <c r="X26" s="2893"/>
      <c r="Y26" s="3536" t="s">
        <v>2815</v>
      </c>
      <c r="Z26" s="3537"/>
      <c r="AA26" s="3537"/>
      <c r="AB26" s="3537"/>
      <c r="AC26" s="3537"/>
      <c r="AD26" s="3537"/>
    </row>
    <row r="27" spans="1:30" s="2007" customFormat="1" ht="14.25" thickBot="1">
      <c r="B27" s="2878"/>
      <c r="C27" s="2879"/>
      <c r="D27" s="2008" t="s">
        <v>2816</v>
      </c>
      <c r="E27" s="2009" t="s">
        <v>2817</v>
      </c>
      <c r="F27" s="2009" t="s">
        <v>2818</v>
      </c>
      <c r="G27" s="2009" t="s">
        <v>2819</v>
      </c>
      <c r="H27" s="2009"/>
      <c r="I27" s="2009" t="s">
        <v>2820</v>
      </c>
      <c r="J27" s="2880"/>
      <c r="K27" s="2008" t="s">
        <v>2816</v>
      </c>
      <c r="L27" s="2009" t="s">
        <v>2817</v>
      </c>
      <c r="M27" s="2009" t="s">
        <v>2818</v>
      </c>
      <c r="N27" s="2009" t="s">
        <v>2819</v>
      </c>
      <c r="O27" s="2009"/>
      <c r="P27" s="2009" t="s">
        <v>2820</v>
      </c>
      <c r="Q27" s="2880"/>
      <c r="R27" s="2008" t="s">
        <v>2816</v>
      </c>
      <c r="S27" s="2009" t="s">
        <v>2817</v>
      </c>
      <c r="T27" s="2009" t="s">
        <v>2818</v>
      </c>
      <c r="U27" s="2009" t="s">
        <v>2819</v>
      </c>
      <c r="V27" s="2009"/>
      <c r="W27" s="2009" t="s">
        <v>2820</v>
      </c>
      <c r="X27" s="2880"/>
      <c r="Y27" s="2008" t="s">
        <v>2816</v>
      </c>
      <c r="Z27" s="2009" t="s">
        <v>2817</v>
      </c>
      <c r="AA27" s="2009" t="s">
        <v>2818</v>
      </c>
      <c r="AB27" s="2009" t="s">
        <v>2819</v>
      </c>
      <c r="AC27" s="2009"/>
      <c r="AD27" s="2009" t="s">
        <v>2820</v>
      </c>
    </row>
    <row r="28" spans="1:30" s="2883" customFormat="1" ht="12.75">
      <c r="A28" s="2881" t="s">
        <v>2821</v>
      </c>
      <c r="B28" s="2882"/>
      <c r="E28" s="2883">
        <f t="shared" ref="E28:G28" si="65">ROUND(AVERAGEIF(E29:E46,"&lt;&gt;0"),2)</f>
        <v>0.26</v>
      </c>
      <c r="F28" s="2883">
        <f t="shared" si="65"/>
        <v>0.19</v>
      </c>
      <c r="G28" s="2883">
        <f t="shared" si="65"/>
        <v>0.38</v>
      </c>
      <c r="I28" s="2883">
        <f>F28</f>
        <v>0.19</v>
      </c>
      <c r="J28" s="2884"/>
      <c r="K28" s="2885"/>
      <c r="L28" s="2886">
        <f t="shared" ref="L28:N28" si="66">ROUND(AVERAGEIF(L29:L46,"&lt;&gt;0"),4)</f>
        <v>2.5999999999999999E-3</v>
      </c>
      <c r="M28" s="2886">
        <f t="shared" si="66"/>
        <v>1.9E-3</v>
      </c>
      <c r="N28" s="2886">
        <f t="shared" si="66"/>
        <v>3.8E-3</v>
      </c>
      <c r="O28" s="2886"/>
      <c r="P28" s="2886">
        <f>M28</f>
        <v>1.9E-3</v>
      </c>
      <c r="Q28" s="2884"/>
      <c r="R28" s="2887"/>
      <c r="S28" s="2888">
        <f>ROUND(SUMPRODUCT(PRODUCT(1+L29:L46)),4)</f>
        <v>1.04</v>
      </c>
      <c r="T28" s="2888">
        <f t="shared" ref="T28:U28" si="67">ROUND(SUMPRODUCT(PRODUCT(1+M29:M46)),4)</f>
        <v>1.0293000000000001</v>
      </c>
      <c r="U28" s="2888">
        <f t="shared" si="67"/>
        <v>1.0583</v>
      </c>
      <c r="V28" s="2888"/>
      <c r="W28" s="2887">
        <f>T28</f>
        <v>1.0293000000000001</v>
      </c>
      <c r="X28" s="2884"/>
      <c r="Y28" s="2889"/>
      <c r="Z28" s="2890">
        <f t="shared" ref="Z28:AB28" si="68">ROUND(AVERAGEIF(Z29:Z46,"&lt;&gt;0"),4)</f>
        <v>4.1000000000000003E-3</v>
      </c>
      <c r="AA28" s="2891">
        <f t="shared" si="68"/>
        <v>3.3E-3</v>
      </c>
      <c r="AB28" s="2889">
        <f t="shared" si="68"/>
        <v>8.0999999999999996E-3</v>
      </c>
      <c r="AC28" s="2892"/>
      <c r="AD28" s="2889">
        <f>AA28</f>
        <v>3.3E-3</v>
      </c>
    </row>
    <row r="29" spans="1:30" s="2006" customFormat="1" ht="12.75">
      <c r="B29" s="2022"/>
      <c r="J29" s="2893"/>
      <c r="K29" s="2894"/>
      <c r="L29" s="2895"/>
      <c r="M29" s="2895"/>
      <c r="N29" s="2895"/>
      <c r="O29" s="2895"/>
      <c r="P29" s="2895"/>
      <c r="Q29" s="2893"/>
      <c r="R29" s="2024"/>
      <c r="S29" s="2896"/>
      <c r="T29" s="2897"/>
      <c r="U29" s="2024"/>
      <c r="V29" s="2898"/>
      <c r="W29" s="2024"/>
      <c r="X29" s="2893"/>
      <c r="Y29" s="2025"/>
      <c r="Z29" s="2899"/>
      <c r="AA29" s="2900"/>
      <c r="AB29" s="2025"/>
      <c r="AC29" s="2901"/>
      <c r="AD29" s="2025"/>
    </row>
    <row r="30" spans="1:30" s="2042" customFormat="1" ht="12.75">
      <c r="A30" s="2037" t="s">
        <v>3364</v>
      </c>
      <c r="B30" s="2028">
        <v>2025</v>
      </c>
      <c r="C30" s="2039">
        <v>1</v>
      </c>
      <c r="D30" s="2004"/>
      <c r="E30" s="2004">
        <v>0</v>
      </c>
      <c r="F30" s="2004">
        <v>0</v>
      </c>
      <c r="G30" s="2004">
        <v>0</v>
      </c>
      <c r="H30" s="2004"/>
      <c r="I30" s="2005">
        <f t="shared" ref="I30" si="69">F30</f>
        <v>0</v>
      </c>
      <c r="J30" s="2903"/>
      <c r="K30" s="2040"/>
      <c r="L30" s="2025">
        <f t="shared" ref="L30" si="70">E30/100</f>
        <v>0</v>
      </c>
      <c r="M30" s="2025">
        <f t="shared" ref="M30" si="71">F30/100</f>
        <v>0</v>
      </c>
      <c r="N30" s="2025">
        <f t="shared" ref="N30" si="72">G30/100</f>
        <v>0</v>
      </c>
      <c r="O30" s="2025"/>
      <c r="P30" s="2025">
        <f>M30</f>
        <v>0</v>
      </c>
      <c r="Q30" s="2903"/>
      <c r="R30" s="2024"/>
      <c r="S30" s="2024">
        <f>ROUND(IF(项目基本情况!$B$8="出让",SUMPRODUCT(PRODUCT(1+L30:L$46)),SUMPRODUCT(PRODUCT(1+L30:L$45))),4)</f>
        <v>1.0364</v>
      </c>
      <c r="T30" s="2024">
        <f>ROUND(IF(项目基本情况!$B$8="出让",SUMPRODUCT(PRODUCT(1+M30:M$46)),SUMPRODUCT(PRODUCT(1+M30:M$45))),4)</f>
        <v>1.0244</v>
      </c>
      <c r="U30" s="2024">
        <f>ROUND(IF(项目基本情况!$B$8="出让",SUMPRODUCT(PRODUCT(1+N30:N$46)),SUMPRODUCT(PRODUCT(1+N30:N$45))),4)</f>
        <v>1.048</v>
      </c>
      <c r="V30" s="2024"/>
      <c r="W30" s="2024">
        <f>T30</f>
        <v>1.0244</v>
      </c>
      <c r="X30" s="2903"/>
      <c r="Y30" s="2025"/>
      <c r="Z30" s="2899">
        <f t="shared" ref="Z30" si="73">IF(E30=0,0,ROUND(AVERAGE(E30:E43)/100,4))</f>
        <v>0</v>
      </c>
      <c r="AA30" s="2899">
        <f t="shared" ref="AA30" si="74">IF(F30=0,0,ROUND(AVERAGE(F30:F43)/100,4))</f>
        <v>0</v>
      </c>
      <c r="AB30" s="2899">
        <f t="shared" ref="AB30" si="75">IF(G30=0,0,ROUND(AVERAGE(G30:G43)/100,4))</f>
        <v>0</v>
      </c>
      <c r="AC30" s="2901"/>
      <c r="AD30" s="2025">
        <f>IF(I30=0,0,ROUND(AVERAGE(I30:I43)/100,4))</f>
        <v>0</v>
      </c>
    </row>
    <row r="31" spans="1:30" s="2913" customFormat="1" ht="12.75">
      <c r="A31" s="2904" t="s">
        <v>3366</v>
      </c>
      <c r="B31" s="2905">
        <v>2024</v>
      </c>
      <c r="C31" s="2906">
        <v>4</v>
      </c>
      <c r="D31" s="2907"/>
      <c r="E31" s="2907">
        <v>0</v>
      </c>
      <c r="F31" s="2907">
        <v>0</v>
      </c>
      <c r="G31" s="2907">
        <v>0</v>
      </c>
      <c r="H31" s="2908"/>
      <c r="I31" s="2909">
        <f t="shared" ref="I31" si="76">F31</f>
        <v>0</v>
      </c>
      <c r="J31" s="2910"/>
      <c r="K31" s="2911"/>
      <c r="L31" s="2912">
        <f t="shared" ref="L31" si="77">E31/100</f>
        <v>0</v>
      </c>
      <c r="M31" s="2912">
        <f t="shared" ref="M31" si="78">F31/100</f>
        <v>0</v>
      </c>
      <c r="N31" s="2912">
        <f t="shared" ref="N31" si="79">G31/100</f>
        <v>0</v>
      </c>
      <c r="O31" s="2912"/>
      <c r="P31" s="2912">
        <f>M31</f>
        <v>0</v>
      </c>
      <c r="Q31" s="2910"/>
      <c r="R31" s="2910"/>
      <c r="S31" s="2910">
        <f>ROUND(IF(项目基本情况!$B$8="出让",SUMPRODUCT(PRODUCT(1+L31:L$46)),SUMPRODUCT(PRODUCT(1+L31:L$45))),4)</f>
        <v>1.0364</v>
      </c>
      <c r="T31" s="2910">
        <f>ROUND(IF(项目基本情况!$B$8="出让",SUMPRODUCT(PRODUCT(1+M31:M$46)),SUMPRODUCT(PRODUCT(1+M31:M$45))),4)</f>
        <v>1.0244</v>
      </c>
      <c r="U31" s="2910">
        <f>ROUND(IF(项目基本情况!$B$8="出让",SUMPRODUCT(PRODUCT(1+N31:N$46)),SUMPRODUCT(PRODUCT(1+N31:N$45))),4)</f>
        <v>1.048</v>
      </c>
      <c r="V31" s="2910"/>
      <c r="W31" s="2910">
        <f>T31</f>
        <v>1.0244</v>
      </c>
      <c r="X31" s="2910"/>
      <c r="Y31" s="2912"/>
      <c r="Z31" s="2928">
        <f t="shared" ref="Z31" si="80">IF(E31=0,0,ROUND(AVERAGE(E31:E44)/100,4))</f>
        <v>0</v>
      </c>
      <c r="AA31" s="2929">
        <f t="shared" ref="AA31" si="81">IF(F31=0,0,ROUND(AVERAGE(F31:F44)/100,4))</f>
        <v>0</v>
      </c>
      <c r="AB31" s="2912">
        <f t="shared" ref="AB31" si="82">IF(G31=0,0,ROUND(AVERAGE(G31:G44)/100,4))</f>
        <v>0</v>
      </c>
      <c r="AC31" s="2930"/>
      <c r="AD31" s="2912">
        <f>IF(I31=0,0,ROUND(AVERAGE(I31:I44)/100,4))</f>
        <v>0</v>
      </c>
    </row>
    <row r="32" spans="1:30" s="2042" customFormat="1" ht="12.75">
      <c r="A32" s="2037" t="s">
        <v>3359</v>
      </c>
      <c r="B32" s="2028">
        <v>2024</v>
      </c>
      <c r="C32" s="2039">
        <v>3</v>
      </c>
      <c r="D32" s="2004"/>
      <c r="E32" s="2004">
        <v>-0.66</v>
      </c>
      <c r="F32" s="2004">
        <v>-0.52</v>
      </c>
      <c r="G32" s="2004">
        <v>-2.87</v>
      </c>
      <c r="H32" s="2004"/>
      <c r="I32" s="2005">
        <f t="shared" ref="I32" si="83">F32</f>
        <v>-0.52</v>
      </c>
      <c r="J32" s="2903"/>
      <c r="K32" s="2040"/>
      <c r="L32" s="2025">
        <f t="shared" ref="L32" si="84">E32/100</f>
        <v>-6.6E-3</v>
      </c>
      <c r="M32" s="2025">
        <f t="shared" ref="M32" si="85">F32/100</f>
        <v>-5.1999999999999998E-3</v>
      </c>
      <c r="N32" s="2025">
        <f t="shared" ref="N32" si="86">G32/100</f>
        <v>-2.87E-2</v>
      </c>
      <c r="O32" s="2025"/>
      <c r="P32" s="2025">
        <f>M32</f>
        <v>-5.1999999999999998E-3</v>
      </c>
      <c r="Q32" s="2903"/>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3"/>
      <c r="Y32" s="2025"/>
      <c r="Z32" s="2899">
        <f t="shared" ref="Z32:AB33" si="87">IF(E32=0,0,ROUND(AVERAGE(E32:E45)/100,4))</f>
        <v>2.5999999999999999E-3</v>
      </c>
      <c r="AA32" s="2899">
        <f t="shared" si="87"/>
        <v>1.6999999999999999E-3</v>
      </c>
      <c r="AB32" s="2899">
        <f t="shared" si="87"/>
        <v>3.3999999999999998E-3</v>
      </c>
      <c r="AC32" s="2901"/>
      <c r="AD32" s="2025">
        <f>IF(I32=0,0,ROUND(AVERAGE(I32:I45)/100,4))</f>
        <v>1.6999999999999999E-3</v>
      </c>
    </row>
    <row r="33" spans="1:30" s="2042" customFormat="1" ht="12.75">
      <c r="A33" s="2902" t="s">
        <v>3367</v>
      </c>
      <c r="B33" s="2028">
        <v>2024</v>
      </c>
      <c r="C33" s="2039">
        <v>2</v>
      </c>
      <c r="D33" s="2004"/>
      <c r="E33" s="2004">
        <v>-0.31</v>
      </c>
      <c r="F33" s="2004">
        <v>-0.39</v>
      </c>
      <c r="G33" s="2004">
        <v>1.23</v>
      </c>
      <c r="H33" s="2914"/>
      <c r="I33" s="2005">
        <f t="shared" ref="I33:I46" si="88">F33</f>
        <v>-0.39</v>
      </c>
      <c r="J33" s="2903"/>
      <c r="K33" s="2040"/>
      <c r="L33" s="2025">
        <f t="shared" ref="L33:N46" si="89">E33/100</f>
        <v>-3.0999999999999999E-3</v>
      </c>
      <c r="M33" s="2025">
        <f t="shared" si="89"/>
        <v>-3.9000000000000003E-3</v>
      </c>
      <c r="N33" s="2025">
        <f t="shared" si="89"/>
        <v>1.23E-2</v>
      </c>
      <c r="O33" s="2025"/>
      <c r="P33" s="2025">
        <f>M33</f>
        <v>-3.9000000000000003E-3</v>
      </c>
      <c r="Q33" s="2903"/>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3"/>
      <c r="Y33" s="2025"/>
      <c r="Z33" s="2899">
        <f t="shared" si="87"/>
        <v>3.3E-3</v>
      </c>
      <c r="AA33" s="2900">
        <f t="shared" si="87"/>
        <v>2.3999999999999998E-3</v>
      </c>
      <c r="AB33" s="2025">
        <f t="shared" si="87"/>
        <v>6.1999999999999998E-3</v>
      </c>
      <c r="AC33" s="2901"/>
      <c r="AD33" s="2025">
        <f>IF(I33=0,0,ROUND(AVERAGE(I33:I46)/100,4))</f>
        <v>2.3999999999999998E-3</v>
      </c>
    </row>
    <row r="34" spans="1:30" s="2042" customFormat="1" ht="12.75">
      <c r="A34" s="2902" t="s">
        <v>3360</v>
      </c>
      <c r="B34" s="2028">
        <v>2024</v>
      </c>
      <c r="C34" s="2039">
        <v>1</v>
      </c>
      <c r="D34" s="2004"/>
      <c r="E34" s="2004">
        <v>0.25</v>
      </c>
      <c r="F34" s="2004">
        <v>0.4</v>
      </c>
      <c r="G34" s="2004">
        <v>-0.63</v>
      </c>
      <c r="H34" s="2914"/>
      <c r="I34" s="2005">
        <f t="shared" ref="I34:I35" si="90">F34</f>
        <v>0.4</v>
      </c>
      <c r="J34" s="2903"/>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3"/>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3"/>
      <c r="Y34" s="2025"/>
      <c r="Z34" s="2899"/>
      <c r="AA34" s="2900"/>
      <c r="AB34" s="2025"/>
      <c r="AC34" s="2901"/>
      <c r="AD34" s="2025"/>
    </row>
    <row r="35" spans="1:30" s="2042" customFormat="1" ht="12.75">
      <c r="A35" s="2902" t="s">
        <v>3358</v>
      </c>
      <c r="B35" s="2028">
        <v>2023</v>
      </c>
      <c r="C35" s="2039">
        <v>4</v>
      </c>
      <c r="D35" s="2004"/>
      <c r="E35" s="2004">
        <v>7.0000000000000007E-2</v>
      </c>
      <c r="F35" s="2004">
        <v>0.09</v>
      </c>
      <c r="G35" s="2004">
        <v>0.03</v>
      </c>
      <c r="H35" s="2914"/>
      <c r="I35" s="2005">
        <f t="shared" si="90"/>
        <v>0.09</v>
      </c>
      <c r="J35" s="2903"/>
      <c r="K35" s="2040"/>
      <c r="L35" s="2025">
        <f t="shared" si="89"/>
        <v>7.000000000000001E-4</v>
      </c>
      <c r="M35" s="2025">
        <f t="shared" si="89"/>
        <v>8.9999999999999998E-4</v>
      </c>
      <c r="N35" s="2025">
        <f t="shared" si="89"/>
        <v>2.9999999999999997E-4</v>
      </c>
      <c r="O35" s="2025"/>
      <c r="P35" s="2025">
        <f t="shared" ref="P35" si="96">M35</f>
        <v>8.9999999999999998E-4</v>
      </c>
      <c r="Q35" s="2903"/>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3"/>
      <c r="Y35" s="2025"/>
      <c r="Z35" s="2899"/>
      <c r="AA35" s="2900"/>
      <c r="AB35" s="2025"/>
      <c r="AC35" s="2901"/>
      <c r="AD35" s="2025"/>
    </row>
    <row r="36" spans="1:30" s="2042" customFormat="1" ht="12.75">
      <c r="A36" s="2902" t="s">
        <v>3356</v>
      </c>
      <c r="B36" s="2028">
        <v>2023</v>
      </c>
      <c r="C36" s="2039">
        <v>3</v>
      </c>
      <c r="D36" s="2004"/>
      <c r="E36" s="2004">
        <v>0.35</v>
      </c>
      <c r="F36" s="2004">
        <v>0.17</v>
      </c>
      <c r="G36" s="2004">
        <v>0.52</v>
      </c>
      <c r="H36" s="2914"/>
      <c r="I36" s="2005">
        <f t="shared" si="88"/>
        <v>0.17</v>
      </c>
      <c r="J36" s="2903"/>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3"/>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3"/>
      <c r="Y36" s="2025"/>
      <c r="Z36" s="2899"/>
      <c r="AA36" s="2900"/>
      <c r="AB36" s="2025"/>
      <c r="AC36" s="2901"/>
      <c r="AD36" s="2025"/>
    </row>
    <row r="37" spans="1:30" s="2042" customFormat="1" ht="12.75">
      <c r="A37" s="2902" t="s">
        <v>3355</v>
      </c>
      <c r="B37" s="2028">
        <v>2023</v>
      </c>
      <c r="C37" s="2039">
        <v>2</v>
      </c>
      <c r="D37" s="2004"/>
      <c r="E37" s="2004">
        <v>0.5</v>
      </c>
      <c r="F37" s="2004">
        <v>0.45</v>
      </c>
      <c r="G37" s="2004">
        <v>0.89</v>
      </c>
      <c r="H37" s="2914"/>
      <c r="I37" s="2005">
        <f t="shared" si="88"/>
        <v>0.45</v>
      </c>
      <c r="J37" s="2903"/>
      <c r="K37" s="2040"/>
      <c r="L37" s="2025">
        <f t="shared" si="98"/>
        <v>5.0000000000000001E-3</v>
      </c>
      <c r="M37" s="2025">
        <f t="shared" si="99"/>
        <v>4.5000000000000005E-3</v>
      </c>
      <c r="N37" s="2025">
        <f t="shared" si="100"/>
        <v>8.8999999999999999E-3</v>
      </c>
      <c r="O37" s="2025"/>
      <c r="P37" s="2025">
        <f t="shared" si="101"/>
        <v>4.5000000000000005E-3</v>
      </c>
      <c r="Q37" s="2903"/>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3"/>
      <c r="Y37" s="2025"/>
      <c r="Z37" s="2899"/>
      <c r="AA37" s="2900"/>
      <c r="AB37" s="2025"/>
      <c r="AC37" s="2901"/>
      <c r="AD37" s="2025"/>
    </row>
    <row r="38" spans="1:30" s="2042" customFormat="1" ht="12.75">
      <c r="A38" s="2902" t="s">
        <v>3353</v>
      </c>
      <c r="B38" s="2028">
        <v>2023</v>
      </c>
      <c r="C38" s="2039">
        <v>1</v>
      </c>
      <c r="D38" s="2004"/>
      <c r="E38" s="2004">
        <v>0.55000000000000004</v>
      </c>
      <c r="F38" s="2004">
        <v>0.59</v>
      </c>
      <c r="G38" s="2004">
        <v>0.64</v>
      </c>
      <c r="H38" s="2914"/>
      <c r="I38" s="2005">
        <f t="shared" si="88"/>
        <v>0.59</v>
      </c>
      <c r="J38" s="2903"/>
      <c r="K38" s="2040"/>
      <c r="L38" s="2025">
        <f t="shared" si="98"/>
        <v>5.5000000000000005E-3</v>
      </c>
      <c r="M38" s="2025">
        <f t="shared" si="99"/>
        <v>5.8999999999999999E-3</v>
      </c>
      <c r="N38" s="2025">
        <f t="shared" si="100"/>
        <v>6.4000000000000003E-3</v>
      </c>
      <c r="O38" s="2025"/>
      <c r="P38" s="2025">
        <f t="shared" si="101"/>
        <v>5.8999999999999999E-3</v>
      </c>
      <c r="Q38" s="2903"/>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3"/>
      <c r="Y38" s="2025"/>
      <c r="Z38" s="2899"/>
      <c r="AA38" s="2900"/>
      <c r="AB38" s="2025"/>
      <c r="AC38" s="2901"/>
      <c r="AD38" s="2025"/>
    </row>
    <row r="39" spans="1:30" s="2042" customFormat="1" ht="12.75">
      <c r="A39" s="2902" t="s">
        <v>3352</v>
      </c>
      <c r="B39" s="2028">
        <v>2022</v>
      </c>
      <c r="C39" s="2039">
        <v>4</v>
      </c>
      <c r="D39" s="2004"/>
      <c r="E39" s="2004">
        <v>0.45</v>
      </c>
      <c r="F39" s="2004">
        <v>0.2</v>
      </c>
      <c r="G39" s="2004">
        <v>0.38</v>
      </c>
      <c r="H39" s="2914"/>
      <c r="I39" s="2005">
        <f t="shared" si="88"/>
        <v>0.2</v>
      </c>
      <c r="J39" s="2903"/>
      <c r="K39" s="2040"/>
      <c r="L39" s="2025">
        <f t="shared" si="89"/>
        <v>4.5000000000000005E-3</v>
      </c>
      <c r="M39" s="2025">
        <f t="shared" si="89"/>
        <v>2E-3</v>
      </c>
      <c r="N39" s="2025">
        <f t="shared" si="89"/>
        <v>3.8E-3</v>
      </c>
      <c r="O39" s="2025"/>
      <c r="P39" s="2025">
        <f t="shared" ref="P39:P46" si="103">M39</f>
        <v>2E-3</v>
      </c>
      <c r="Q39" s="2903"/>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3"/>
      <c r="Y39" s="2025"/>
      <c r="Z39" s="2899">
        <f t="shared" ref="Z39:AD46" si="105">IF(E39=0,0,ROUND(AVERAGE(E39:E47)/100,4))</f>
        <v>4.0000000000000001E-3</v>
      </c>
      <c r="AA39" s="2900">
        <f t="shared" si="105"/>
        <v>2.5999999999999999E-3</v>
      </c>
      <c r="AB39" s="2025">
        <f t="shared" si="105"/>
        <v>7.4000000000000003E-3</v>
      </c>
      <c r="AC39" s="2901"/>
      <c r="AD39" s="2025">
        <f t="shared" si="105"/>
        <v>2.5999999999999999E-3</v>
      </c>
    </row>
    <row r="40" spans="1:30" s="2042" customFormat="1" ht="12.75">
      <c r="A40" s="2902" t="s">
        <v>3351</v>
      </c>
      <c r="B40" s="2028">
        <v>2022</v>
      </c>
      <c r="C40" s="2039">
        <v>3</v>
      </c>
      <c r="D40" s="2004"/>
      <c r="E40" s="2004">
        <v>0.3</v>
      </c>
      <c r="F40" s="2004">
        <v>0.28999999999999998</v>
      </c>
      <c r="G40" s="2004">
        <v>0.83</v>
      </c>
      <c r="H40" s="2914"/>
      <c r="I40" s="2005">
        <f t="shared" si="88"/>
        <v>0.28999999999999998</v>
      </c>
      <c r="J40" s="2903"/>
      <c r="K40" s="2040"/>
      <c r="L40" s="2025">
        <f t="shared" si="89"/>
        <v>3.0000000000000001E-3</v>
      </c>
      <c r="M40" s="2025">
        <f t="shared" si="89"/>
        <v>2.8999999999999998E-3</v>
      </c>
      <c r="N40" s="2025">
        <f t="shared" si="89"/>
        <v>8.3000000000000001E-3</v>
      </c>
      <c r="O40" s="2025"/>
      <c r="P40" s="2025">
        <f t="shared" si="103"/>
        <v>2.8999999999999998E-3</v>
      </c>
      <c r="Q40" s="2903"/>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3"/>
      <c r="Y40" s="2025"/>
      <c r="Z40" s="2899">
        <f t="shared" si="105"/>
        <v>3.8999999999999998E-3</v>
      </c>
      <c r="AA40" s="2900">
        <f t="shared" si="105"/>
        <v>2.7000000000000001E-3</v>
      </c>
      <c r="AB40" s="2025">
        <f t="shared" si="105"/>
        <v>7.9000000000000008E-3</v>
      </c>
      <c r="AC40" s="2901"/>
      <c r="AD40" s="2025">
        <f t="shared" si="105"/>
        <v>2.7000000000000001E-3</v>
      </c>
    </row>
    <row r="41" spans="1:30" s="2042" customFormat="1" ht="12.75">
      <c r="A41" s="2902" t="s">
        <v>3341</v>
      </c>
      <c r="B41" s="2028">
        <v>2022</v>
      </c>
      <c r="C41" s="2039">
        <v>2</v>
      </c>
      <c r="D41" s="2004"/>
      <c r="E41" s="2004">
        <v>-0.11</v>
      </c>
      <c r="F41" s="2004">
        <v>-0.13</v>
      </c>
      <c r="G41" s="2004">
        <v>0.53</v>
      </c>
      <c r="H41" s="2914"/>
      <c r="I41" s="2005">
        <f t="shared" si="88"/>
        <v>-0.13</v>
      </c>
      <c r="J41" s="2903"/>
      <c r="K41" s="2040"/>
      <c r="L41" s="2025">
        <f t="shared" si="89"/>
        <v>-1.1000000000000001E-3</v>
      </c>
      <c r="M41" s="2025">
        <f t="shared" si="89"/>
        <v>-1.2999999999999999E-3</v>
      </c>
      <c r="N41" s="2025">
        <f t="shared" si="89"/>
        <v>5.3E-3</v>
      </c>
      <c r="O41" s="2025"/>
      <c r="P41" s="2025">
        <f t="shared" si="103"/>
        <v>-1.2999999999999999E-3</v>
      </c>
      <c r="Q41" s="2903"/>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3"/>
      <c r="Y41" s="2025"/>
      <c r="Z41" s="2899">
        <f t="shared" si="105"/>
        <v>4.1000000000000003E-3</v>
      </c>
      <c r="AA41" s="2900">
        <f t="shared" si="105"/>
        <v>2.7000000000000001E-3</v>
      </c>
      <c r="AB41" s="2025">
        <f t="shared" si="105"/>
        <v>7.9000000000000008E-3</v>
      </c>
      <c r="AC41" s="2901"/>
      <c r="AD41" s="2025">
        <f t="shared" si="105"/>
        <v>2.7000000000000001E-3</v>
      </c>
    </row>
    <row r="42" spans="1:30" s="2042" customFormat="1" ht="12.75">
      <c r="A42" s="2902" t="s">
        <v>2822</v>
      </c>
      <c r="B42" s="2028">
        <v>2022</v>
      </c>
      <c r="C42" s="2039">
        <v>1</v>
      </c>
      <c r="D42" s="2004"/>
      <c r="E42" s="2004">
        <v>0.6</v>
      </c>
      <c r="F42" s="2004">
        <v>0.45</v>
      </c>
      <c r="G42" s="2004">
        <v>0.53</v>
      </c>
      <c r="H42" s="2914"/>
      <c r="I42" s="2005">
        <f t="shared" si="88"/>
        <v>0.45</v>
      </c>
      <c r="J42" s="2903"/>
      <c r="K42" s="2040"/>
      <c r="L42" s="2025">
        <f t="shared" si="89"/>
        <v>6.0000000000000001E-3</v>
      </c>
      <c r="M42" s="2025">
        <f t="shared" si="89"/>
        <v>4.5000000000000005E-3</v>
      </c>
      <c r="N42" s="2025">
        <f t="shared" si="89"/>
        <v>5.3E-3</v>
      </c>
      <c r="O42" s="2025"/>
      <c r="P42" s="2025">
        <f t="shared" si="103"/>
        <v>4.5000000000000005E-3</v>
      </c>
      <c r="Q42" s="2903"/>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3"/>
      <c r="Y42" s="2025"/>
      <c r="Z42" s="2899">
        <f t="shared" si="105"/>
        <v>5.1000000000000004E-3</v>
      </c>
      <c r="AA42" s="2900">
        <f t="shared" si="105"/>
        <v>3.5000000000000001E-3</v>
      </c>
      <c r="AB42" s="2025">
        <f t="shared" si="105"/>
        <v>8.3999999999999995E-3</v>
      </c>
      <c r="AC42" s="2901"/>
      <c r="AD42" s="2025">
        <f t="shared" si="105"/>
        <v>3.5000000000000001E-3</v>
      </c>
    </row>
    <row r="43" spans="1:30" s="2042" customFormat="1" ht="12.75">
      <c r="A43" s="2902" t="s">
        <v>2823</v>
      </c>
      <c r="B43" s="2028">
        <v>2021</v>
      </c>
      <c r="C43" s="2039">
        <v>4</v>
      </c>
      <c r="D43" s="2004"/>
      <c r="E43" s="2004">
        <v>0.57999999999999996</v>
      </c>
      <c r="F43" s="2004">
        <v>0.08</v>
      </c>
      <c r="G43" s="2004">
        <v>0.68</v>
      </c>
      <c r="H43" s="2914"/>
      <c r="I43" s="2005">
        <f t="shared" si="88"/>
        <v>0.08</v>
      </c>
      <c r="J43" s="2903"/>
      <c r="K43" s="2040"/>
      <c r="L43" s="2025">
        <f t="shared" si="89"/>
        <v>5.7999999999999996E-3</v>
      </c>
      <c r="M43" s="2025">
        <f t="shared" si="89"/>
        <v>8.0000000000000004E-4</v>
      </c>
      <c r="N43" s="2025">
        <f t="shared" si="89"/>
        <v>6.8000000000000005E-3</v>
      </c>
      <c r="O43" s="2025"/>
      <c r="P43" s="2025">
        <f t="shared" si="103"/>
        <v>8.0000000000000004E-4</v>
      </c>
      <c r="Q43" s="2903"/>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3"/>
      <c r="Y43" s="2025"/>
      <c r="Z43" s="2899">
        <f t="shared" si="105"/>
        <v>4.8999999999999998E-3</v>
      </c>
      <c r="AA43" s="2900">
        <f t="shared" si="105"/>
        <v>3.3E-3</v>
      </c>
      <c r="AB43" s="2025">
        <f t="shared" si="105"/>
        <v>9.1999999999999998E-3</v>
      </c>
      <c r="AC43" s="2901"/>
      <c r="AD43" s="2025">
        <f t="shared" si="105"/>
        <v>3.3E-3</v>
      </c>
    </row>
    <row r="44" spans="1:30" s="2042" customFormat="1" ht="12.75">
      <c r="A44" s="2902" t="s">
        <v>2824</v>
      </c>
      <c r="B44" s="2028">
        <v>2021</v>
      </c>
      <c r="C44" s="2039">
        <v>3</v>
      </c>
      <c r="D44" s="2004"/>
      <c r="E44" s="2004">
        <v>0.47</v>
      </c>
      <c r="F44" s="2004">
        <v>0.28000000000000003</v>
      </c>
      <c r="G44" s="2004">
        <v>0.91</v>
      </c>
      <c r="H44" s="2914"/>
      <c r="I44" s="2005">
        <f t="shared" si="88"/>
        <v>0.28000000000000003</v>
      </c>
      <c r="J44" s="2903"/>
      <c r="K44" s="2040"/>
      <c r="L44" s="2025">
        <f t="shared" si="89"/>
        <v>4.6999999999999993E-3</v>
      </c>
      <c r="M44" s="2025">
        <f t="shared" si="89"/>
        <v>2.8000000000000004E-3</v>
      </c>
      <c r="N44" s="2025">
        <f t="shared" si="89"/>
        <v>9.1000000000000004E-3</v>
      </c>
      <c r="O44" s="2025"/>
      <c r="P44" s="2025">
        <f t="shared" si="103"/>
        <v>2.8000000000000004E-3</v>
      </c>
      <c r="Q44" s="2903"/>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3"/>
      <c r="Y44" s="2025"/>
      <c r="Z44" s="2899">
        <f t="shared" si="105"/>
        <v>4.5999999999999999E-3</v>
      </c>
      <c r="AA44" s="2900">
        <f t="shared" si="105"/>
        <v>4.1000000000000003E-3</v>
      </c>
      <c r="AB44" s="2025">
        <f t="shared" si="105"/>
        <v>0.01</v>
      </c>
      <c r="AC44" s="2901"/>
      <c r="AD44" s="2025">
        <f t="shared" si="105"/>
        <v>4.1000000000000003E-3</v>
      </c>
    </row>
    <row r="45" spans="1:30" s="2042" customFormat="1" ht="12.75">
      <c r="A45" s="2902" t="s">
        <v>2825</v>
      </c>
      <c r="B45" s="2028">
        <v>2021</v>
      </c>
      <c r="C45" s="2039">
        <v>2</v>
      </c>
      <c r="D45" s="2004"/>
      <c r="E45" s="2004">
        <v>0.55000000000000004</v>
      </c>
      <c r="F45" s="2004">
        <v>0.46</v>
      </c>
      <c r="G45" s="2004">
        <v>1.1000000000000001</v>
      </c>
      <c r="H45" s="2914"/>
      <c r="I45" s="2005">
        <f t="shared" si="88"/>
        <v>0.46</v>
      </c>
      <c r="J45" s="2903"/>
      <c r="K45" s="2040"/>
      <c r="L45" s="2025">
        <f t="shared" si="89"/>
        <v>5.5000000000000005E-3</v>
      </c>
      <c r="M45" s="2025">
        <f t="shared" si="89"/>
        <v>4.5999999999999999E-3</v>
      </c>
      <c r="N45" s="2025">
        <f t="shared" si="89"/>
        <v>1.1000000000000001E-2</v>
      </c>
      <c r="O45" s="2025"/>
      <c r="P45" s="2025">
        <f t="shared" si="103"/>
        <v>4.5999999999999999E-3</v>
      </c>
      <c r="Q45" s="2903"/>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3"/>
      <c r="Y45" s="2025"/>
      <c r="Z45" s="2899">
        <f t="shared" si="105"/>
        <v>4.4999999999999997E-3</v>
      </c>
      <c r="AA45" s="2900">
        <f t="shared" si="105"/>
        <v>4.7000000000000002E-3</v>
      </c>
      <c r="AB45" s="2025">
        <f t="shared" si="105"/>
        <v>1.04E-2</v>
      </c>
      <c r="AC45" s="2901"/>
      <c r="AD45" s="2025">
        <f t="shared" si="105"/>
        <v>4.7000000000000002E-3</v>
      </c>
    </row>
    <row r="46" spans="1:30" s="2925" customFormat="1" thickBot="1">
      <c r="A46" s="2915" t="s">
        <v>2811</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4.25" thickTop="1"/>
    <row r="48" spans="1:30">
      <c r="A48" s="3140" t="s">
        <v>3370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41" t="s">
        <v>452</v>
      </c>
      <c r="C1" s="3541"/>
      <c r="D1" s="3541"/>
      <c r="E1" s="3541"/>
      <c r="F1" s="3541"/>
      <c r="G1" s="3537" t="s">
        <v>453</v>
      </c>
      <c r="H1" s="3537"/>
      <c r="I1" s="3537"/>
      <c r="J1" s="3537"/>
      <c r="K1" s="3537"/>
      <c r="L1" s="3537"/>
      <c r="N1" s="3537" t="s">
        <v>454</v>
      </c>
      <c r="O1" s="3537"/>
      <c r="P1" s="3537"/>
      <c r="Q1" s="3537"/>
      <c r="S1" s="3537" t="s">
        <v>455</v>
      </c>
      <c r="T1" s="3537"/>
      <c r="U1" s="3537"/>
      <c r="V1" s="3537"/>
      <c r="X1" s="3536" t="s">
        <v>456</v>
      </c>
      <c r="Y1" s="3537"/>
      <c r="Z1" s="3537"/>
      <c r="AA1" s="3537"/>
      <c r="AB1" s="3537"/>
      <c r="AD1" s="3536" t="s">
        <v>457</v>
      </c>
      <c r="AE1" s="3537"/>
      <c r="AF1" s="3537"/>
      <c r="AG1" s="3537"/>
      <c r="AH1" s="3537"/>
    </row>
    <row r="2" spans="1:34" s="2007" customFormat="1" ht="14.25" thickBot="1">
      <c r="B2" s="2008" t="s">
        <v>458</v>
      </c>
      <c r="C2" s="2008" t="s">
        <v>459</v>
      </c>
      <c r="D2" s="2009" t="s">
        <v>460</v>
      </c>
      <c r="E2" s="2009" t="s">
        <v>461</v>
      </c>
      <c r="F2" s="2008" t="s">
        <v>462</v>
      </c>
      <c r="G2" s="2010"/>
      <c r="I2" s="2008" t="s">
        <v>458</v>
      </c>
      <c r="J2" s="2009" t="s">
        <v>671</v>
      </c>
      <c r="K2" s="2009" t="s">
        <v>308</v>
      </c>
      <c r="L2" s="2008" t="s">
        <v>462</v>
      </c>
      <c r="N2" s="2008" t="s">
        <v>458</v>
      </c>
      <c r="O2" s="2009" t="s">
        <v>671</v>
      </c>
      <c r="P2" s="2009" t="s">
        <v>308</v>
      </c>
      <c r="Q2" s="2008" t="s">
        <v>462</v>
      </c>
      <c r="S2" s="2008" t="s">
        <v>458</v>
      </c>
      <c r="T2" s="2009" t="s">
        <v>671</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2108</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3349</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3346</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2109</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3347</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3348</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2423</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2300</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2299</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2298</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2295</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2294</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2124</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2122</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2121</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2120</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2118</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2117</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2119</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39">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2115</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39"/>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2114</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39"/>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2107</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46"/>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2105</v>
      </c>
      <c r="B25" s="2046">
        <v>439</v>
      </c>
      <c r="C25" s="2046">
        <v>327</v>
      </c>
      <c r="D25" s="2046">
        <f>C25</f>
        <v>327</v>
      </c>
      <c r="E25" s="2046">
        <v>627</v>
      </c>
      <c r="F25" s="2047">
        <v>283</v>
      </c>
      <c r="G25" s="3542">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2106</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39"/>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672</v>
      </c>
      <c r="B27" s="2038">
        <f t="shared" si="232"/>
        <v>419.31181600000002</v>
      </c>
      <c r="C27" s="2038">
        <f t="shared" si="233"/>
        <v>313.95436800000004</v>
      </c>
      <c r="D27" s="2038">
        <f t="shared" si="234"/>
        <v>313.95436800000004</v>
      </c>
      <c r="E27" s="2038">
        <f t="shared" si="235"/>
        <v>596.63028431999999</v>
      </c>
      <c r="F27" s="2038">
        <f t="shared" si="236"/>
        <v>274.74220703999998</v>
      </c>
      <c r="G27" s="3539"/>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46"/>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42">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39"/>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39"/>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40"/>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38">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39"/>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39"/>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40"/>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38">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39"/>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39"/>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40"/>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43">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44"/>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44"/>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45"/>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38">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39"/>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39"/>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40"/>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38">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39">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39">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40">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38">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39">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39">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40">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38">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39">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39">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40">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38">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39">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39">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40">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38">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39">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39">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40">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38">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39">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39">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40">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38">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39">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39">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40">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38">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39">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39">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40">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38">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39">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39">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40">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38">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39">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39">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40">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45383</v>
      </c>
      <c r="D1" s="1216" t="s">
        <v>603</v>
      </c>
      <c r="E1" s="1211">
        <f>'数据-取费表'!B22</f>
        <v>3</v>
      </c>
      <c r="F1" s="1216" t="s">
        <v>604</v>
      </c>
      <c r="G1" s="1212">
        <f ca="1">INDIRECT("d"&amp;$K$1)/100</f>
        <v>3.4500000000000003E-2</v>
      </c>
      <c r="H1" s="1216" t="s">
        <v>634</v>
      </c>
      <c r="I1" s="1212">
        <f ca="1">F4/100</f>
        <v>1.4999999999999999E-2</v>
      </c>
      <c r="J1" s="1217">
        <f>IF(C1&gt;C13,0,MATCH(C1,C$13:C$114,-1))+IF(SUMIF(C13:C114,C1,D13:D114)=0,13,12)</f>
        <v>15</v>
      </c>
      <c r="K1" s="1217">
        <f ca="1">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3.95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2">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3"/>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2296</v>
      </c>
      <c r="C26" s="1206">
        <v>43697</v>
      </c>
      <c r="D26" s="2571">
        <v>4.25</v>
      </c>
      <c r="E26" s="2571">
        <v>4.25</v>
      </c>
      <c r="F26" s="2571">
        <v>4.25</v>
      </c>
      <c r="G26" s="2571">
        <v>4.25</v>
      </c>
      <c r="H26" s="2571">
        <v>4.8499999999999996</v>
      </c>
      <c r="I26" s="2571"/>
      <c r="J26" s="2571"/>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4"/>
      <c r="C27" s="2575">
        <v>42301</v>
      </c>
      <c r="D27" s="2576">
        <v>4.3499999999999996</v>
      </c>
      <c r="E27" s="2576">
        <v>4.3499999999999996</v>
      </c>
      <c r="F27" s="2576">
        <v>4.75</v>
      </c>
      <c r="G27" s="2576">
        <v>4.75</v>
      </c>
      <c r="H27" s="2576">
        <v>4.9000000000000004</v>
      </c>
      <c r="I27" s="2576"/>
      <c r="J27" s="2576"/>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7" t="str">
        <f>IF(项目基本情况!B9="房地产市场价值","估价结果一览表","结果表-2")</f>
        <v>结果表-2</v>
      </c>
      <c r="B1" s="3217"/>
      <c r="C1" s="3217"/>
      <c r="D1" s="3217"/>
      <c r="E1" s="3217"/>
      <c r="F1" s="3217"/>
      <c r="G1" s="3217"/>
      <c r="H1" s="3217"/>
      <c r="I1" s="3217"/>
    </row>
    <row r="2" spans="1:9" ht="30" customHeight="1" thickTop="1">
      <c r="A2" s="3218" t="s">
        <v>923</v>
      </c>
      <c r="B2" s="3218" t="s">
        <v>924</v>
      </c>
      <c r="C2" s="3218" t="s">
        <v>925</v>
      </c>
      <c r="D2" s="3218" t="str">
        <f>结果表!D116</f>
        <v>出让国有建设用地使用权价值</v>
      </c>
      <c r="E2" s="3218"/>
      <c r="F2" s="3218" t="str">
        <f>结果表!F116</f>
        <v>在建建筑物价值</v>
      </c>
      <c r="G2" s="3218"/>
      <c r="H2" s="3218" t="str">
        <f>IF(项目基本情况!B9="房地产市场价值","房地产市场价值","房地产价值")</f>
        <v>房地产价值</v>
      </c>
      <c r="I2" s="3218"/>
    </row>
    <row r="3" spans="1:9" ht="15">
      <c r="A3" s="3213"/>
      <c r="B3" s="3213"/>
      <c r="C3" s="3213"/>
      <c r="D3" s="801" t="s">
        <v>920</v>
      </c>
      <c r="E3" s="801" t="s">
        <v>926</v>
      </c>
      <c r="F3" s="801" t="s">
        <v>920</v>
      </c>
      <c r="G3" s="801" t="s">
        <v>921</v>
      </c>
      <c r="H3" s="801" t="s">
        <v>920</v>
      </c>
      <c r="I3" s="801" t="s">
        <v>921</v>
      </c>
    </row>
    <row r="4" spans="1:9" ht="15">
      <c r="A4" s="1402" t="str">
        <f>项目基本情况!S2</f>
        <v>北京市房地产</v>
      </c>
      <c r="B4" s="801">
        <f>项目基本情况!C17</f>
        <v>1232.79</v>
      </c>
      <c r="C4" s="801">
        <f>项目基本情况!C18</f>
        <v>891.05</v>
      </c>
      <c r="D4" s="801" t="e">
        <f ca="1">结果表!D118</f>
        <v>#REF!</v>
      </c>
      <c r="E4" s="801" t="e">
        <f ca="1">结果表!E118</f>
        <v>#REF!</v>
      </c>
      <c r="F4" s="801" t="e">
        <f ca="1">结果表!F118</f>
        <v>#REF!</v>
      </c>
      <c r="G4" s="801" t="e">
        <f ca="1">结果表!G118</f>
        <v>#REF!</v>
      </c>
      <c r="H4" s="801">
        <f ca="1">结果表!H118</f>
        <v>3092</v>
      </c>
      <c r="I4" s="801">
        <f ca="1">结果表!I118</f>
        <v>25078</v>
      </c>
    </row>
    <row r="5" spans="1:9" ht="30" customHeight="1">
      <c r="A5" s="3213" t="s">
        <v>922</v>
      </c>
      <c r="B5" s="3213"/>
      <c r="C5" s="3213"/>
      <c r="D5" s="3213" t="e">
        <f ca="1">结果表!D119</f>
        <v>#REF!</v>
      </c>
      <c r="E5" s="3213"/>
      <c r="F5" s="3213" t="e">
        <f ca="1">结果表!F119</f>
        <v>#REF!</v>
      </c>
      <c r="G5" s="3213"/>
      <c r="H5" s="3213" t="str">
        <f ca="1">结果表!H119</f>
        <v>叁仟零玖拾贰万元整</v>
      </c>
      <c r="I5" s="3213"/>
    </row>
    <row r="6" spans="1:9" ht="15.75">
      <c r="A6" s="3212" t="str">
        <f>结果表!A120</f>
        <v>估价师知悉的法定优先受偿款</v>
      </c>
      <c r="B6" s="3212"/>
      <c r="C6" s="3212"/>
      <c r="D6" s="3212">
        <f>结果表!D120</f>
        <v>0</v>
      </c>
      <c r="E6" s="3212"/>
      <c r="F6" s="3212"/>
      <c r="G6" s="3212"/>
      <c r="H6" s="3212"/>
      <c r="I6" s="3212"/>
    </row>
    <row r="7" spans="1:9" ht="15">
      <c r="A7" s="3213" t="s">
        <v>922</v>
      </c>
      <c r="B7" s="3213"/>
      <c r="C7" s="3213"/>
      <c r="D7" s="3214" t="str">
        <f>结果表!D121</f>
        <v>零元整</v>
      </c>
      <c r="E7" s="3215"/>
      <c r="F7" s="3215"/>
      <c r="G7" s="3215"/>
      <c r="H7" s="3215"/>
      <c r="I7" s="3216"/>
    </row>
    <row r="8" spans="1:9" ht="15.75">
      <c r="A8" s="3212" t="str">
        <f>结果表!A122</f>
        <v>房地产抵押价值</v>
      </c>
      <c r="B8" s="3212"/>
      <c r="C8" s="3212"/>
      <c r="D8" s="3212">
        <f ca="1">结果表!D122</f>
        <v>3092</v>
      </c>
      <c r="E8" s="3212"/>
      <c r="F8" s="3212"/>
      <c r="G8" s="3212"/>
      <c r="H8" s="3212"/>
      <c r="I8" s="3212"/>
    </row>
    <row r="9" spans="1:9" ht="15">
      <c r="A9" s="3213" t="s">
        <v>922</v>
      </c>
      <c r="B9" s="3213"/>
      <c r="C9" s="3213"/>
      <c r="D9" s="3213" t="str">
        <f ca="1">结果表!D123</f>
        <v>叁仟零玖拾贰万元整</v>
      </c>
      <c r="E9" s="3213"/>
      <c r="F9" s="3213"/>
      <c r="G9" s="3213"/>
      <c r="H9" s="3213"/>
      <c r="I9" s="3213"/>
    </row>
    <row r="10" spans="1:9" ht="15.75">
      <c r="A10" s="3212" t="str">
        <f>结果表!A124</f>
        <v/>
      </c>
      <c r="B10" s="3212"/>
      <c r="C10" s="3212"/>
      <c r="D10" s="3212" t="str">
        <f>结果表!D124</f>
        <v>——</v>
      </c>
      <c r="E10" s="3212"/>
      <c r="F10" s="3212"/>
      <c r="G10" s="3212"/>
      <c r="H10" s="3212"/>
      <c r="I10" s="3212"/>
    </row>
    <row r="11" spans="1:9" ht="15">
      <c r="A11" s="3213" t="s">
        <v>922</v>
      </c>
      <c r="B11" s="3213"/>
      <c r="C11" s="3213"/>
      <c r="D11" s="3213" t="e">
        <f>结果表!D125</f>
        <v>#VALUE!</v>
      </c>
      <c r="E11" s="3213"/>
      <c r="F11" s="3213"/>
      <c r="G11" s="3213"/>
      <c r="H11" s="3213"/>
      <c r="I11" s="3213"/>
    </row>
    <row r="12" spans="1:9" ht="15.75">
      <c r="A12" s="3212" t="str">
        <f>结果表!A126</f>
        <v/>
      </c>
      <c r="B12" s="3212"/>
      <c r="C12" s="3212"/>
      <c r="D12" s="3212" t="str">
        <f>结果表!D126</f>
        <v>——</v>
      </c>
      <c r="E12" s="3212"/>
      <c r="F12" s="3212"/>
      <c r="G12" s="3212"/>
      <c r="H12" s="3212"/>
      <c r="I12" s="3212"/>
    </row>
    <row r="13" spans="1:9" ht="15.75" thickBot="1">
      <c r="A13" s="3210" t="s">
        <v>922</v>
      </c>
      <c r="B13" s="3210"/>
      <c r="C13" s="3210"/>
      <c r="D13" s="3210" t="e">
        <f>结果表!D127</f>
        <v>#VALUE!</v>
      </c>
      <c r="E13" s="3210"/>
      <c r="F13" s="3210"/>
      <c r="G13" s="3210"/>
      <c r="H13" s="3210"/>
      <c r="I13" s="3210"/>
    </row>
    <row r="14" spans="1:9" ht="15" thickTop="1">
      <c r="A14" s="3211" t="s">
        <v>927</v>
      </c>
      <c r="B14" s="3211"/>
      <c r="C14" s="3211"/>
      <c r="D14" s="3211"/>
      <c r="E14" s="3211"/>
      <c r="F14" s="3211"/>
      <c r="G14" s="3211"/>
      <c r="H14" s="3211"/>
      <c r="I14" s="3211"/>
    </row>
    <row r="16" spans="1:9" ht="18.75">
      <c r="A16" s="1403" t="s">
        <v>910</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5" t="s">
        <v>944</v>
      </c>
      <c r="B1" s="3225"/>
      <c r="C1" s="3225"/>
      <c r="D1" s="3225"/>
    </row>
    <row r="2" spans="1:4" ht="18">
      <c r="A2" s="3226" t="s">
        <v>928</v>
      </c>
      <c r="B2" s="3226"/>
      <c r="C2" s="3226"/>
      <c r="D2" s="3226"/>
    </row>
    <row r="3" spans="1:4" ht="18.75">
      <c r="A3" s="1406" t="s">
        <v>929</v>
      </c>
      <c r="B3" s="1406" t="s">
        <v>930</v>
      </c>
      <c r="C3" s="1406" t="s">
        <v>931</v>
      </c>
      <c r="D3" s="1406" t="s">
        <v>932</v>
      </c>
    </row>
    <row r="4" spans="1:4" ht="56.25" customHeight="1">
      <c r="A4" s="1407">
        <f>项目基本情况!B4</f>
        <v>0</v>
      </c>
      <c r="B4" s="1408">
        <f>项目基本情况!C4</f>
        <v>0</v>
      </c>
      <c r="C4" s="1409"/>
      <c r="D4" s="1410" t="s">
        <v>933</v>
      </c>
    </row>
    <row r="5" spans="1:4" ht="56.25" customHeight="1">
      <c r="A5" s="1407">
        <f>项目基本情况!D4</f>
        <v>0</v>
      </c>
      <c r="B5" s="1408">
        <f>项目基本情况!E4</f>
        <v>0</v>
      </c>
      <c r="C5" s="1411"/>
      <c r="D5" s="1410" t="s">
        <v>933</v>
      </c>
    </row>
    <row r="6" spans="1:4" ht="18">
      <c r="A6" s="3226" t="s">
        <v>934</v>
      </c>
      <c r="B6" s="3226"/>
      <c r="C6" s="3226"/>
      <c r="D6" s="3226"/>
    </row>
    <row r="7" spans="1:4" ht="18.75">
      <c r="A7" s="1406" t="s">
        <v>929</v>
      </c>
      <c r="B7" s="1408" t="s">
        <v>935</v>
      </c>
      <c r="C7" s="1406" t="s">
        <v>931</v>
      </c>
      <c r="D7" s="1406" t="s">
        <v>932</v>
      </c>
    </row>
    <row r="8" spans="1:4" ht="56.25" customHeight="1">
      <c r="A8" s="1412" t="s">
        <v>390</v>
      </c>
      <c r="B8" s="1412" t="s">
        <v>0</v>
      </c>
      <c r="C8" s="1409"/>
      <c r="D8" s="1410" t="s">
        <v>933</v>
      </c>
    </row>
    <row r="10" spans="1:4" ht="18.75">
      <c r="A10" s="1413" t="s">
        <v>936</v>
      </c>
    </row>
    <row r="11" spans="1:4" ht="30" customHeight="1">
      <c r="A11" s="3227" t="s">
        <v>937</v>
      </c>
      <c r="B11" s="3219"/>
      <c r="C11" s="3219"/>
      <c r="D11" s="3219"/>
    </row>
    <row r="12" spans="1:4" ht="15.75">
      <c r="A12" s="32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4"/>
      <c r="C12" s="3224"/>
      <c r="D12" s="3224"/>
    </row>
    <row r="13" spans="1:4" ht="30" customHeight="1">
      <c r="A13" s="32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4"/>
      <c r="C13" s="3224"/>
      <c r="D13" s="3224"/>
    </row>
    <row r="14" spans="1:4" ht="15.75" customHeight="1">
      <c r="A14" s="3219" t="str">
        <f>IF(项目基本情况!B8="抵押","4.本次评估估价师所知悉的法定优先受偿款情况说明如下：","——")</f>
        <v>4.本次评估估价师所知悉的法定优先受偿款情况说明如下：</v>
      </c>
      <c r="B14" s="3224"/>
      <c r="C14" s="3224"/>
      <c r="D14" s="3224"/>
    </row>
    <row r="15" spans="1:4" ht="42" customHeight="1">
      <c r="A15" s="32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9"/>
      <c r="C15" s="3219"/>
      <c r="D15" s="3219"/>
    </row>
    <row r="16" spans="1:4" ht="30" customHeight="1">
      <c r="A16" s="3221" t="s">
        <v>938</v>
      </c>
      <c r="B16" s="3221"/>
      <c r="C16" s="3221"/>
      <c r="D16" s="3221"/>
    </row>
    <row r="17" spans="1:4" ht="144" customHeight="1">
      <c r="A17" s="3221" t="s">
        <v>939</v>
      </c>
      <c r="B17" s="3221"/>
      <c r="C17" s="3221"/>
      <c r="D17" s="3221"/>
    </row>
    <row r="18" spans="1:4" ht="15.75" customHeight="1">
      <c r="A18" s="3219" t="str">
        <f>IF(项目基本情况!B8="抵押",结果表!K120,"——")</f>
        <v>故，本次评估不存在估价师知悉的法定优先受偿款</v>
      </c>
      <c r="B18" s="3219"/>
      <c r="C18" s="3219"/>
      <c r="D18" s="3219"/>
    </row>
    <row r="19" spans="1:4" ht="46.5" customHeight="1">
      <c r="A19" s="32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9"/>
      <c r="C19" s="3219"/>
      <c r="D19" s="3219"/>
    </row>
    <row r="20" spans="1:4" ht="57.75" customHeight="1">
      <c r="A20" s="32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9"/>
      <c r="C20" s="3219"/>
      <c r="D20" s="3219"/>
    </row>
    <row r="21" spans="1:4" ht="57.75" customHeight="1">
      <c r="A21" s="32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2"/>
      <c r="C21" s="3222"/>
      <c r="D21" s="3222"/>
    </row>
    <row r="22" spans="1:4" ht="18.75" customHeight="1">
      <c r="A22" s="3223" t="s">
        <v>940</v>
      </c>
      <c r="B22" s="3223"/>
      <c r="C22" s="3223"/>
      <c r="D22" s="3223"/>
    </row>
    <row r="23" spans="1:4">
      <c r="A23" s="1414"/>
      <c r="B23" s="459"/>
      <c r="C23" s="459"/>
      <c r="D23" s="459"/>
    </row>
    <row r="24" spans="1:4">
      <c r="A24" s="1414"/>
      <c r="B24" s="459"/>
      <c r="C24" s="459"/>
      <c r="D24" s="459"/>
    </row>
    <row r="25" spans="1:4" ht="18.75">
      <c r="A25" s="1415" t="s">
        <v>941</v>
      </c>
    </row>
    <row r="26" spans="1:4" ht="18">
      <c r="A26" s="1386"/>
    </row>
    <row r="27" spans="1:4" ht="18.75">
      <c r="A27" s="1386" t="s">
        <v>942</v>
      </c>
    </row>
    <row r="30" spans="1:4" ht="18.75">
      <c r="D30" s="1415" t="s">
        <v>943</v>
      </c>
    </row>
    <row r="31" spans="1:4" ht="13.5" customHeight="1">
      <c r="C31" s="3220">
        <v>42551</v>
      </c>
      <c r="D31" s="32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945</v>
      </c>
    </row>
    <row r="3" spans="1:7">
      <c r="A3" s="1419" t="s">
        <v>55</v>
      </c>
      <c r="B3" s="1404" t="s">
        <v>946</v>
      </c>
      <c r="G3" s="1420"/>
    </row>
    <row r="4" spans="1:7">
      <c r="G4" s="1420"/>
    </row>
    <row r="5" spans="1:7">
      <c r="A5" s="1422" t="s">
        <v>46</v>
      </c>
      <c r="B5" s="1404" t="s">
        <v>947</v>
      </c>
      <c r="G5" s="1420"/>
    </row>
    <row r="6" spans="1:7">
      <c r="G6" s="1420"/>
    </row>
    <row r="7" spans="1:7">
      <c r="A7" s="1423" t="s">
        <v>108</v>
      </c>
      <c r="B7" s="1404" t="s">
        <v>948</v>
      </c>
      <c r="G7" s="1420"/>
    </row>
    <row r="8" spans="1:7">
      <c r="G8" s="1420"/>
    </row>
    <row r="9" spans="1:7">
      <c r="A9" s="1424" t="s">
        <v>47</v>
      </c>
      <c r="B9" s="1404" t="s">
        <v>949</v>
      </c>
    </row>
    <row r="11" spans="1:7">
      <c r="A11" s="1425" t="s">
        <v>48</v>
      </c>
      <c r="B11" s="1426" t="s">
        <v>45</v>
      </c>
    </row>
    <row r="13" spans="1:7">
      <c r="A13" s="1427" t="s">
        <v>950</v>
      </c>
    </row>
    <row r="15" spans="1:7" ht="13.5">
      <c r="A15" s="3233" t="s">
        <v>951</v>
      </c>
      <c r="B15" s="3228" t="s">
        <v>109</v>
      </c>
      <c r="C15" s="3229"/>
    </row>
    <row r="16" spans="1:7" ht="13.5">
      <c r="A16" s="3234"/>
      <c r="B16" s="3228" t="s">
        <v>42</v>
      </c>
      <c r="C16" s="3229"/>
    </row>
    <row r="17" spans="1:3" ht="13.5">
      <c r="A17" s="3234"/>
      <c r="B17" s="3231" t="s">
        <v>952</v>
      </c>
      <c r="C17" s="1428" t="s">
        <v>951</v>
      </c>
    </row>
    <row r="18" spans="1:3" ht="13.5">
      <c r="A18" s="3234"/>
      <c r="B18" s="3231"/>
      <c r="C18" s="1428" t="s">
        <v>953</v>
      </c>
    </row>
    <row r="19" spans="1:3" ht="13.5">
      <c r="A19" s="3234"/>
      <c r="B19" s="3231"/>
      <c r="C19" s="1428" t="s">
        <v>954</v>
      </c>
    </row>
    <row r="20" spans="1:3" ht="13.5">
      <c r="A20" s="3235"/>
      <c r="B20" s="3230" t="s">
        <v>955</v>
      </c>
      <c r="C20" s="3229"/>
    </row>
    <row r="21" spans="1:3" ht="13.5">
      <c r="A21" s="1429" t="s">
        <v>956</v>
      </c>
      <c r="B21" s="1430"/>
      <c r="C21" s="1431"/>
    </row>
    <row r="22" spans="1:3" ht="13.5">
      <c r="A22" s="3232" t="s">
        <v>957</v>
      </c>
      <c r="B22" s="3230" t="s">
        <v>958</v>
      </c>
      <c r="C22" s="3229"/>
    </row>
    <row r="23" spans="1:3" ht="13.5">
      <c r="A23" s="3232"/>
      <c r="B23" s="3230" t="s">
        <v>959</v>
      </c>
      <c r="C23" s="3229"/>
    </row>
    <row r="24" spans="1:3" ht="13.5">
      <c r="A24" s="3232"/>
      <c r="B24" s="3230" t="s">
        <v>960</v>
      </c>
      <c r="C24" s="3229"/>
    </row>
    <row r="25" spans="1:3" ht="13.5">
      <c r="A25" s="3232"/>
      <c r="B25" s="3231" t="s">
        <v>961</v>
      </c>
      <c r="C25" s="1428" t="s">
        <v>962</v>
      </c>
    </row>
    <row r="26" spans="1:3" ht="13.5">
      <c r="A26" s="3232"/>
      <c r="B26" s="3231"/>
      <c r="C26" s="1428" t="s">
        <v>963</v>
      </c>
    </row>
    <row r="27" spans="1:3" ht="13.5">
      <c r="A27" s="3232"/>
      <c r="B27" s="3231"/>
      <c r="C27" s="1428" t="s">
        <v>964</v>
      </c>
    </row>
    <row r="28" spans="1:3" ht="13.5">
      <c r="A28" s="3232"/>
      <c r="B28" s="3231"/>
      <c r="C28" s="1428" t="s">
        <v>965</v>
      </c>
    </row>
    <row r="29" spans="1:3" ht="13.5">
      <c r="A29" s="3232"/>
      <c r="B29" s="3231"/>
      <c r="C29" s="1428" t="s">
        <v>966</v>
      </c>
    </row>
    <row r="30" spans="1:3" ht="13.5">
      <c r="A30" s="3232"/>
      <c r="B30" s="3231"/>
      <c r="C30" s="1428" t="s">
        <v>967</v>
      </c>
    </row>
    <row r="31" spans="1:3" ht="13.5">
      <c r="A31" s="3232"/>
      <c r="B31" s="3231"/>
      <c r="C31" s="1428" t="s">
        <v>968</v>
      </c>
    </row>
    <row r="32" spans="1:3" ht="13.5">
      <c r="A32" s="3232"/>
      <c r="B32" s="3231"/>
      <c r="C32" s="1428" t="s">
        <v>969</v>
      </c>
    </row>
    <row r="33" spans="1:3" ht="13.5">
      <c r="A33" s="3232"/>
      <c r="B33" s="3231"/>
      <c r="C33" s="1428" t="s">
        <v>970</v>
      </c>
    </row>
    <row r="34" spans="1:3">
      <c r="A34" s="1432" t="s">
        <v>49</v>
      </c>
    </row>
    <row r="37" spans="1:3">
      <c r="A37" s="1432" t="s">
        <v>971</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2133</v>
      </c>
      <c r="B2" s="2154">
        <f ca="1">TODAY()</f>
        <v>45673</v>
      </c>
      <c r="C2" s="2155" t="s">
        <v>2134</v>
      </c>
      <c r="D2" s="2155"/>
      <c r="E2" s="2155"/>
      <c r="F2" s="2151"/>
      <c r="G2" s="2151"/>
      <c r="H2" s="2151"/>
    </row>
    <row r="3" spans="1:8" ht="24" customHeight="1">
      <c r="A3" s="2156" t="s">
        <v>2135</v>
      </c>
      <c r="B3" s="1218" t="s">
        <v>2136</v>
      </c>
      <c r="C3" s="1218" t="s">
        <v>2137</v>
      </c>
      <c r="D3" s="2157" t="s">
        <v>2138</v>
      </c>
      <c r="E3" s="2158" t="s">
        <v>2139</v>
      </c>
      <c r="F3" s="1218" t="s">
        <v>2140</v>
      </c>
      <c r="G3" s="1218" t="s">
        <v>2137</v>
      </c>
      <c r="H3" s="2157" t="s">
        <v>2141</v>
      </c>
    </row>
    <row r="4" spans="1:8" ht="24" customHeight="1">
      <c r="A4" s="1218" t="s">
        <v>2142</v>
      </c>
      <c r="B4" s="1218">
        <f ca="1">IF(C4&lt;B2,"已过期",1119970066)</f>
        <v>1119970066</v>
      </c>
      <c r="C4" s="2159">
        <v>45937</v>
      </c>
      <c r="D4" s="2160" t="str">
        <f ca="1">A4&amp;"（注册号："&amp;B4&amp;"）"</f>
        <v>梁津（注册号：1119970066）</v>
      </c>
      <c r="E4" s="2161" t="s">
        <v>2142</v>
      </c>
      <c r="F4" s="1218">
        <f ca="1">IF(G4&lt;B2,"已过期",96010014)</f>
        <v>96010014</v>
      </c>
      <c r="G4" s="2162">
        <v>47118</v>
      </c>
      <c r="H4" s="2163" t="str">
        <f ca="1">E4&amp;"（注册号："&amp;F4&amp;"）"</f>
        <v>梁津（注册号：96010014）</v>
      </c>
    </row>
    <row r="5" spans="1:8" ht="24" customHeight="1">
      <c r="A5" s="1218" t="s">
        <v>2143</v>
      </c>
      <c r="B5" s="1218">
        <f ca="1">IF(C5&lt;B2,"已过期",1119970111)</f>
        <v>1119970111</v>
      </c>
      <c r="C5" s="2159">
        <v>45937</v>
      </c>
      <c r="D5" s="2160" t="str">
        <f t="shared" ref="D5:D15" ca="1" si="0">A5&amp;"（注册号："&amp;B5&amp;"）"</f>
        <v>叶凌（注册号：1119970111）</v>
      </c>
      <c r="E5" s="2161" t="s">
        <v>2143</v>
      </c>
      <c r="F5" s="1218">
        <f ca="1">IF(G5&lt;B2,"已过期",94010078)</f>
        <v>94010078</v>
      </c>
      <c r="G5" s="2162">
        <v>46387</v>
      </c>
      <c r="H5" s="2163" t="str">
        <f t="shared" ref="H5:H16" ca="1" si="1">E5&amp;"（注册号："&amp;F5&amp;"）"</f>
        <v>叶凌（注册号：94010078）</v>
      </c>
    </row>
    <row r="6" spans="1:8" ht="24" customHeight="1">
      <c r="A6" s="1218" t="s">
        <v>2144</v>
      </c>
      <c r="B6" s="1218" t="str">
        <f ca="1">IF(C6&lt;B2,"已过期",1120050019)</f>
        <v>已过期</v>
      </c>
      <c r="C6" s="2159">
        <v>45410</v>
      </c>
      <c r="D6" s="2160" t="str">
        <f t="shared" ca="1" si="0"/>
        <v>王鹏（注册号：已过期）</v>
      </c>
      <c r="E6" s="2161" t="s">
        <v>2144</v>
      </c>
      <c r="F6" s="1218">
        <f ca="1">IF(G6&lt;B2,"已过期",2002110030)</f>
        <v>2002110030</v>
      </c>
      <c r="G6" s="2162">
        <v>46387</v>
      </c>
      <c r="H6" s="2163" t="str">
        <f t="shared" ca="1" si="1"/>
        <v>王鹏（注册号：2002110030）</v>
      </c>
    </row>
    <row r="7" spans="1:8" ht="24" customHeight="1">
      <c r="A7" s="1218" t="s">
        <v>2145</v>
      </c>
      <c r="B7" s="1218">
        <f ca="1">IF(C7&lt;B2,"已过期",1120000080)</f>
        <v>1120000080</v>
      </c>
      <c r="C7" s="2159">
        <v>45937</v>
      </c>
      <c r="D7" s="2160" t="str">
        <f t="shared" ca="1" si="0"/>
        <v>欧红伟（注册号：1120000080）</v>
      </c>
      <c r="E7" s="2161" t="s">
        <v>2145</v>
      </c>
      <c r="F7" s="1218">
        <f ca="1">IF(G7&lt;B2,"已过期",2000110082)</f>
        <v>2000110082</v>
      </c>
      <c r="G7" s="2162">
        <v>46387</v>
      </c>
      <c r="H7" s="2163" t="str">
        <f t="shared" ca="1" si="1"/>
        <v>欧红伟（注册号：2000110082）</v>
      </c>
    </row>
    <row r="8" spans="1:8" ht="24" customHeight="1">
      <c r="A8" s="1218" t="s">
        <v>2146</v>
      </c>
      <c r="B8" s="1218">
        <f ca="1">IF(C8&lt;B2,"已过期",1419970001)</f>
        <v>1419970001</v>
      </c>
      <c r="C8" s="2159">
        <v>45937</v>
      </c>
      <c r="D8" s="2160" t="str">
        <f t="shared" ca="1" si="0"/>
        <v>吴薇（注册号：1419970001）</v>
      </c>
      <c r="E8" s="2161" t="s">
        <v>2146</v>
      </c>
      <c r="F8" s="1218">
        <f ca="1">IF(G8&lt;B2,"已过期",2002110125)</f>
        <v>2002110125</v>
      </c>
      <c r="G8" s="2162">
        <v>47118</v>
      </c>
      <c r="H8" s="2163" t="str">
        <f t="shared" ca="1" si="1"/>
        <v>吴薇（注册号：2002110125）</v>
      </c>
    </row>
    <row r="9" spans="1:8" ht="24" customHeight="1">
      <c r="A9" s="1218" t="s">
        <v>2147</v>
      </c>
      <c r="B9" s="1218" t="str">
        <f ca="1">IF(C9&lt;B2,"已过期",1120060040)</f>
        <v>已过期</v>
      </c>
      <c r="C9" s="2164">
        <v>45592</v>
      </c>
      <c r="D9" s="2160" t="str">
        <f t="shared" ca="1" si="0"/>
        <v>陈颖（注册号：已过期）</v>
      </c>
      <c r="E9" s="2161" t="s">
        <v>2147</v>
      </c>
      <c r="F9" s="1218">
        <f ca="1">IF(G9&lt;B2,"已过期",2004110096)</f>
        <v>2004110096</v>
      </c>
      <c r="G9" s="2162">
        <v>47118</v>
      </c>
      <c r="H9" s="2163" t="str">
        <f t="shared" ca="1" si="1"/>
        <v>陈颖（注册号：2004110096）</v>
      </c>
    </row>
    <row r="10" spans="1:8" ht="24" customHeight="1">
      <c r="A10" s="1218" t="s">
        <v>2148</v>
      </c>
      <c r="B10" s="1218">
        <f ca="1">IF(C10&lt;B2,"已过期",1120100036)</f>
        <v>1120100036</v>
      </c>
      <c r="C10" s="2164">
        <v>45752</v>
      </c>
      <c r="D10" s="2160" t="str">
        <f t="shared" ca="1" si="0"/>
        <v>崔锴（注册号：1120100036）</v>
      </c>
      <c r="E10" s="2161" t="s">
        <v>2148</v>
      </c>
      <c r="F10" s="1218">
        <f ca="1">IF(G10&lt;B2,"已过期",2010110070)</f>
        <v>2010110070</v>
      </c>
      <c r="G10" s="2162">
        <v>47907</v>
      </c>
      <c r="H10" s="2163" t="str">
        <f t="shared" ca="1" si="1"/>
        <v>崔锴（注册号：2010110070）</v>
      </c>
    </row>
    <row r="11" spans="1:8" ht="24" customHeight="1">
      <c r="A11" s="1218" t="s">
        <v>2149</v>
      </c>
      <c r="B11" s="1218">
        <f ca="1">IF(C11&lt;B2,"已过期",1120070131)</f>
        <v>1120070131</v>
      </c>
      <c r="C11" s="2159">
        <v>45937</v>
      </c>
      <c r="D11" s="2160" t="str">
        <f t="shared" ca="1" si="0"/>
        <v>郑燚（注册号：1120070131）</v>
      </c>
      <c r="E11" s="2161" t="s">
        <v>2149</v>
      </c>
      <c r="F11" s="1218">
        <f ca="1">IF(G11&lt;B2,"已过期",2014110011)</f>
        <v>2014110011</v>
      </c>
      <c r="G11" s="2162">
        <v>49302</v>
      </c>
      <c r="H11" s="2163" t="str">
        <f t="shared" ca="1" si="1"/>
        <v>郑燚（注册号：2014110011）</v>
      </c>
    </row>
    <row r="12" spans="1:8" ht="24" customHeight="1">
      <c r="A12" s="1218" t="s">
        <v>2150</v>
      </c>
      <c r="B12" s="1218">
        <f ca="1">IF(C12&lt;B2,"已过期",1120040230)</f>
        <v>1120040230</v>
      </c>
      <c r="C12" s="2164">
        <v>45937</v>
      </c>
      <c r="D12" s="2160" t="str">
        <f t="shared" ca="1" si="0"/>
        <v>苏海（注册号：1120040230）</v>
      </c>
      <c r="E12" s="2161" t="s">
        <v>2150</v>
      </c>
      <c r="F12" s="1218">
        <f ca="1">IF(G12&lt;B2,"已过期",98030020)</f>
        <v>98030020</v>
      </c>
      <c r="G12" s="2162">
        <v>47118</v>
      </c>
      <c r="H12" s="2163" t="str">
        <f t="shared" ca="1" si="1"/>
        <v>苏海（注册号：98030020）</v>
      </c>
    </row>
    <row r="13" spans="1:8" ht="24" customHeight="1">
      <c r="A13" s="1218" t="s">
        <v>2151</v>
      </c>
      <c r="B13" s="1218" t="str">
        <f ca="1">IF(C13&lt;B2,"已过期",1120020033)</f>
        <v>已过期</v>
      </c>
      <c r="C13" s="2159">
        <v>45375</v>
      </c>
      <c r="D13" s="2160" t="str">
        <f t="shared" ca="1" si="0"/>
        <v>刘敬东（注册号：已过期）</v>
      </c>
      <c r="E13" s="2161" t="s">
        <v>2151</v>
      </c>
      <c r="F13" s="1218">
        <f ca="1">IF(G13&lt;B2,"已过期",2000110137)</f>
        <v>2000110137</v>
      </c>
      <c r="G13" s="2162">
        <v>46387</v>
      </c>
      <c r="H13" s="2163" t="str">
        <f t="shared" ca="1" si="1"/>
        <v>刘敬东（注册号：2000110137）</v>
      </c>
    </row>
    <row r="14" spans="1:8" ht="24" customHeight="1">
      <c r="A14" s="1218" t="s">
        <v>2152</v>
      </c>
      <c r="B14" s="1218" t="str">
        <f ca="1">IF(C14&lt;B2,"已过期",1119980106)</f>
        <v>已过期</v>
      </c>
      <c r="C14" s="2164">
        <v>44969</v>
      </c>
      <c r="D14" s="2160" t="str">
        <f t="shared" ca="1" si="0"/>
        <v>刘俊财（注册号：已过期）</v>
      </c>
      <c r="E14" s="2161" t="s">
        <v>2152</v>
      </c>
      <c r="F14" s="1218">
        <f ca="1">IF(G14&lt;B2,"已过期",96010063)</f>
        <v>96010063</v>
      </c>
      <c r="G14" s="2162">
        <v>47483</v>
      </c>
      <c r="H14" s="2163" t="str">
        <f t="shared" ca="1" si="1"/>
        <v>刘俊财（注册号：96010063）</v>
      </c>
    </row>
    <row r="15" spans="1:8" ht="24" customHeight="1">
      <c r="A15" s="1218" t="s">
        <v>2424</v>
      </c>
      <c r="B15" s="1218">
        <v>1120210056</v>
      </c>
      <c r="C15" s="2164">
        <v>45410</v>
      </c>
      <c r="D15" s="2160" t="str">
        <f t="shared" si="0"/>
        <v>宁小鳗（注册号：1120210056）</v>
      </c>
      <c r="E15" s="2161" t="s">
        <v>2153</v>
      </c>
      <c r="F15" s="1218">
        <f ca="1">IF(G15&lt;B2,"已过期",2011110090)</f>
        <v>2011110090</v>
      </c>
      <c r="G15" s="2162">
        <v>48302</v>
      </c>
      <c r="H15" s="2163" t="str">
        <f t="shared" ca="1" si="1"/>
        <v>赵雯（注册号：2011110090）</v>
      </c>
    </row>
    <row r="16" spans="1:8" ht="24" customHeight="1">
      <c r="A16" s="1218"/>
      <c r="B16" s="1218"/>
      <c r="C16" s="1218"/>
      <c r="D16" s="2160" t="str">
        <f>A16&amp;"（注册号："&amp;B16&amp;"）"</f>
        <v>（注册号：）</v>
      </c>
      <c r="E16" s="2161"/>
      <c r="F16" s="1218"/>
      <c r="G16" s="1218"/>
      <c r="H16" s="2165" t="str">
        <f t="shared" si="1"/>
        <v>（注册号：）</v>
      </c>
    </row>
    <row r="17" spans="1:8" ht="24" customHeight="1">
      <c r="A17" s="3236" t="s">
        <v>2154</v>
      </c>
      <c r="B17" s="3236"/>
      <c r="C17" s="3236"/>
      <c r="D17" s="3236"/>
      <c r="E17" s="3236"/>
      <c r="F17" s="3236"/>
      <c r="G17" s="3236"/>
      <c r="H17" s="3236"/>
    </row>
    <row r="18" spans="1:8" ht="24" customHeight="1">
      <c r="A18" s="3237" t="s">
        <v>2155</v>
      </c>
      <c r="B18" s="3237"/>
      <c r="C18" s="3237"/>
      <c r="D18" s="2157"/>
      <c r="E18" s="3238" t="s">
        <v>2156</v>
      </c>
      <c r="F18" s="3237"/>
      <c r="G18" s="3237"/>
    </row>
    <row r="19" spans="1:8" s="2167" customFormat="1" ht="24" customHeight="1">
      <c r="A19" s="2166" t="s">
        <v>2157</v>
      </c>
      <c r="B19" s="1218" t="s">
        <v>2158</v>
      </c>
      <c r="C19" s="1218" t="s">
        <v>2137</v>
      </c>
      <c r="D19" s="2157"/>
      <c r="E19" s="2161" t="s">
        <v>2157</v>
      </c>
      <c r="F19" s="1218" t="s">
        <v>2158</v>
      </c>
      <c r="G19" s="1218" t="s">
        <v>2137</v>
      </c>
    </row>
    <row r="20" spans="1:8" s="2167" customFormat="1" ht="24" customHeight="1">
      <c r="A20" s="2168" t="s">
        <v>2159</v>
      </c>
      <c r="B20" s="2168" t="s">
        <v>2160</v>
      </c>
      <c r="C20" s="2162">
        <v>45898</v>
      </c>
      <c r="D20" s="2169"/>
      <c r="E20" s="2170" t="s">
        <v>2161</v>
      </c>
      <c r="F20" s="2173" t="s">
        <v>2425</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Sheet1</vt:lpstr>
      <vt:lpstr>Sheet3</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土地案例</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比较法-住宅</vt:lpstr>
      <vt:lpstr>基准地价修正</vt:lpstr>
      <vt:lpstr>Sheet2</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2025-01-16T03:07:19Z</dcterms:modified>
</cp:coreProperties>
</file>