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49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3" i="3" l="1"/>
  <c r="M13" i="3"/>
  <c r="M13" i="78" l="1"/>
  <c r="M12" i="78"/>
  <c r="M7" i="78"/>
  <c r="K4" i="78"/>
  <c r="K3" i="78"/>
  <c r="F70" i="15" l="1"/>
  <c r="Q31" i="1"/>
  <c r="O31" i="1"/>
  <c r="G26" i="78"/>
  <c r="F25" i="78" l="1"/>
  <c r="H8" i="78" s="1"/>
  <c r="H11" i="78"/>
  <c r="F5" i="78"/>
  <c r="F1" i="78"/>
  <c r="H40" i="68"/>
  <c r="U23" i="1"/>
  <c r="O22" i="1"/>
  <c r="O30" i="1" s="1"/>
  <c r="O23" i="1"/>
  <c r="H22" i="68"/>
  <c r="K35" i="43"/>
  <c r="G43" i="43"/>
  <c r="E43" i="43"/>
  <c r="L33" i="43"/>
  <c r="O24" i="1" l="1"/>
  <c r="P23" i="1"/>
  <c r="T28" i="1"/>
  <c r="Q30" i="1"/>
  <c r="Q32" i="1" s="1"/>
  <c r="P32" i="1" s="1"/>
  <c r="O32" i="1"/>
  <c r="U22" i="1"/>
  <c r="U24" i="1" s="1"/>
  <c r="P22" i="1"/>
  <c r="T24" i="1" s="1"/>
  <c r="O28" i="1"/>
  <c r="E25" i="78" l="1"/>
  <c r="D25" i="78" l="1"/>
  <c r="G28" i="78" s="1"/>
  <c r="D39" i="43" l="1"/>
  <c r="D33" i="43"/>
  <c r="B21" i="1"/>
  <c r="AD6" i="1"/>
  <c r="N6" i="1"/>
  <c r="Y6" i="1" s="1"/>
  <c r="E23" i="78"/>
  <c r="D23" i="78"/>
  <c r="L12" i="78"/>
  <c r="Q22" i="1" s="1"/>
  <c r="L11" i="78"/>
  <c r="L10" i="78"/>
  <c r="L9" i="78"/>
  <c r="L8" i="78"/>
  <c r="M10" i="78"/>
  <c r="L3" i="78"/>
  <c r="G19" i="6"/>
  <c r="F19" i="6"/>
  <c r="D29" i="43" s="1"/>
  <c r="S24" i="1" l="1"/>
  <c r="Q6" i="1" s="1"/>
  <c r="M3" i="78"/>
  <c r="L4" i="78"/>
  <c r="O5" i="78" s="1"/>
  <c r="M9" i="78"/>
  <c r="M8" i="78"/>
  <c r="M11" i="78" s="1"/>
  <c r="U6" i="1"/>
  <c r="R22" i="1"/>
  <c r="N3" i="78" l="1"/>
  <c r="M14" i="78"/>
  <c r="N13" i="78" l="1"/>
  <c r="N12" i="78"/>
  <c r="N11" i="78"/>
  <c r="N7" i="78"/>
  <c r="N10" i="78"/>
  <c r="N9" i="78"/>
  <c r="N8" i="78"/>
  <c r="L14" i="78" l="1"/>
  <c r="F49" i="15" s="1"/>
  <c r="G14" i="73"/>
  <c r="F14" i="73"/>
  <c r="E14" i="73"/>
  <c r="Z6" i="1" l="1"/>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C21" i="71"/>
  <c r="C20" i="71" s="1"/>
  <c r="Q22" i="71"/>
  <c r="F21" i="71"/>
  <c r="F20" i="71" s="1"/>
  <c r="F19" i="71" s="1"/>
  <c r="P22" i="71"/>
  <c r="O22" i="71"/>
  <c r="N22" i="71"/>
  <c r="A2" i="53"/>
  <c r="B19" i="72" s="1"/>
  <c r="K59" i="67"/>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M19" i="43" s="1"/>
  <c r="C40" i="71"/>
  <c r="C41" i="71" s="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s="1"/>
  <c r="C57" i="71"/>
  <c r="T57" i="71" s="1"/>
  <c r="D56" i="71"/>
  <c r="P64" i="71"/>
  <c r="E63" i="71"/>
  <c r="P62" i="71" s="1"/>
  <c r="D40" i="71"/>
  <c r="D36" i="71"/>
  <c r="D32" i="71"/>
  <c r="D28" i="71"/>
  <c r="V25" i="71"/>
  <c r="P63" i="71"/>
  <c r="O63" i="71"/>
  <c r="D63" i="71"/>
  <c r="O62"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F103" i="39"/>
  <c r="H29" i="39"/>
  <c r="AB29" i="39" s="1"/>
  <c r="G103" i="39"/>
  <c r="J29" i="39"/>
  <c r="AC29" i="39" s="1"/>
  <c r="G66" i="36"/>
  <c r="J18" i="36"/>
  <c r="AC18" i="36" s="1"/>
  <c r="H18" i="35"/>
  <c r="AB18" i="35" s="1"/>
  <c r="S18" i="35"/>
  <c r="J18" i="35"/>
  <c r="F77" i="37"/>
  <c r="G77" i="37" s="1"/>
  <c r="H21" i="37"/>
  <c r="F21" i="37"/>
  <c r="AA21" i="37" s="1"/>
  <c r="F84" i="34"/>
  <c r="H21" i="34"/>
  <c r="AB21" i="34" s="1"/>
  <c r="H21" i="33"/>
  <c r="U21" i="33" s="1"/>
  <c r="F21" i="33"/>
  <c r="E83" i="21"/>
  <c r="F83" i="21" s="1"/>
  <c r="G83" i="21" s="1"/>
  <c r="S21" i="21"/>
  <c r="H1" i="69"/>
  <c r="W25" i="40"/>
  <c r="U25" i="40"/>
  <c r="U29" i="39"/>
  <c r="W18" i="36"/>
  <c r="AB21" i="37"/>
  <c r="U21" i="37"/>
  <c r="U21" i="34"/>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D86" i="40"/>
  <c r="E86" i="40"/>
  <c r="F86" i="40" s="1"/>
  <c r="G86" i="40" s="1"/>
  <c r="D84" i="40"/>
  <c r="E84" i="40"/>
  <c r="F84" i="40" s="1"/>
  <c r="G84" i="40" s="1"/>
  <c r="B81" i="40"/>
  <c r="B79" i="40"/>
  <c r="H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c r="F91" i="39" s="1"/>
  <c r="G91" i="39" s="1"/>
  <c r="D89" i="39"/>
  <c r="E89" i="39"/>
  <c r="F89" i="39" s="1"/>
  <c r="G89" i="39" s="1"/>
  <c r="B86" i="39"/>
  <c r="B84" i="39"/>
  <c r="F13" i="39" s="1"/>
  <c r="AA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U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s="1"/>
  <c r="F121" i="33" s="1"/>
  <c r="F109" i="33"/>
  <c r="E109" i="33"/>
  <c r="D109" i="33"/>
  <c r="C109" i="33"/>
  <c r="D91" i="33"/>
  <c r="E91" i="33" s="1"/>
  <c r="B88" i="33"/>
  <c r="J26" i="33" s="1"/>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H28" i="21" s="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F21" i="40"/>
  <c r="J21" i="40"/>
  <c r="H42" i="39"/>
  <c r="J34" i="39"/>
  <c r="AC34" i="39" s="1"/>
  <c r="J31" i="39"/>
  <c r="W31" i="39" s="1"/>
  <c r="F101" i="39"/>
  <c r="H27" i="39"/>
  <c r="J19" i="39"/>
  <c r="AC19" i="39" s="1"/>
  <c r="J17" i="39"/>
  <c r="W17" i="39" s="1"/>
  <c r="J27" i="39"/>
  <c r="AC27" i="39" s="1"/>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F37" i="34"/>
  <c r="S35" i="34"/>
  <c r="AA28" i="34"/>
  <c r="F27" i="34"/>
  <c r="AA27" i="34" s="1"/>
  <c r="F25" i="34"/>
  <c r="S25" i="34" s="1"/>
  <c r="H23" i="34"/>
  <c r="U23" i="34" s="1"/>
  <c r="J23" i="34"/>
  <c r="F19" i="34"/>
  <c r="AA19" i="34" s="1"/>
  <c r="H17" i="34"/>
  <c r="U17" i="34" s="1"/>
  <c r="F15" i="34"/>
  <c r="J15" i="34"/>
  <c r="AC15" i="34" s="1"/>
  <c r="H15" i="34"/>
  <c r="AB15" i="34" s="1"/>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s="1"/>
  <c r="J123" i="21" s="1"/>
  <c r="K123" i="21" s="1"/>
  <c r="L123" i="21" s="1"/>
  <c r="M123" i="21" s="1"/>
  <c r="J42" i="21"/>
  <c r="AC42" i="21" s="1"/>
  <c r="H42" i="21"/>
  <c r="U42" i="21" s="1"/>
  <c r="J44" i="34"/>
  <c r="F44" i="34"/>
  <c r="AA44" i="34" s="1"/>
  <c r="J10" i="35"/>
  <c r="BL587" i="3"/>
  <c r="J14" i="21"/>
  <c r="W14" i="21" s="1"/>
  <c r="F14" i="21"/>
  <c r="S14" i="21" s="1"/>
  <c r="H14" i="21"/>
  <c r="U14" i="21" s="1"/>
  <c r="AB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H37" i="37"/>
  <c r="U37" i="37" s="1"/>
  <c r="H40" i="37"/>
  <c r="U40" i="37" s="1"/>
  <c r="J40" i="37"/>
  <c r="F40" i="37"/>
  <c r="AA40" i="37" s="1"/>
  <c r="AC12" i="40"/>
  <c r="H14" i="33"/>
  <c r="U14" i="33" s="1"/>
  <c r="F14" i="33"/>
  <c r="J14" i="33"/>
  <c r="AC14" i="33" s="1"/>
  <c r="H30" i="33"/>
  <c r="AB30" i="33" s="1"/>
  <c r="F30" i="33"/>
  <c r="J30" i="33"/>
  <c r="AC30" i="33" s="1"/>
  <c r="H44" i="33"/>
  <c r="J44" i="33"/>
  <c r="AC44" i="33" s="1"/>
  <c r="F44" i="33"/>
  <c r="J46" i="33"/>
  <c r="AC46" i="33" s="1"/>
  <c r="F46" i="33"/>
  <c r="H46" i="33"/>
  <c r="AB46" i="33" s="1"/>
  <c r="H13" i="34"/>
  <c r="J13" i="34"/>
  <c r="W13" i="34" s="1"/>
  <c r="F13" i="34"/>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c r="F13" i="37"/>
  <c r="S13" i="37"/>
  <c r="J13" i="37"/>
  <c r="W13" i="37"/>
  <c r="AA28" i="37"/>
  <c r="AB38" i="37"/>
  <c r="F43" i="39"/>
  <c r="AA43" i="39"/>
  <c r="H43" i="39"/>
  <c r="J14" i="39"/>
  <c r="F14" i="39"/>
  <c r="S14" i="39" s="1"/>
  <c r="H14" i="39"/>
  <c r="AB14" i="39" s="1"/>
  <c r="F12" i="40"/>
  <c r="S12" i="40" s="1"/>
  <c r="H12" i="40"/>
  <c r="AB12" i="40" s="1"/>
  <c r="H30" i="40"/>
  <c r="AB30" i="40" s="1"/>
  <c r="F33" i="40"/>
  <c r="AA33" i="40" s="1"/>
  <c r="H33" i="40"/>
  <c r="U33" i="40" s="1"/>
  <c r="J35" i="40"/>
  <c r="AC35" i="40" s="1"/>
  <c r="J37" i="40"/>
  <c r="AC37" i="40" s="1"/>
  <c r="U13" i="40"/>
  <c r="F14" i="37"/>
  <c r="S14" i="37"/>
  <c r="F27" i="37"/>
  <c r="AA27" i="37"/>
  <c r="J13" i="39"/>
  <c r="H13" i="39"/>
  <c r="U13" i="39" s="1"/>
  <c r="H14" i="40"/>
  <c r="AB14" i="40"/>
  <c r="J14" i="40"/>
  <c r="W14" i="40"/>
  <c r="F14" i="40"/>
  <c r="AA14" i="40"/>
  <c r="J14" i="37"/>
  <c r="AC14" i="37"/>
  <c r="J27" i="37"/>
  <c r="AC27" i="37"/>
  <c r="U31" i="34"/>
  <c r="U46" i="33"/>
  <c r="J36" i="37"/>
  <c r="AB11" i="35"/>
  <c r="J10" i="36"/>
  <c r="AC10" i="36"/>
  <c r="AB30" i="21"/>
  <c r="AA14" i="37"/>
  <c r="W13" i="36"/>
  <c r="AB46" i="34"/>
  <c r="AA14" i="34"/>
  <c r="AB45"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s="1"/>
  <c r="BA572" i="3"/>
  <c r="BA570" i="3"/>
  <c r="AZ570" i="3" s="1"/>
  <c r="BA568" i="3"/>
  <c r="AZ568" i="3" s="1"/>
  <c r="BA566" i="3"/>
  <c r="BA558" i="3"/>
  <c r="BA556" i="3"/>
  <c r="AZ556" i="3" s="1"/>
  <c r="BA554" i="3"/>
  <c r="AZ554" i="3" s="1"/>
  <c r="BA552" i="3"/>
  <c r="AZ552" i="3" s="1"/>
  <c r="BA548" i="3"/>
  <c r="BA546" i="3"/>
  <c r="BA544" i="3"/>
  <c r="AZ544" i="3" s="1"/>
  <c r="BA542" i="3"/>
  <c r="AZ542" i="3" s="1"/>
  <c r="BA540" i="3"/>
  <c r="BA538" i="3"/>
  <c r="BA536" i="3"/>
  <c r="BA534" i="3"/>
  <c r="BA532" i="3"/>
  <c r="AZ532" i="3" s="1"/>
  <c r="BA530" i="3"/>
  <c r="BA520" i="3"/>
  <c r="BA512" i="3"/>
  <c r="BA510" i="3"/>
  <c r="BA508" i="3"/>
  <c r="AZ508" i="3" s="1"/>
  <c r="BA504" i="3"/>
  <c r="AZ504" i="3" s="1"/>
  <c r="BA502" i="3"/>
  <c r="BA498" i="3"/>
  <c r="BA496" i="3"/>
  <c r="AZ496" i="3" s="1"/>
  <c r="BA587" i="3"/>
  <c r="AZ587" i="3" s="1"/>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s="1"/>
  <c r="H17" i="37"/>
  <c r="U17" i="37" s="1"/>
  <c r="U32" i="33"/>
  <c r="AA36" i="39"/>
  <c r="F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J43" i="33"/>
  <c r="AC43" i="33" s="1"/>
  <c r="U43" i="33"/>
  <c r="S28" i="31"/>
  <c r="S27" i="31"/>
  <c r="S26" i="31"/>
  <c r="U14" i="40"/>
  <c r="AC32" i="36"/>
  <c r="U35" i="35"/>
  <c r="W14" i="37"/>
  <c r="U33" i="37"/>
  <c r="U39"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s="1"/>
  <c r="E94" i="37"/>
  <c r="F31" i="37"/>
  <c r="F12" i="39"/>
  <c r="S12" i="39" s="1"/>
  <c r="J42" i="39"/>
  <c r="H21" i="40"/>
  <c r="F94" i="37"/>
  <c r="G94" i="37" s="1"/>
  <c r="H94" i="37" s="1"/>
  <c r="I94" i="37" s="1"/>
  <c r="J94" i="37" s="1"/>
  <c r="K94" i="37" s="1"/>
  <c r="L94" i="37" s="1"/>
  <c r="M94" i="37" s="1"/>
  <c r="H31" i="37"/>
  <c r="U31" i="37" s="1"/>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s="1"/>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4" i="3"/>
  <c r="AZ28" i="3"/>
  <c r="BL549"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67" i="3"/>
  <c r="AZ71" i="3"/>
  <c r="AZ79" i="3"/>
  <c r="AZ136" i="3"/>
  <c r="AZ152" i="3"/>
  <c r="AZ160" i="3"/>
  <c r="AZ192" i="3"/>
  <c r="AZ101"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BL390" i="3"/>
  <c r="AZ390" i="3" s="1"/>
  <c r="G391" i="3"/>
  <c r="G394" i="3"/>
  <c r="AZ138" i="3"/>
  <c r="AZ142" i="3"/>
  <c r="AZ146" i="3"/>
  <c r="AZ150" i="3"/>
  <c r="AZ158" i="3"/>
  <c r="AZ162" i="3"/>
  <c r="AZ166" i="3"/>
  <c r="AZ170" i="3"/>
  <c r="AZ186" i="3"/>
  <c r="AZ202" i="3"/>
  <c r="AZ206" i="3"/>
  <c r="BA16" i="3"/>
  <c r="BL303" i="3"/>
  <c r="AZ303" i="3" s="1"/>
  <c r="G304" i="3"/>
  <c r="BA306" i="3"/>
  <c r="BL307" i="3"/>
  <c r="AZ307" i="3" s="1"/>
  <c r="G308" i="3"/>
  <c r="BA310" i="3"/>
  <c r="AZ310" i="3"/>
  <c r="BL311" i="3"/>
  <c r="G312" i="3"/>
  <c r="BA314" i="3"/>
  <c r="AZ314" i="3" s="1"/>
  <c r="BL315" i="3"/>
  <c r="AZ315" i="3" s="1"/>
  <c r="G316" i="3"/>
  <c r="BA318" i="3"/>
  <c r="BL319" i="3"/>
  <c r="G320" i="3"/>
  <c r="BA322" i="3"/>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19" i="3"/>
  <c r="G342" i="3"/>
  <c r="BL345" i="3"/>
  <c r="AZ345" i="3"/>
  <c r="G346" i="3"/>
  <c r="BL349" i="3"/>
  <c r="BL352" i="3"/>
  <c r="G353" i="3"/>
  <c r="BA357" i="3"/>
  <c r="AZ357" i="3"/>
  <c r="BL358" i="3"/>
  <c r="AZ358" i="3"/>
  <c r="G359" i="3"/>
  <c r="BA361" i="3"/>
  <c r="AZ361" i="3" s="1"/>
  <c r="BL362" i="3"/>
  <c r="AZ362" i="3" s="1"/>
  <c r="G363" i="3"/>
  <c r="BA365" i="3"/>
  <c r="AZ365" i="3" s="1"/>
  <c r="BL366" i="3"/>
  <c r="G367" i="3"/>
  <c r="BA369" i="3"/>
  <c r="BL370" i="3"/>
  <c r="G371" i="3"/>
  <c r="BA373" i="3"/>
  <c r="AZ373" i="3"/>
  <c r="BL374" i="3"/>
  <c r="AZ374" i="3"/>
  <c r="G375" i="3"/>
  <c r="BA377" i="3"/>
  <c r="AZ229" i="3"/>
  <c r="AZ233" i="3"/>
  <c r="AZ237"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7" i="3"/>
  <c r="AZ295" i="3"/>
  <c r="AZ299" i="3"/>
  <c r="BM5" i="3"/>
  <c r="BJ5" i="3"/>
  <c r="BF5" i="3"/>
  <c r="AC5" i="3"/>
  <c r="G548" i="3"/>
  <c r="G520" i="3"/>
  <c r="BS5" i="3"/>
  <c r="BN5" i="3"/>
  <c r="AZ343" i="3"/>
  <c r="BK5" i="3"/>
  <c r="BG5" i="3"/>
  <c r="BC5" i="3"/>
  <c r="G17" i="3"/>
  <c r="BA17" i="3"/>
  <c r="AZ350" i="3"/>
  <c r="AZ352" i="3"/>
  <c r="AZ356" i="3"/>
  <c r="BA15" i="3"/>
  <c r="AZ388" i="3"/>
  <c r="G509" i="3"/>
  <c r="BL493" i="3"/>
  <c r="AZ491" i="3"/>
  <c r="AZ376"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s="1"/>
  <c r="J106" i="33" s="1"/>
  <c r="K106" i="33" s="1"/>
  <c r="L106" i="33" s="1"/>
  <c r="M106" i="33" s="1"/>
  <c r="J34" i="33"/>
  <c r="W34" i="33" s="1"/>
  <c r="F33" i="34"/>
  <c r="S33" i="34" s="1"/>
  <c r="W12" i="36"/>
  <c r="AC12" i="36"/>
  <c r="H20" i="36"/>
  <c r="U20" i="36" s="1"/>
  <c r="J20" i="36"/>
  <c r="W20" i="36" s="1"/>
  <c r="J27" i="36"/>
  <c r="AB25" i="37"/>
  <c r="AC33" i="40"/>
  <c r="F111" i="40"/>
  <c r="G111" i="40" s="1"/>
  <c r="H111" i="40" s="1"/>
  <c r="I111" i="40" s="1"/>
  <c r="J111" i="40" s="1"/>
  <c r="K111" i="40" s="1"/>
  <c r="L111" i="40" s="1"/>
  <c r="M111" i="40" s="1"/>
  <c r="H35" i="40"/>
  <c r="AB35" i="40" s="1"/>
  <c r="AC29" i="35"/>
  <c r="H35" i="37"/>
  <c r="AC14" i="35"/>
  <c r="H20" i="35"/>
  <c r="U20" i="35" s="1"/>
  <c r="F20" i="35"/>
  <c r="AA20" i="35" s="1"/>
  <c r="AB23" i="35"/>
  <c r="AB29" i="36"/>
  <c r="U29" i="36"/>
  <c r="H32" i="37"/>
  <c r="AB32" i="37" s="1"/>
  <c r="F96" i="37"/>
  <c r="G96" i="37" s="1"/>
  <c r="H96" i="37" s="1"/>
  <c r="I96" i="37" s="1"/>
  <c r="J96" i="37" s="1"/>
  <c r="K96" i="37" s="1"/>
  <c r="L96" i="37" s="1"/>
  <c r="M96" i="37" s="1"/>
  <c r="U27" i="40"/>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86" i="3"/>
  <c r="C40" i="11"/>
  <c r="AZ223" i="3"/>
  <c r="AZ227" i="3"/>
  <c r="AZ235" i="3"/>
  <c r="AZ240" i="3"/>
  <c r="AZ251" i="3"/>
  <c r="AZ256" i="3"/>
  <c r="AZ268" i="3"/>
  <c r="AZ271" i="3"/>
  <c r="AZ296" i="3"/>
  <c r="AZ117" i="3"/>
  <c r="AZ133" i="3"/>
  <c r="AZ29" i="3"/>
  <c r="AZ31" i="3"/>
  <c r="AZ33" i="3"/>
  <c r="AZ37" i="3"/>
  <c r="AZ45" i="3"/>
  <c r="AZ50" i="3"/>
  <c r="AZ66" i="3"/>
  <c r="AZ69" i="3"/>
  <c r="AZ72" i="3"/>
  <c r="AZ74" i="3"/>
  <c r="AZ77" i="3"/>
  <c r="AZ82" i="3"/>
  <c r="AZ86" i="3"/>
  <c r="AZ94" i="3"/>
  <c r="AZ102" i="3"/>
  <c r="AZ110" i="3"/>
  <c r="I20" i="43"/>
  <c r="F23" i="39"/>
  <c r="AA23" i="39"/>
  <c r="H27" i="36"/>
  <c r="U27" i="36"/>
  <c r="F27" i="36"/>
  <c r="AA27" i="36"/>
  <c r="H33" i="34"/>
  <c r="U33" i="34"/>
  <c r="F32" i="37"/>
  <c r="AA32" i="37"/>
  <c r="F20" i="36"/>
  <c r="J33" i="34"/>
  <c r="AC33" i="34" s="1"/>
  <c r="H23" i="39"/>
  <c r="U23" i="39" s="1"/>
  <c r="D48" i="9"/>
  <c r="M52" i="9" s="1"/>
  <c r="K9" i="1"/>
  <c r="AE9" i="1"/>
  <c r="D93" i="9"/>
  <c r="K6" i="1"/>
  <c r="AC26" i="33"/>
  <c r="W27" i="34"/>
  <c r="AB34" i="36"/>
  <c r="U34" i="36"/>
  <c r="AB33" i="36"/>
  <c r="U33" i="36"/>
  <c r="AC12" i="39"/>
  <c r="AC39" i="40"/>
  <c r="W39" i="40"/>
  <c r="AZ412" i="3"/>
  <c r="AZ428" i="3"/>
  <c r="AC12" i="33"/>
  <c r="S32" i="36"/>
  <c r="AA39" i="34"/>
  <c r="BL14" i="3"/>
  <c r="AZ266" i="3"/>
  <c r="U30" i="33"/>
  <c r="AC13" i="34"/>
  <c r="AA47" i="34"/>
  <c r="F12" i="33"/>
  <c r="AA12" i="33" s="1"/>
  <c r="H12" i="39"/>
  <c r="AB12" i="39"/>
  <c r="F39" i="40"/>
  <c r="BA14" i="3"/>
  <c r="AZ367" i="3"/>
  <c r="AZ224" i="3"/>
  <c r="AZ238" i="3"/>
  <c r="AZ254" i="3"/>
  <c r="AZ297" i="3"/>
  <c r="AZ157" i="3"/>
  <c r="AZ181" i="3"/>
  <c r="AZ197" i="3"/>
  <c r="AZ26" i="3"/>
  <c r="AZ35" i="3"/>
  <c r="AZ41" i="3"/>
  <c r="S12" i="1"/>
  <c r="AQ12" i="1" s="1"/>
  <c r="R12" i="1"/>
  <c r="B12" i="1"/>
  <c r="E12" i="1" s="1"/>
  <c r="S10" i="1"/>
  <c r="AQ10" i="1" s="1"/>
  <c r="R10" i="1"/>
  <c r="B10" i="1"/>
  <c r="E10" i="1" s="1"/>
  <c r="AZ80" i="3"/>
  <c r="AZ84"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AC36" i="40"/>
  <c r="W38" i="40"/>
  <c r="AA32" i="40"/>
  <c r="S17" i="40"/>
  <c r="AC17" i="40"/>
  <c r="AC15" i="40"/>
  <c r="AB27" i="40"/>
  <c r="AA19" i="40"/>
  <c r="S28" i="40"/>
  <c r="AB19" i="40"/>
  <c r="S43" i="39"/>
  <c r="U35" i="39"/>
  <c r="F32" i="39"/>
  <c r="F107" i="39"/>
  <c r="G107" i="39" s="1"/>
  <c r="H107" i="39" s="1"/>
  <c r="I107" i="39" s="1"/>
  <c r="J107" i="39" s="1"/>
  <c r="K107" i="39" s="1"/>
  <c r="L107" i="39" s="1"/>
  <c r="M107" i="39" s="1"/>
  <c r="U25" i="39"/>
  <c r="U31" i="39"/>
  <c r="J21" i="39"/>
  <c r="W21" i="39" s="1"/>
  <c r="F21" i="39"/>
  <c r="AA21" i="39" s="1"/>
  <c r="G95" i="39"/>
  <c r="H21" i="39"/>
  <c r="AB21" i="39" s="1"/>
  <c r="W19" i="39"/>
  <c r="S17" i="39"/>
  <c r="S15" i="39"/>
  <c r="AA12" i="39"/>
  <c r="U14" i="39"/>
  <c r="U12" i="39"/>
  <c r="U13" i="36"/>
  <c r="AB27" i="36"/>
  <c r="U26" i="36"/>
  <c r="S33" i="36"/>
  <c r="S27" i="36"/>
  <c r="AA26" i="36"/>
  <c r="S29" i="36"/>
  <c r="AA22" i="36"/>
  <c r="W14" i="36"/>
  <c r="AB14" i="36"/>
  <c r="U22" i="36"/>
  <c r="S16" i="36"/>
  <c r="S24" i="36"/>
  <c r="U23"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U9" i="35" s="1"/>
  <c r="F26" i="35"/>
  <c r="AA26" i="35" s="1"/>
  <c r="J26" i="35"/>
  <c r="AC26" i="35" s="1"/>
  <c r="AB40" i="37"/>
  <c r="W27" i="37"/>
  <c r="AC9" i="37"/>
  <c r="U29" i="37"/>
  <c r="S32" i="37"/>
  <c r="AB31" i="37"/>
  <c r="S36" i="37"/>
  <c r="U32" i="37"/>
  <c r="AC35" i="37"/>
  <c r="W39" i="37"/>
  <c r="S30" i="37"/>
  <c r="S37" i="37"/>
  <c r="AC15" i="37"/>
  <c r="J17" i="37"/>
  <c r="W17" i="37" s="1"/>
  <c r="G73" i="37"/>
  <c r="F17" i="37"/>
  <c r="AA17" i="37" s="1"/>
  <c r="AB17" i="37"/>
  <c r="F75" i="37"/>
  <c r="F19" i="37"/>
  <c r="S19" i="37" s="1"/>
  <c r="F79" i="37"/>
  <c r="F23" i="37"/>
  <c r="U23" i="37"/>
  <c r="U15" i="37"/>
  <c r="AC13" i="37"/>
  <c r="AA13" i="37"/>
  <c r="AA9" i="37"/>
  <c r="H10" i="37"/>
  <c r="AB10" i="37" s="1"/>
  <c r="H60" i="37"/>
  <c r="I60" i="37" s="1"/>
  <c r="F63" i="37"/>
  <c r="G63" i="37" s="1"/>
  <c r="H63" i="37" s="1"/>
  <c r="I63" i="37" s="1"/>
  <c r="J63" i="37" s="1"/>
  <c r="K63" i="37" s="1"/>
  <c r="L63" i="37" s="1"/>
  <c r="M63" i="37" s="1"/>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AB10" i="34" s="1"/>
  <c r="F11" i="34"/>
  <c r="F70" i="34"/>
  <c r="G70" i="34" s="1"/>
  <c r="H70" i="34" s="1"/>
  <c r="I70" i="34" s="1"/>
  <c r="J70" i="34" s="1"/>
  <c r="K70" i="34" s="1"/>
  <c r="L70" i="34" s="1"/>
  <c r="M70" i="34" s="1"/>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c r="W19" i="33"/>
  <c r="J17" i="33"/>
  <c r="AC17" i="33" s="1"/>
  <c r="S15" i="33"/>
  <c r="W15" i="33"/>
  <c r="J10" i="33"/>
  <c r="W10" i="33" s="1"/>
  <c r="H10" i="33"/>
  <c r="AA10" i="33"/>
  <c r="AB14" i="33"/>
  <c r="W43" i="21"/>
  <c r="W36" i="21"/>
  <c r="W41" i="21"/>
  <c r="AB39" i="21"/>
  <c r="AA43" i="21"/>
  <c r="S39" i="21"/>
  <c r="AA38" i="21"/>
  <c r="AA36" i="21"/>
  <c r="AC40" i="21"/>
  <c r="J15" i="21"/>
  <c r="W15" i="21" s="1"/>
  <c r="F77" i="21"/>
  <c r="G77" i="21" s="1"/>
  <c r="F23" i="21"/>
  <c r="E85" i="21"/>
  <c r="F85" i="21" s="1"/>
  <c r="G85" i="21" s="1"/>
  <c r="AC11" i="21"/>
  <c r="AA14" i="21"/>
  <c r="AB8" i="21"/>
  <c r="S8" i="21"/>
  <c r="M1"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G1" i="68"/>
  <c r="K1" i="12"/>
  <c r="E19" i="69"/>
  <c r="E19" i="68"/>
  <c r="E19" i="11"/>
  <c r="E1" i="73"/>
  <c r="G22" i="69"/>
  <c r="G22" i="68"/>
  <c r="G26" i="12"/>
  <c r="G22" i="11"/>
  <c r="C100" i="43"/>
  <c r="C7" i="43"/>
  <c r="E81" i="43"/>
  <c r="B79" i="43" s="1"/>
  <c r="E70" i="43"/>
  <c r="B68" i="43" s="1"/>
  <c r="F100" i="43"/>
  <c r="H17" i="43"/>
  <c r="H8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s="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8" i="33"/>
  <c r="S44" i="21"/>
  <c r="AB42" i="21"/>
  <c r="U28" i="21"/>
  <c r="S45" i="2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S10" i="21" s="1"/>
  <c r="K145" i="21"/>
  <c r="W25" i="21"/>
  <c r="AA29" i="21"/>
  <c r="S27" i="21"/>
  <c r="S17" i="21"/>
  <c r="AA15" i="21"/>
  <c r="AB29" i="21"/>
  <c r="AC34" i="21"/>
  <c r="W10" i="21"/>
  <c r="W12" i="21"/>
  <c r="AB36" i="21"/>
  <c r="C15" i="40"/>
  <c r="C23" i="40"/>
  <c r="U30" i="40"/>
  <c r="B54" i="43"/>
  <c r="B65" i="43"/>
  <c r="B49" i="43"/>
  <c r="B52" i="43"/>
  <c r="B60" i="43"/>
  <c r="B67" i="43"/>
  <c r="D23" i="15"/>
  <c r="D22" i="15"/>
  <c r="E4" i="4"/>
  <c r="B5" i="62" s="1"/>
  <c r="B73" i="72" s="1"/>
  <c r="C4" i="4"/>
  <c r="AQ13" i="1"/>
  <c r="M6" i="1"/>
  <c r="O6" i="1" s="1"/>
  <c r="P6" i="1" s="1"/>
  <c r="T13" i="1"/>
  <c r="S7" i="1"/>
  <c r="AR7" i="1" s="1"/>
  <c r="E7" i="70"/>
  <c r="AA39" i="40"/>
  <c r="S39" i="40"/>
  <c r="S12" i="33"/>
  <c r="J32" i="39"/>
  <c r="AC32" i="39" s="1"/>
  <c r="H32" i="39"/>
  <c r="U32" i="39" s="1"/>
  <c r="AA32" i="39"/>
  <c r="S32" i="39"/>
  <c r="U21" i="39"/>
  <c r="S21" i="39"/>
  <c r="AC21" i="39"/>
  <c r="S26" i="35"/>
  <c r="AB9" i="35"/>
  <c r="S9" i="35"/>
  <c r="W26" i="35"/>
  <c r="S17" i="37"/>
  <c r="J19" i="37"/>
  <c r="G75" i="37"/>
  <c r="J23" i="37"/>
  <c r="W23" i="37" s="1"/>
  <c r="G79" i="37"/>
  <c r="J10" i="37"/>
  <c r="AC10" i="37" s="1"/>
  <c r="H11" i="37"/>
  <c r="U11" i="37" s="1"/>
  <c r="U10" i="37"/>
  <c r="H11" i="34"/>
  <c r="AB11" i="34" s="1"/>
  <c r="U10" i="34"/>
  <c r="J10" i="34"/>
  <c r="W10" i="34" s="1"/>
  <c r="AB41" i="33"/>
  <c r="W35" i="33"/>
  <c r="J36" i="33"/>
  <c r="AC36" i="33" s="1"/>
  <c r="H36" i="33"/>
  <c r="S36" i="33"/>
  <c r="AA36" i="33"/>
  <c r="AC32" i="33"/>
  <c r="U27" i="33"/>
  <c r="AB27" i="33"/>
  <c r="J27" i="33"/>
  <c r="U25" i="33"/>
  <c r="AB25" i="33"/>
  <c r="S25" i="33"/>
  <c r="J25" i="33"/>
  <c r="AB23" i="33"/>
  <c r="U23" i="33"/>
  <c r="F23" i="33"/>
  <c r="AA23" i="33" s="1"/>
  <c r="AC23" i="33"/>
  <c r="W23" i="33"/>
  <c r="AA19" i="33"/>
  <c r="H19" i="33"/>
  <c r="AB19" i="33" s="1"/>
  <c r="H17" i="33"/>
  <c r="U17" i="33" s="1"/>
  <c r="F17" i="33"/>
  <c r="W17" i="33"/>
  <c r="U10" i="33"/>
  <c r="AB10" i="33"/>
  <c r="AC37" i="21"/>
  <c r="J23" i="21"/>
  <c r="W23" i="21" s="1"/>
  <c r="H23" i="21"/>
  <c r="U23" i="21" s="1"/>
  <c r="S13" i="21"/>
  <c r="D6" i="52"/>
  <c r="T8" i="1"/>
  <c r="AP7" i="1"/>
  <c r="AB45" i="21"/>
  <c r="AC33" i="21"/>
  <c r="W33" i="21"/>
  <c r="AA33" i="21"/>
  <c r="W32" i="21"/>
  <c r="AC32" i="21"/>
  <c r="AB9" i="21"/>
  <c r="U9" i="21"/>
  <c r="AC9" i="21"/>
  <c r="AA10" i="21"/>
  <c r="AB32" i="39"/>
  <c r="W19" i="37"/>
  <c r="AC19" i="37"/>
  <c r="AB11" i="37"/>
  <c r="J11" i="37"/>
  <c r="W11" i="37" s="1"/>
  <c r="U11" i="34"/>
  <c r="AC10" i="34"/>
  <c r="J11" i="34"/>
  <c r="W11" i="34" s="1"/>
  <c r="U36" i="33"/>
  <c r="AB36" i="33"/>
  <c r="W27" i="33"/>
  <c r="AC27" i="33"/>
  <c r="W25" i="33"/>
  <c r="AC25" i="33"/>
  <c r="S23" i="33"/>
  <c r="U19" i="33"/>
  <c r="AA17" i="33"/>
  <c r="S17" i="33"/>
  <c r="AC23" i="21"/>
  <c r="AC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C17" i="71" s="1"/>
  <c r="D18" i="71"/>
  <c r="AO13" i="1"/>
  <c r="J15" i="67"/>
  <c r="B11" i="76"/>
  <c r="D7" i="73"/>
  <c r="AO8" i="1"/>
  <c r="L48" i="15"/>
  <c r="F20" i="31"/>
  <c r="F16" i="67"/>
  <c r="F37" i="15"/>
  <c r="D2" i="35"/>
  <c r="F37" i="67"/>
  <c r="AO9" i="1"/>
  <c r="AO7" i="1"/>
  <c r="D2" i="33"/>
  <c r="E11" i="76"/>
  <c r="M26" i="15"/>
  <c r="B9" i="76"/>
  <c r="F26" i="15"/>
  <c r="E8" i="76"/>
  <c r="M9" i="15"/>
  <c r="D2" i="37"/>
  <c r="L48" i="67"/>
  <c r="F38" i="67"/>
  <c r="M28" i="67"/>
  <c r="B8" i="76"/>
  <c r="F3" i="73"/>
  <c r="D3" i="73"/>
  <c r="E9" i="76"/>
  <c r="B13" i="76"/>
  <c r="F7" i="15"/>
  <c r="D2" i="36"/>
  <c r="D2" i="21"/>
  <c r="B12" i="76"/>
  <c r="E2" i="69"/>
  <c r="C76" i="67"/>
  <c r="E12" i="76"/>
  <c r="E13" i="76"/>
  <c r="AO11" i="1"/>
  <c r="M26" i="67"/>
  <c r="AO12" i="1"/>
  <c r="F6" i="73"/>
  <c r="D6" i="73"/>
  <c r="F5" i="73"/>
  <c r="D4" i="73"/>
  <c r="B10" i="76"/>
  <c r="F41" i="67"/>
  <c r="F42" i="15"/>
  <c r="F7" i="73"/>
  <c r="B7" i="76"/>
  <c r="AO10" i="1"/>
  <c r="M6" i="67"/>
  <c r="E10" i="76"/>
  <c r="F4" i="73"/>
  <c r="E7" i="76"/>
  <c r="D2" i="34"/>
  <c r="D5" i="73"/>
  <c r="L27" i="6" l="1"/>
  <c r="E68" i="39"/>
  <c r="H10" i="78"/>
  <c r="W27" i="21"/>
  <c r="AC27" i="21"/>
  <c r="AC9" i="33"/>
  <c r="W9" i="33"/>
  <c r="AB23" i="21"/>
  <c r="W10" i="37"/>
  <c r="AC23" i="37"/>
  <c r="U32" i="21"/>
  <c r="S32" i="21"/>
  <c r="AR8" i="1"/>
  <c r="AB15" i="21"/>
  <c r="AC10" i="33"/>
  <c r="AA19" i="37"/>
  <c r="AC17" i="37"/>
  <c r="D9" i="68"/>
  <c r="C9" i="68" s="1"/>
  <c r="W30" i="40"/>
  <c r="AB20" i="35"/>
  <c r="H78" i="43"/>
  <c r="H81" i="43"/>
  <c r="T12" i="1"/>
  <c r="AZ13" i="3"/>
  <c r="AB20" i="36"/>
  <c r="S30" i="40"/>
  <c r="U35" i="40"/>
  <c r="AZ334" i="3"/>
  <c r="AZ344" i="3"/>
  <c r="AZ329" i="3"/>
  <c r="AZ318" i="3"/>
  <c r="AZ336" i="3"/>
  <c r="AZ322" i="3"/>
  <c r="AZ311" i="3"/>
  <c r="AZ304" i="3"/>
  <c r="AZ583" i="3"/>
  <c r="AZ566" i="3"/>
  <c r="F9" i="33"/>
  <c r="H9" i="33"/>
  <c r="AZ369" i="3"/>
  <c r="AZ389" i="3"/>
  <c r="AZ380" i="3"/>
  <c r="AC12" i="37"/>
  <c r="AZ511" i="3"/>
  <c r="AZ519" i="3"/>
  <c r="AZ536" i="3"/>
  <c r="AZ558" i="3"/>
  <c r="U31" i="33"/>
  <c r="W11" i="36"/>
  <c r="W31" i="34"/>
  <c r="AA13" i="35"/>
  <c r="BL586" i="3"/>
  <c r="BA586" i="3"/>
  <c r="J23" i="35"/>
  <c r="G574" i="3"/>
  <c r="G558" i="3"/>
  <c r="G542" i="3"/>
  <c r="G541" i="3"/>
  <c r="BL540" i="3"/>
  <c r="AZ540" i="3" s="1"/>
  <c r="G540" i="3"/>
  <c r="BA539" i="3"/>
  <c r="BL538" i="3"/>
  <c r="AZ538" i="3" s="1"/>
  <c r="G538" i="3"/>
  <c r="G537" i="3"/>
  <c r="BA535" i="3"/>
  <c r="G535" i="3"/>
  <c r="G534" i="3"/>
  <c r="G533" i="3"/>
  <c r="BA531" i="3"/>
  <c r="G531" i="3"/>
  <c r="BL530" i="3"/>
  <c r="AZ530" i="3" s="1"/>
  <c r="G529" i="3"/>
  <c r="BA528" i="3"/>
  <c r="AZ528" i="3" s="1"/>
  <c r="BA527" i="3"/>
  <c r="G527" i="3"/>
  <c r="BA526" i="3"/>
  <c r="AZ526" i="3" s="1"/>
  <c r="G525" i="3"/>
  <c r="BA524" i="3"/>
  <c r="AZ524" i="3" s="1"/>
  <c r="BA523" i="3"/>
  <c r="BL522" i="3"/>
  <c r="BA522" i="3"/>
  <c r="G522" i="3"/>
  <c r="BL518" i="3"/>
  <c r="BA518" i="3"/>
  <c r="AZ518" i="3" s="1"/>
  <c r="G518" i="3"/>
  <c r="BA517" i="3"/>
  <c r="G517" i="3"/>
  <c r="BA516" i="3"/>
  <c r="AZ516" i="3" s="1"/>
  <c r="BA514" i="3"/>
  <c r="BA513" i="3"/>
  <c r="G513" i="3"/>
  <c r="BL512" i="3"/>
  <c r="AZ512" i="3" s="1"/>
  <c r="G512" i="3"/>
  <c r="BL510" i="3"/>
  <c r="AZ510" i="3" s="1"/>
  <c r="G510" i="3"/>
  <c r="BA507" i="3"/>
  <c r="BA506" i="3"/>
  <c r="AZ506" i="3" s="1"/>
  <c r="G505" i="3"/>
  <c r="G504" i="3"/>
  <c r="BA503" i="3"/>
  <c r="BL502" i="3"/>
  <c r="AZ502" i="3" s="1"/>
  <c r="G502" i="3"/>
  <c r="G501" i="3"/>
  <c r="BL500" i="3"/>
  <c r="BA500" i="3"/>
  <c r="BA499" i="3"/>
  <c r="G498" i="3"/>
  <c r="G497" i="3"/>
  <c r="G496" i="3"/>
  <c r="BT5" i="3"/>
  <c r="BR5" i="3"/>
  <c r="G28" i="6" s="1"/>
  <c r="BA495" i="3"/>
  <c r="BO5" i="3"/>
  <c r="F29" i="6" s="1"/>
  <c r="E29" i="6" s="1"/>
  <c r="K15" i="1" s="1"/>
  <c r="BL494" i="3"/>
  <c r="BH5" i="3"/>
  <c r="BD5" i="3"/>
  <c r="BA494" i="3"/>
  <c r="H5" i="3"/>
  <c r="BP5" i="3"/>
  <c r="G29" i="6" s="1"/>
  <c r="BI5" i="3"/>
  <c r="BE5" i="3"/>
  <c r="E14" i="6" s="1"/>
  <c r="G493" i="3"/>
  <c r="BB5" i="3"/>
  <c r="BL16" i="3"/>
  <c r="AZ16" i="3" s="1"/>
  <c r="A15" i="62"/>
  <c r="B61" i="72" s="1"/>
  <c r="BA581" i="3"/>
  <c r="BA580" i="3"/>
  <c r="AZ580" i="3" s="1"/>
  <c r="BA579" i="3"/>
  <c r="BL578" i="3"/>
  <c r="BA578" i="3"/>
  <c r="BL576" i="3"/>
  <c r="BA576" i="3"/>
  <c r="BA575" i="3"/>
  <c r="BA574" i="3"/>
  <c r="AZ574" i="3" s="1"/>
  <c r="BA564" i="3"/>
  <c r="AZ564" i="3" s="1"/>
  <c r="BA563" i="3"/>
  <c r="BL562" i="3"/>
  <c r="BA562" i="3"/>
  <c r="BL560" i="3"/>
  <c r="BA560" i="3"/>
  <c r="BA559" i="3"/>
  <c r="BA551" i="3"/>
  <c r="BL550"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AZ463" i="3"/>
  <c r="AZ411" i="3"/>
  <c r="AZ414" i="3"/>
  <c r="AZ427" i="3"/>
  <c r="AZ452" i="3"/>
  <c r="AZ470" i="3"/>
  <c r="AZ485" i="3"/>
  <c r="AZ210" i="3"/>
  <c r="BA436" i="3"/>
  <c r="AZ436" i="3" s="1"/>
  <c r="BA437" i="3"/>
  <c r="AZ437" i="3" s="1"/>
  <c r="BA438" i="3"/>
  <c r="BL438" i="3"/>
  <c r="BA439" i="3"/>
  <c r="AZ439" i="3" s="1"/>
  <c r="BL441" i="3"/>
  <c r="AZ441" i="3" s="1"/>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BA464" i="3"/>
  <c r="AZ464" i="3" s="1"/>
  <c r="BA465" i="3"/>
  <c r="AZ465" i="3" s="1"/>
  <c r="G468" i="3"/>
  <c r="BL468" i="3"/>
  <c r="AZ468" i="3" s="1"/>
  <c r="G470" i="3"/>
  <c r="BL470" i="3"/>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G220" i="3"/>
  <c r="BL220" i="3"/>
  <c r="G222" i="3"/>
  <c r="G223" i="3"/>
  <c r="G224" i="3"/>
  <c r="G225" i="3"/>
  <c r="BL225" i="3"/>
  <c r="G227" i="3"/>
  <c r="G228" i="3"/>
  <c r="BL228" i="3"/>
  <c r="AZ228"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AZ25" i="3"/>
  <c r="AZ36" i="3"/>
  <c r="AZ73" i="3"/>
  <c r="V21" i="71"/>
  <c r="E20" i="71"/>
  <c r="E19" i="71" s="1"/>
  <c r="E18" i="71" s="1"/>
  <c r="E17" i="71"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AZ40" i="3" s="1"/>
  <c r="BL42" i="3"/>
  <c r="AZ42" i="3" s="1"/>
  <c r="G45" i="3"/>
  <c r="G46" i="3"/>
  <c r="BL46" i="3"/>
  <c r="AZ46" i="3" s="1"/>
  <c r="G49" i="3"/>
  <c r="BL49" i="3"/>
  <c r="BL51" i="3"/>
  <c r="AZ51" i="3" s="1"/>
  <c r="BA52" i="3"/>
  <c r="AZ52" i="3" s="1"/>
  <c r="BA53" i="3"/>
  <c r="AZ53" i="3" s="1"/>
  <c r="BL55" i="3"/>
  <c r="AZ55" i="3" s="1"/>
  <c r="BA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G76" i="3"/>
  <c r="BL76" i="3"/>
  <c r="G79" i="3"/>
  <c r="G80" i="3"/>
  <c r="G81" i="3"/>
  <c r="BL81" i="3"/>
  <c r="AZ81" i="3" s="1"/>
  <c r="BL83" i="3"/>
  <c r="AZ83" i="3" s="1"/>
  <c r="BL85" i="3"/>
  <c r="AZ85" i="3" s="1"/>
  <c r="BA87" i="3"/>
  <c r="AZ87" i="3" s="1"/>
  <c r="BA88" i="3"/>
  <c r="AZ88" i="3" s="1"/>
  <c r="BA89" i="3"/>
  <c r="AZ89" i="3" s="1"/>
  <c r="BA91" i="3"/>
  <c r="AZ91" i="3" s="1"/>
  <c r="BL93" i="3"/>
  <c r="AZ93" i="3" s="1"/>
  <c r="F3" i="35"/>
  <c r="C44" i="71"/>
  <c r="D44" i="71" s="1"/>
  <c r="D43" i="71"/>
  <c r="D51" i="71"/>
  <c r="C52" i="71"/>
  <c r="T61" i="71"/>
  <c r="X26" i="71"/>
  <c r="AA32" i="71"/>
  <c r="AB20" i="71"/>
  <c r="Y19" i="71"/>
  <c r="Z19" i="71" s="1"/>
  <c r="AA20" i="71"/>
  <c r="BA95" i="3"/>
  <c r="AZ95" i="3" s="1"/>
  <c r="BL97" i="3"/>
  <c r="AZ97" i="3" s="1"/>
  <c r="G99" i="3"/>
  <c r="BL99" i="3"/>
  <c r="G101" i="3"/>
  <c r="G102" i="3"/>
  <c r="G103" i="3"/>
  <c r="BL103" i="3"/>
  <c r="AZ103" i="3" s="1"/>
  <c r="BA104" i="3"/>
  <c r="AZ104" i="3" s="1"/>
  <c r="BA105" i="3"/>
  <c r="AZ105" i="3" s="1"/>
  <c r="BL107" i="3"/>
  <c r="AZ107" i="3" s="1"/>
  <c r="G109" i="3"/>
  <c r="G110" i="3"/>
  <c r="G111" i="3"/>
  <c r="G112" i="3"/>
  <c r="BL112" i="3"/>
  <c r="E59" i="43"/>
  <c r="B57" i="43" s="1"/>
  <c r="AC21" i="21"/>
  <c r="U21" i="21"/>
  <c r="AB21" i="33"/>
  <c r="S21" i="37"/>
  <c r="W29" i="39"/>
  <c r="C29" i="39"/>
  <c r="B66" i="43"/>
  <c r="X28" i="71"/>
  <c r="AB29" i="71"/>
  <c r="AB33" i="71"/>
  <c r="Y15" i="71"/>
  <c r="Z15" i="71" s="1"/>
  <c r="Y14" i="71"/>
  <c r="Z14" i="71" s="1"/>
  <c r="AB15" i="71"/>
  <c r="G11" i="1"/>
  <c r="J51" i="15"/>
  <c r="C77" i="9"/>
  <c r="C74" i="9" s="1"/>
  <c r="C24" i="12"/>
  <c r="C36" i="11"/>
  <c r="C5" i="11"/>
  <c r="E10" i="43"/>
  <c r="E8" i="43"/>
  <c r="E11" i="43"/>
  <c r="E9" i="43"/>
  <c r="M17" i="43"/>
  <c r="L17" i="43"/>
  <c r="N4" i="43"/>
  <c r="M6" i="43"/>
  <c r="M8" i="43"/>
  <c r="M7" i="43"/>
  <c r="M10" i="43"/>
  <c r="N12" i="43"/>
  <c r="M4" i="43"/>
  <c r="H60" i="43"/>
  <c r="H67" i="43"/>
  <c r="H76" i="43"/>
  <c r="H63" i="43"/>
  <c r="H65" i="43"/>
  <c r="M12" i="43"/>
  <c r="M9" i="43"/>
  <c r="F38" i="43"/>
  <c r="C6" i="43"/>
  <c r="F34" i="43"/>
  <c r="F33" i="43"/>
  <c r="H71" i="43"/>
  <c r="N8" i="43"/>
  <c r="M3" i="43"/>
  <c r="H75" i="43"/>
  <c r="F35" i="43"/>
  <c r="F39" i="43"/>
  <c r="M11" i="43"/>
  <c r="F48" i="43"/>
  <c r="C94" i="9"/>
  <c r="C92" i="9"/>
  <c r="F28" i="15"/>
  <c r="C28" i="15" s="1"/>
  <c r="C40" i="69"/>
  <c r="C21" i="69"/>
  <c r="F11" i="12"/>
  <c r="C23" i="12" s="1"/>
  <c r="F34" i="68"/>
  <c r="C36" i="68" s="1"/>
  <c r="D22" i="67"/>
  <c r="G6" i="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J22" i="43"/>
  <c r="H16" i="1"/>
  <c r="Y11" i="43"/>
  <c r="Y13" i="43" s="1"/>
  <c r="AC11" i="43"/>
  <c r="AC13" i="43" s="1"/>
  <c r="AG11" i="43"/>
  <c r="AG13" i="43" s="1"/>
  <c r="Z7" i="43"/>
  <c r="AB11" i="43"/>
  <c r="AB13" i="43" s="1"/>
  <c r="AF11" i="43"/>
  <c r="AF13" i="43" s="1"/>
  <c r="AJ11" i="43"/>
  <c r="AJ13" i="43" s="1"/>
  <c r="T10" i="1"/>
  <c r="H101" i="43"/>
  <c r="H106" i="43" s="1"/>
  <c r="J101" i="43"/>
  <c r="J104" i="43" s="1"/>
  <c r="G101" i="43"/>
  <c r="G105" i="43" s="1"/>
  <c r="T7" i="1"/>
  <c r="AQ7" i="1"/>
  <c r="T9" i="1"/>
  <c r="AR10" i="1"/>
  <c r="O12" i="1"/>
  <c r="P12" i="1" s="1"/>
  <c r="C36" i="69"/>
  <c r="B113" i="43"/>
  <c r="B115" i="43" s="1"/>
  <c r="C115" i="43" s="1"/>
  <c r="L104" i="43"/>
  <c r="G12" i="1"/>
  <c r="G10" i="1"/>
  <c r="G8" i="1"/>
  <c r="A2" i="9"/>
  <c r="A118" i="9"/>
  <c r="D19" i="53"/>
  <c r="C16" i="71"/>
  <c r="T17" i="71"/>
  <c r="D17" i="71"/>
  <c r="U17" i="71" s="1"/>
  <c r="I14" i="74"/>
  <c r="B8" i="74" s="1"/>
  <c r="D127" i="9"/>
  <c r="D13" i="52" s="1"/>
  <c r="D12" i="52"/>
  <c r="AR11" i="1"/>
  <c r="AC17" i="21"/>
  <c r="W17" i="21"/>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S37" i="21"/>
  <c r="D68" i="9"/>
  <c r="T11" i="1"/>
  <c r="F31" i="12"/>
  <c r="C31" i="12" s="1"/>
  <c r="F30" i="68"/>
  <c r="AB33" i="21"/>
  <c r="U33" i="21"/>
  <c r="O11" i="1"/>
  <c r="P11" i="1" s="1"/>
  <c r="L109" i="43"/>
  <c r="L106" i="43"/>
  <c r="L107" i="43"/>
  <c r="L103" i="43"/>
  <c r="D9" i="11"/>
  <c r="C9" i="11" s="1"/>
  <c r="D9" i="69"/>
  <c r="C9" i="69" s="1"/>
  <c r="AZ14" i="3"/>
  <c r="BA5" i="3"/>
  <c r="AA20" i="36"/>
  <c r="S20" i="36"/>
  <c r="AC39" i="39"/>
  <c r="W39" i="39"/>
  <c r="W27" i="36"/>
  <c r="AC27" i="36"/>
  <c r="W37" i="33"/>
  <c r="AC37" i="33"/>
  <c r="E15" i="6"/>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s="1"/>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X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B12" i="70"/>
  <c r="J53" i="67"/>
  <c r="J57" i="67"/>
  <c r="J55" i="67" s="1"/>
  <c r="J58" i="67" s="1"/>
  <c r="Q50" i="67" s="1"/>
  <c r="L56" i="67"/>
  <c r="I54" i="67"/>
  <c r="M7" i="15"/>
  <c r="F50" i="15"/>
  <c r="B7" i="70"/>
  <c r="F69" i="67"/>
  <c r="F66" i="67"/>
  <c r="B11" i="70"/>
  <c r="B8" i="70"/>
  <c r="Q71" i="67"/>
  <c r="C27" i="15"/>
  <c r="F65" i="15"/>
  <c r="B9" i="70"/>
  <c r="B13" i="70"/>
  <c r="F36" i="15"/>
  <c r="F13" i="15"/>
  <c r="M24" i="15"/>
  <c r="F6" i="67"/>
  <c r="F9" i="15"/>
  <c r="F8" i="15"/>
  <c r="M22" i="15"/>
  <c r="L47" i="67"/>
  <c r="F36" i="67"/>
  <c r="M21" i="67"/>
  <c r="F43" i="67"/>
  <c r="M8" i="67"/>
  <c r="M29" i="67"/>
  <c r="F42" i="67"/>
  <c r="F35" i="67"/>
  <c r="M9" i="67"/>
  <c r="F8" i="67"/>
  <c r="M6" i="15"/>
  <c r="F38" i="15"/>
  <c r="F9" i="67"/>
  <c r="M23" i="15"/>
  <c r="M22" i="67"/>
  <c r="M29" i="15"/>
  <c r="M23" i="67"/>
  <c r="F40" i="67"/>
  <c r="G1" i="73"/>
  <c r="F40" i="15"/>
  <c r="F16" i="15"/>
  <c r="F26" i="67"/>
  <c r="M27" i="67"/>
  <c r="F7" i="67"/>
  <c r="F43" i="15"/>
  <c r="M24" i="67"/>
  <c r="J15" i="15"/>
  <c r="L47" i="15"/>
  <c r="C76" i="15"/>
  <c r="M28" i="15"/>
  <c r="M8" i="15"/>
  <c r="F13" i="67"/>
  <c r="F6" i="15"/>
  <c r="E64" i="39" l="1"/>
  <c r="E59" i="40"/>
  <c r="E11" i="6"/>
  <c r="E13" i="6"/>
  <c r="E63" i="39" s="1"/>
  <c r="G102" i="43"/>
  <c r="H107" i="43"/>
  <c r="H104" i="43"/>
  <c r="G103" i="43"/>
  <c r="D118" i="43"/>
  <c r="E118" i="43" s="1"/>
  <c r="F118" i="43" s="1"/>
  <c r="H102" i="43"/>
  <c r="F68" i="39"/>
  <c r="E70" i="39"/>
  <c r="J20" i="67"/>
  <c r="C34" i="67"/>
  <c r="F63" i="67"/>
  <c r="C62" i="67" s="1"/>
  <c r="F51" i="15"/>
  <c r="C49" i="15" s="1"/>
  <c r="F68" i="67"/>
  <c r="C19" i="43"/>
  <c r="G16" i="1"/>
  <c r="F10" i="39" s="1"/>
  <c r="S10" i="39" s="1"/>
  <c r="C53" i="71"/>
  <c r="D52" i="71"/>
  <c r="E16" i="71"/>
  <c r="E15" i="71" s="1"/>
  <c r="E14" i="71" s="1"/>
  <c r="E13" i="71" s="1"/>
  <c r="V17" i="71"/>
  <c r="AZ522" i="3"/>
  <c r="AZ586" i="3"/>
  <c r="AB9" i="33"/>
  <c r="U9" i="33"/>
  <c r="F7" i="36"/>
  <c r="J7" i="37"/>
  <c r="W7" i="37" s="1"/>
  <c r="H7" i="36"/>
  <c r="H7" i="34"/>
  <c r="U7" i="34" s="1"/>
  <c r="F7" i="34"/>
  <c r="E58" i="40"/>
  <c r="C5" i="43"/>
  <c r="G17" i="43"/>
  <c r="C16" i="43" s="1"/>
  <c r="D5" i="43" s="1"/>
  <c r="AZ487" i="3"/>
  <c r="AZ481" i="3"/>
  <c r="AZ454" i="3"/>
  <c r="AZ438" i="3"/>
  <c r="AZ402" i="3"/>
  <c r="AZ550" i="3"/>
  <c r="AZ562" i="3"/>
  <c r="AZ576" i="3"/>
  <c r="AZ578" i="3"/>
  <c r="AC23" i="35"/>
  <c r="W23" i="35"/>
  <c r="AA9" i="33"/>
  <c r="S9" i="33"/>
  <c r="H52" i="43"/>
  <c r="G52" i="43" s="1"/>
  <c r="H53" i="43"/>
  <c r="G53" i="43" s="1"/>
  <c r="H56" i="43"/>
  <c r="G56" i="43" s="1"/>
  <c r="H54" i="43"/>
  <c r="G54" i="43" s="1"/>
  <c r="H48" i="43"/>
  <c r="G48" i="43" s="1"/>
  <c r="H49" i="43"/>
  <c r="G49" i="43" s="1"/>
  <c r="H55" i="43"/>
  <c r="G55" i="43" s="1"/>
  <c r="H51" i="43"/>
  <c r="G51" i="43" s="1"/>
  <c r="H50" i="43"/>
  <c r="G50" i="43" s="1"/>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S6" i="43"/>
  <c r="S4" i="43"/>
  <c r="S7" i="43"/>
  <c r="S3" i="43"/>
  <c r="C23" i="43"/>
  <c r="C21"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J10" i="40"/>
  <c r="W10" i="40" s="1"/>
  <c r="F10" i="40"/>
  <c r="AA10" i="40" s="1"/>
  <c r="H10" i="40"/>
  <c r="U10" i="40" s="1"/>
  <c r="B38" i="72"/>
  <c r="D20" i="53"/>
  <c r="B40" i="72"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J6" i="15"/>
  <c r="J18" i="15"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C15" i="71"/>
  <c r="D16" i="71"/>
  <c r="H7" i="37"/>
  <c r="AB7" i="37" s="1"/>
  <c r="T42" i="37" s="1"/>
  <c r="G42" i="37" s="1"/>
  <c r="B40" i="1"/>
  <c r="AA10" i="39"/>
  <c r="H7" i="33"/>
  <c r="J7" i="33"/>
  <c r="D65" i="40"/>
  <c r="E63" i="40"/>
  <c r="F48" i="35"/>
  <c r="S7" i="36"/>
  <c r="AA7" i="36"/>
  <c r="R36" i="36" s="1"/>
  <c r="AC7" i="37"/>
  <c r="V42" i="37" s="1"/>
  <c r="I42" i="37" s="1"/>
  <c r="AB7" i="36"/>
  <c r="T36" i="36" s="1"/>
  <c r="G36" i="36" s="1"/>
  <c r="U7" i="36"/>
  <c r="AB7" i="34"/>
  <c r="T49" i="34" s="1"/>
  <c r="G49" i="34" s="1"/>
  <c r="AA7" i="34"/>
  <c r="R49" i="34" s="1"/>
  <c r="S7" i="34"/>
  <c r="F7" i="33"/>
  <c r="E58" i="21"/>
  <c r="AC7" i="36"/>
  <c r="V36" i="36" s="1"/>
  <c r="I36" i="36" s="1"/>
  <c r="W7" i="36"/>
  <c r="F7" i="37"/>
  <c r="W7" i="34"/>
  <c r="AC7" i="34"/>
  <c r="V49" i="34" s="1"/>
  <c r="I49" i="34" s="1"/>
  <c r="M17" i="15"/>
  <c r="F59" i="15"/>
  <c r="P24" i="43"/>
  <c r="B66" i="40" s="1"/>
  <c r="P21" i="43"/>
  <c r="P25" i="43"/>
  <c r="P23" i="43"/>
  <c r="B71" i="39" s="1"/>
  <c r="M28" i="43"/>
  <c r="G20" i="43" s="1"/>
  <c r="N28" i="43"/>
  <c r="O28" i="43"/>
  <c r="P28" i="43"/>
  <c r="M11" i="67"/>
  <c r="J10" i="67" s="1"/>
  <c r="F11" i="15"/>
  <c r="M11" i="15"/>
  <c r="F11" i="67"/>
  <c r="F1" i="15"/>
  <c r="Q52" i="15"/>
  <c r="F1" i="67"/>
  <c r="Q52" i="67"/>
  <c r="F41" i="15"/>
  <c r="C14" i="67"/>
  <c r="AE6" i="1"/>
  <c r="C16" i="67"/>
  <c r="C16" i="15"/>
  <c r="C17" i="67"/>
  <c r="G68" i="39" l="1"/>
  <c r="F70" i="39"/>
  <c r="J10" i="39"/>
  <c r="AC10" i="39" s="1"/>
  <c r="H10" i="39"/>
  <c r="AB10" i="39" s="1"/>
  <c r="I34" i="15"/>
  <c r="E41" i="43"/>
  <c r="C41" i="43" s="1"/>
  <c r="C20" i="43"/>
  <c r="M50" i="43"/>
  <c r="N50" i="43" s="1"/>
  <c r="K50" i="43"/>
  <c r="M55" i="43"/>
  <c r="N55" i="43" s="1"/>
  <c r="K55" i="43"/>
  <c r="J55" i="43" s="1"/>
  <c r="D55" i="43" s="1"/>
  <c r="M48" i="43"/>
  <c r="N48" i="43" s="1"/>
  <c r="K48" i="43"/>
  <c r="M56" i="43"/>
  <c r="N56" i="43" s="1"/>
  <c r="K56" i="43"/>
  <c r="M52" i="43"/>
  <c r="N52" i="43" s="1"/>
  <c r="K52" i="43"/>
  <c r="J52" i="43" s="1"/>
  <c r="E12" i="71"/>
  <c r="E11" i="71" s="1"/>
  <c r="E10" i="71" s="1"/>
  <c r="E9" i="71" s="1"/>
  <c r="V13" i="71"/>
  <c r="D53" i="71"/>
  <c r="T53" i="71"/>
  <c r="K51" i="43"/>
  <c r="M51" i="43"/>
  <c r="N51" i="43" s="1"/>
  <c r="K49" i="43"/>
  <c r="M49" i="43"/>
  <c r="N49" i="43" s="1"/>
  <c r="M54" i="43"/>
  <c r="N54" i="43" s="1"/>
  <c r="K54" i="43"/>
  <c r="K53" i="43"/>
  <c r="M53" i="43"/>
  <c r="N53" i="43" s="1"/>
  <c r="S10" i="40"/>
  <c r="AG6" i="1"/>
  <c r="F69" i="15"/>
  <c r="AC10" i="40"/>
  <c r="AB10" i="40"/>
  <c r="F31" i="6"/>
  <c r="U10" i="39"/>
  <c r="J115" i="43"/>
  <c r="K115" i="43" s="1"/>
  <c r="L115" i="43" s="1"/>
  <c r="M115" i="43" s="1"/>
  <c r="Q60" i="15"/>
  <c r="Q61" i="67"/>
  <c r="F59" i="67"/>
  <c r="M17" i="67"/>
  <c r="J10" i="15"/>
  <c r="J5" i="15" s="1"/>
  <c r="J5" i="67"/>
  <c r="J24" i="67" s="1"/>
  <c r="C49" i="67"/>
  <c r="Q74" i="15"/>
  <c r="Q60" i="67"/>
  <c r="U7" i="37"/>
  <c r="C15" i="67"/>
  <c r="C18" i="67"/>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C17" i="15"/>
  <c r="M27" i="15"/>
  <c r="W10" i="39" l="1"/>
  <c r="G70" i="39"/>
  <c r="H68" i="39"/>
  <c r="E6" i="70"/>
  <c r="E2" i="70" s="1"/>
  <c r="J54" i="43"/>
  <c r="D54" i="43"/>
  <c r="J56" i="43"/>
  <c r="D56" i="43"/>
  <c r="J48" i="43"/>
  <c r="D48" i="43"/>
  <c r="D50" i="43"/>
  <c r="J50" i="43"/>
  <c r="J53" i="43"/>
  <c r="D53" i="43"/>
  <c r="J49" i="43"/>
  <c r="D49" i="43"/>
  <c r="J51" i="43"/>
  <c r="D51" i="43"/>
  <c r="E8" i="71"/>
  <c r="E7" i="71" s="1"/>
  <c r="E6" i="71" s="1"/>
  <c r="E5" i="71" s="1"/>
  <c r="V9" i="71"/>
  <c r="J26" i="67"/>
  <c r="J29" i="67" s="1"/>
  <c r="J24" i="15"/>
  <c r="AR6" i="1"/>
  <c r="AQ6" i="1"/>
  <c r="S16" i="1"/>
  <c r="T6" i="1"/>
  <c r="H6" i="3"/>
  <c r="AC6" i="3"/>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14" i="15"/>
  <c r="I68" i="39" l="1"/>
  <c r="H70" i="39"/>
  <c r="C18" i="15"/>
  <c r="C15" i="15"/>
  <c r="E6" i="3"/>
  <c r="E48" i="43"/>
  <c r="B46" i="43" s="1"/>
  <c r="C24" i="43" s="1"/>
  <c r="C66" i="67"/>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68" i="39" l="1"/>
  <c r="I70" i="39"/>
  <c r="C19" i="15"/>
  <c r="T4" i="43"/>
  <c r="V4" i="43" s="1"/>
  <c r="C29" i="43"/>
  <c r="T6" i="43"/>
  <c r="V6" i="43" s="1"/>
  <c r="T13" i="43"/>
  <c r="V13" i="43" s="1"/>
  <c r="T3" i="43"/>
  <c r="V3" i="43" s="1"/>
  <c r="T2" i="43"/>
  <c r="V2" i="43" s="1"/>
  <c r="T7" i="43"/>
  <c r="V7" i="43" s="1"/>
  <c r="T5" i="43"/>
  <c r="V5" i="43" s="1"/>
  <c r="C38" i="43"/>
  <c r="C33" i="43"/>
  <c r="T12" i="43"/>
  <c r="V12" i="43" s="1"/>
  <c r="T15" i="43"/>
  <c r="V15" i="43" s="1"/>
  <c r="T10" i="43"/>
  <c r="V10" i="43" s="1"/>
  <c r="C34" i="43"/>
  <c r="T16" i="43"/>
  <c r="V16" i="43" s="1"/>
  <c r="C39" i="43"/>
  <c r="C35" i="43"/>
  <c r="C36" i="43"/>
  <c r="T8" i="43"/>
  <c r="V8" i="43" s="1"/>
  <c r="C37" i="43"/>
  <c r="T14" i="43"/>
  <c r="V14" i="43" s="1"/>
  <c r="T11" i="43"/>
  <c r="V11" i="43" s="1"/>
  <c r="T9" i="43"/>
  <c r="V9" i="43" s="1"/>
  <c r="C20" i="15"/>
  <c r="C26" i="15" s="1"/>
  <c r="J59" i="67"/>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F7" i="21"/>
  <c r="J48" i="35"/>
  <c r="J70" i="39" l="1"/>
  <c r="K68" i="39"/>
  <c r="C23" i="15"/>
  <c r="C29" i="15" s="1"/>
  <c r="J14" i="15" s="1"/>
  <c r="E37" i="43"/>
  <c r="G37" i="43"/>
  <c r="I37" i="43" s="1"/>
  <c r="E36" i="43"/>
  <c r="G36" i="43"/>
  <c r="I36" i="43" s="1"/>
  <c r="G39" i="43"/>
  <c r="I39" i="43" s="1"/>
  <c r="E39" i="43"/>
  <c r="G34" i="43"/>
  <c r="I34" i="43" s="1"/>
  <c r="E34" i="43"/>
  <c r="G33" i="43"/>
  <c r="I33" i="43" s="1"/>
  <c r="E33" i="43"/>
  <c r="C30" i="43"/>
  <c r="E30" i="43" s="1"/>
  <c r="E29" i="43"/>
  <c r="E35" i="43"/>
  <c r="G35" i="43"/>
  <c r="I35" i="43" s="1"/>
  <c r="E38" i="43"/>
  <c r="G38" i="43"/>
  <c r="I38" i="43" s="1"/>
  <c r="C18" i="12"/>
  <c r="L46" i="67"/>
  <c r="C56" i="67"/>
  <c r="C65" i="67" s="1"/>
  <c r="Q70" i="67"/>
  <c r="C37" i="67"/>
  <c r="C64" i="67"/>
  <c r="R27" i="6"/>
  <c r="R6" i="1"/>
  <c r="C30" i="67"/>
  <c r="C39" i="67" s="1"/>
  <c r="Q69" i="67" s="1"/>
  <c r="J22" i="67"/>
  <c r="J16" i="67" s="1"/>
  <c r="J25" i="67" s="1"/>
  <c r="J7" i="21"/>
  <c r="AC7" i="21" s="1"/>
  <c r="V48" i="21" s="1"/>
  <c r="I48" i="21" s="1"/>
  <c r="I6" i="6"/>
  <c r="I5" i="6"/>
  <c r="C15" i="12"/>
  <c r="C12" i="12"/>
  <c r="C38" i="11"/>
  <c r="C35" i="11"/>
  <c r="F50" i="11"/>
  <c r="F50" i="68"/>
  <c r="F50" i="69"/>
  <c r="C19" i="69"/>
  <c r="C24" i="69" s="1"/>
  <c r="D37" i="69"/>
  <c r="C37" i="69" s="1"/>
  <c r="C33" i="69" s="1"/>
  <c r="C38" i="68"/>
  <c r="C35" i="68"/>
  <c r="C19" i="68"/>
  <c r="D37" i="68"/>
  <c r="C37" i="68" s="1"/>
  <c r="C10" i="71"/>
  <c r="D11" i="71"/>
  <c r="C23" i="69"/>
  <c r="U7" i="21"/>
  <c r="AB7" i="21"/>
  <c r="T48" i="21" s="1"/>
  <c r="G48" i="21" s="1"/>
  <c r="S7" i="21"/>
  <c r="AA7" i="21"/>
  <c r="R48" i="21" s="1"/>
  <c r="J63" i="40"/>
  <c r="I65" i="40"/>
  <c r="K48" i="35"/>
  <c r="L48" i="35" s="1"/>
  <c r="M48" i="35" s="1"/>
  <c r="N48" i="35" s="1"/>
  <c r="O48" i="35" s="1"/>
  <c r="H7" i="35" s="1"/>
  <c r="J7" i="35"/>
  <c r="W7" i="21"/>
  <c r="F35" i="15"/>
  <c r="M21" i="15"/>
  <c r="L68" i="39" l="1"/>
  <c r="K70" i="39"/>
  <c r="Q49" i="15"/>
  <c r="C57" i="15"/>
  <c r="C64" i="15" s="1"/>
  <c r="C80" i="67"/>
  <c r="C79" i="67" s="1"/>
  <c r="J59" i="15"/>
  <c r="J60" i="15" s="1"/>
  <c r="Q48" i="15" s="1"/>
  <c r="C13" i="15"/>
  <c r="Q70" i="15" s="1"/>
  <c r="J13" i="15"/>
  <c r="J23" i="15" s="1"/>
  <c r="J22" i="15"/>
  <c r="C26" i="43"/>
  <c r="C61" i="15"/>
  <c r="C27" i="43"/>
  <c r="C20" i="69"/>
  <c r="C25" i="69" s="1"/>
  <c r="C22" i="69" s="1"/>
  <c r="C40" i="67"/>
  <c r="D2" i="67" s="1"/>
  <c r="C34" i="15"/>
  <c r="C31" i="15" s="1"/>
  <c r="F63" i="15"/>
  <c r="C62" i="15" s="1"/>
  <c r="J20" i="15"/>
  <c r="J17" i="15" s="1"/>
  <c r="R16" i="1"/>
  <c r="C58" i="67"/>
  <c r="C67" i="67" s="1"/>
  <c r="C68" i="67" s="1"/>
  <c r="Q68" i="67"/>
  <c r="C16" i="12"/>
  <c r="C21" i="12" s="1"/>
  <c r="C22" i="12" s="1"/>
  <c r="C30" i="12" s="1"/>
  <c r="C28" i="12" s="1"/>
  <c r="C33" i="68"/>
  <c r="C42" i="68" s="1"/>
  <c r="C39" i="69"/>
  <c r="C43" i="69" s="1"/>
  <c r="C42" i="69"/>
  <c r="C9" i="71"/>
  <c r="D10" i="71"/>
  <c r="C24" i="68"/>
  <c r="C33" i="11"/>
  <c r="W7" i="35"/>
  <c r="AC7" i="35"/>
  <c r="V38" i="35" s="1"/>
  <c r="I38" i="35" s="1"/>
  <c r="J65" i="40"/>
  <c r="K63" i="40"/>
  <c r="I52" i="21"/>
  <c r="J52" i="21" s="1"/>
  <c r="U7" i="35"/>
  <c r="AB7" i="35"/>
  <c r="T38" i="35" s="1"/>
  <c r="G38" i="35" s="1"/>
  <c r="R49" i="21"/>
  <c r="E48" i="21"/>
  <c r="G52" i="21"/>
  <c r="H52" i="21" s="1"/>
  <c r="G53" i="21"/>
  <c r="H53" i="21" s="1"/>
  <c r="F7" i="35"/>
  <c r="E6" i="76"/>
  <c r="L51" i="67"/>
  <c r="L70" i="39" l="1"/>
  <c r="M68" i="39"/>
  <c r="C37" i="15"/>
  <c r="C28" i="69"/>
  <c r="C27" i="69" s="1"/>
  <c r="C31" i="69" s="1"/>
  <c r="C59" i="15"/>
  <c r="C75" i="15"/>
  <c r="C39" i="68"/>
  <c r="C46" i="68" s="1"/>
  <c r="C45" i="68" s="1"/>
  <c r="J16" i="15"/>
  <c r="J25" i="15" s="1"/>
  <c r="J26" i="15" s="1"/>
  <c r="J29" i="15" s="1"/>
  <c r="C30" i="15"/>
  <c r="C39" i="15" s="1"/>
  <c r="C40" i="15" s="1"/>
  <c r="C56" i="15"/>
  <c r="C65" i="15" s="1"/>
  <c r="E2" i="76"/>
  <c r="B2" i="43"/>
  <c r="C43" i="67"/>
  <c r="Q65" i="67"/>
  <c r="Q47" i="67"/>
  <c r="Q53" i="67" s="1"/>
  <c r="L57" i="67"/>
  <c r="L60" i="67" s="1"/>
  <c r="Q66" i="67" s="1"/>
  <c r="Q75" i="67" s="1"/>
  <c r="Q67" i="67"/>
  <c r="C83" i="67"/>
  <c r="C82" i="67" s="1"/>
  <c r="Q56" i="67"/>
  <c r="C45" i="67"/>
  <c r="C46" i="67" s="1"/>
  <c r="C71" i="67"/>
  <c r="L57" i="15"/>
  <c r="L60" i="15" s="1"/>
  <c r="L46" i="15" s="1"/>
  <c r="Q69" i="15"/>
  <c r="Q68" i="15" s="1"/>
  <c r="C27" i="12"/>
  <c r="C25" i="12" s="1"/>
  <c r="C32" i="12" s="1"/>
  <c r="B2" i="12" s="1"/>
  <c r="B3" i="12" s="1"/>
  <c r="C41" i="69"/>
  <c r="C39" i="11"/>
  <c r="C42" i="11"/>
  <c r="C8" i="71"/>
  <c r="T9" i="71"/>
  <c r="D9" i="71"/>
  <c r="U9" i="71"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B2" i="67"/>
  <c r="B3" i="67"/>
  <c r="B6" i="76"/>
  <c r="L51" i="15"/>
  <c r="M70" i="39" l="1"/>
  <c r="N68" i="39"/>
  <c r="C43" i="68"/>
  <c r="C41" i="68" s="1"/>
  <c r="C49" i="68" s="1"/>
  <c r="C51" i="68" s="1"/>
  <c r="C58" i="15"/>
  <c r="C67" i="15" s="1"/>
  <c r="C68" i="15" s="1"/>
  <c r="C71" i="15" s="1"/>
  <c r="C80" i="15"/>
  <c r="C79" i="15" s="1"/>
  <c r="Q67" i="15"/>
  <c r="B2" i="76"/>
  <c r="B3" i="76" s="1"/>
  <c r="C6" i="68"/>
  <c r="B3" i="43"/>
  <c r="C49" i="69"/>
  <c r="C51" i="69" s="1"/>
  <c r="C52" i="69" s="1"/>
  <c r="B2" i="69" s="1"/>
  <c r="B3" i="69" s="1"/>
  <c r="Q57" i="67"/>
  <c r="Q62" i="67" s="1"/>
  <c r="Q57" i="15"/>
  <c r="Q66" i="15"/>
  <c r="Q56" i="15"/>
  <c r="Q62" i="15" s="1"/>
  <c r="C83" i="15"/>
  <c r="C82" i="15" s="1"/>
  <c r="B2" i="15"/>
  <c r="Q65" i="15"/>
  <c r="Q47" i="15"/>
  <c r="Q53" i="15" s="1"/>
  <c r="C43" i="15"/>
  <c r="C7" i="71"/>
  <c r="D8" i="71"/>
  <c r="C46" i="11"/>
  <c r="C45" i="11" s="1"/>
  <c r="C43" i="11"/>
  <c r="C41" i="11" s="1"/>
  <c r="R39" i="35"/>
  <c r="E38" i="35"/>
  <c r="M63" i="40"/>
  <c r="L65" i="40"/>
  <c r="AO6" i="1"/>
  <c r="D19" i="9"/>
  <c r="N70" i="39" l="1"/>
  <c r="O68" i="39"/>
  <c r="O70" i="39" s="1"/>
  <c r="F7" i="39"/>
  <c r="Q75" i="15"/>
  <c r="C46" i="15"/>
  <c r="C7" i="68"/>
  <c r="C5" i="68" s="1"/>
  <c r="D102" i="9"/>
  <c r="D21" i="9"/>
  <c r="B6" i="70"/>
  <c r="B2" i="70" s="1"/>
  <c r="B3" i="70" s="1"/>
  <c r="B3" i="15"/>
  <c r="D7" i="71"/>
  <c r="C6" i="71"/>
  <c r="C49" i="11"/>
  <c r="C51" i="11" s="1"/>
  <c r="C57" i="69"/>
  <c r="C56" i="69" s="1"/>
  <c r="C39" i="35"/>
  <c r="B2" i="35" s="1"/>
  <c r="B3" i="35" s="1"/>
  <c r="C38" i="35"/>
  <c r="N63" i="40"/>
  <c r="M65" i="40"/>
  <c r="E43" i="35"/>
  <c r="F43" i="35" s="1"/>
  <c r="E42" i="35"/>
  <c r="F42" i="35" s="1"/>
  <c r="I43" i="35"/>
  <c r="J43" i="35" s="1"/>
  <c r="D20" i="9"/>
  <c r="E2" i="68"/>
  <c r="AA7" i="39" l="1"/>
  <c r="R47" i="39" s="1"/>
  <c r="S7" i="39"/>
  <c r="J7" i="39"/>
  <c r="H7" i="39"/>
  <c r="C23" i="68"/>
  <c r="C20" i="68"/>
  <c r="C25" i="68" s="1"/>
  <c r="D103" i="9"/>
  <c r="C5" i="71"/>
  <c r="D6" i="71"/>
  <c r="C52" i="11"/>
  <c r="B2" i="11" s="1"/>
  <c r="B3" i="11" s="1"/>
  <c r="O63" i="40"/>
  <c r="O65" i="40" s="1"/>
  <c r="N65" i="40"/>
  <c r="AB7" i="39" l="1"/>
  <c r="T47" i="39" s="1"/>
  <c r="G47" i="39" s="1"/>
  <c r="U7" i="39"/>
  <c r="AC7" i="39"/>
  <c r="V47" i="39" s="1"/>
  <c r="I47" i="39" s="1"/>
  <c r="W7" i="39"/>
  <c r="R48" i="39"/>
  <c r="E47" i="39"/>
  <c r="C28" i="68"/>
  <c r="C27" i="68" s="1"/>
  <c r="C22" i="68"/>
  <c r="C56" i="11"/>
  <c r="C57" i="11" s="1"/>
  <c r="D5" i="71"/>
  <c r="M20" i="43"/>
  <c r="J7" i="40"/>
  <c r="F7" i="40"/>
  <c r="H7" i="40"/>
  <c r="E52" i="39" l="1"/>
  <c r="F52" i="39" s="1"/>
  <c r="E51" i="39"/>
  <c r="F51" i="39" s="1"/>
  <c r="C48" i="39"/>
  <c r="C47" i="39"/>
  <c r="I51" i="39"/>
  <c r="J51" i="39" s="1"/>
  <c r="I52" i="39"/>
  <c r="J52" i="39" s="1"/>
  <c r="G51" i="39"/>
  <c r="H51" i="39" s="1"/>
  <c r="G52" i="39"/>
  <c r="H52" i="39" s="1"/>
  <c r="C31" i="68"/>
  <c r="C52" i="68"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B2" i="68"/>
  <c r="C57" i="68"/>
  <c r="C56" i="68" s="1"/>
  <c r="I46" i="40"/>
  <c r="J46" i="40" s="1"/>
  <c r="R43" i="40"/>
  <c r="E42" i="40"/>
  <c r="G47" i="40"/>
  <c r="H47" i="40" s="1"/>
  <c r="G46" i="40"/>
  <c r="H46" i="40" s="1"/>
  <c r="C19" i="9"/>
  <c r="D22" i="9" l="1"/>
  <c r="C21" i="9"/>
  <c r="G19" i="9"/>
  <c r="C102" i="9"/>
  <c r="B3" i="68"/>
  <c r="C42" i="40"/>
  <c r="C43" i="40"/>
  <c r="E47" i="40"/>
  <c r="F47" i="40" s="1"/>
  <c r="E46" i="40"/>
  <c r="F46" i="40" s="1"/>
  <c r="I47" i="40"/>
  <c r="J47" i="40" s="1"/>
  <c r="D35" i="9"/>
  <c r="D34" i="9"/>
  <c r="C20" i="9"/>
  <c r="C103" i="9" l="1"/>
  <c r="G20" i="9"/>
  <c r="C32" i="9" s="1"/>
  <c r="C35" i="9" s="1"/>
  <c r="C34" i="9" s="1"/>
  <c r="D118" i="9" s="1"/>
  <c r="G21" i="9"/>
  <c r="J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H4" i="52" s="1"/>
  <c r="D4" i="52"/>
  <c r="B47" i="72" s="1"/>
  <c r="D119" i="9"/>
  <c r="D5" i="52" s="1"/>
  <c r="B49" i="72" s="1"/>
  <c r="D14" i="74" l="1"/>
  <c r="E14" i="74" s="1"/>
  <c r="G118" i="9"/>
  <c r="G4" i="52" s="1"/>
  <c r="B52" i="72" s="1"/>
  <c r="F4" i="52"/>
  <c r="B51" i="72" s="1"/>
  <c r="H101" i="9"/>
  <c r="D5" i="53" s="1"/>
  <c r="B20" i="72" s="1"/>
  <c r="H119" i="9"/>
  <c r="H5" i="52" s="1"/>
  <c r="I118" i="9"/>
  <c r="E118" i="9" s="1"/>
  <c r="E4" i="52" s="1"/>
  <c r="B48" i="72" s="1"/>
  <c r="C104" i="9"/>
  <c r="F14" i="74" l="1"/>
  <c r="B5" i="74"/>
  <c r="C5" i="74" s="1"/>
  <c r="C105" i="9"/>
  <c r="D6" i="53"/>
  <c r="B22" i="72" s="1"/>
  <c r="H107" i="9"/>
  <c r="D122" i="9" s="1"/>
  <c r="D8" i="52" s="1"/>
  <c r="D45" i="9"/>
  <c r="C64" i="9" s="1"/>
  <c r="C63" i="9" s="1"/>
  <c r="C67" i="9" s="1"/>
  <c r="C68" i="9" s="1"/>
  <c r="D54" i="9" s="1"/>
  <c r="M48" i="9"/>
  <c r="H102" i="9"/>
  <c r="D7" i="53" s="1"/>
  <c r="B21" i="72" s="1"/>
  <c r="I4" i="52"/>
  <c r="C93" i="9"/>
  <c r="C86" i="9" s="1"/>
  <c r="D5" i="74"/>
  <c r="H108" i="9" l="1"/>
  <c r="D15" i="53" s="1"/>
  <c r="B31" i="72" s="1"/>
  <c r="G14" i="74"/>
  <c r="B6" i="74" s="1"/>
  <c r="C6" i="74" s="1"/>
  <c r="D13" i="53"/>
  <c r="D14" i="53" s="1"/>
  <c r="B32" i="72" s="1"/>
  <c r="D123" i="9"/>
  <c r="D9" i="52" s="1"/>
  <c r="M49" i="9"/>
  <c r="L66" i="9" s="1"/>
  <c r="M66" i="9" s="1"/>
  <c r="C85" i="9"/>
  <c r="C95" i="9" s="1"/>
  <c r="C96" i="9" s="1"/>
  <c r="E96" i="9" s="1"/>
  <c r="E97" i="9" s="1"/>
  <c r="D55" i="9"/>
  <c r="M53" i="9" s="1"/>
  <c r="D52" i="9"/>
  <c r="C72" i="9"/>
  <c r="C78" i="9"/>
  <c r="C73" i="9" s="1"/>
  <c r="D53" i="9"/>
  <c r="D59" i="9"/>
  <c r="M55" i="9" s="1"/>
  <c r="D6" i="74" l="1"/>
  <c r="L68" i="9"/>
  <c r="M68" i="9" s="1"/>
  <c r="L67" i="9"/>
  <c r="M67" i="9" s="1"/>
  <c r="C97" i="9"/>
  <c r="D58" i="9" s="1"/>
  <c r="D56" i="9" s="1"/>
  <c r="M54" i="9" s="1"/>
  <c r="B30" i="72"/>
  <c r="L63" i="9"/>
  <c r="M63" i="9" s="1"/>
  <c r="L64" i="9"/>
  <c r="M64" i="9" s="1"/>
  <c r="L65" i="9"/>
  <c r="M65" i="9" s="1"/>
  <c r="C79" i="9"/>
  <c r="N57" i="9"/>
  <c r="N58" i="9" s="1"/>
  <c r="N59" i="9" l="1"/>
  <c r="N60" i="9" s="1"/>
  <c r="M69" i="9"/>
  <c r="N69" i="9" s="1"/>
  <c r="P57" i="9"/>
  <c r="C80" i="9"/>
  <c r="E80" i="9" s="1"/>
  <c r="E81"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<sst xmlns="http://schemas.openxmlformats.org/spreadsheetml/2006/main" count="7428" uniqueCount="3186">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</sst>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181" fontId="54" fillId="9" borderId="24" xfId="0" applyNumberFormat="1" applyFont="1" applyFill="1" applyBorder="1" applyAlignment="1" applyProtection="1">
      <alignment horizontal="center" vertical="center"/>
      <protection locked="0"/>
    </xf>
    <xf numFmtId="0" fontId="0" fillId="9"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65651</v>
      </c>
    </row>
    <row r="21" spans="1:2" s="1337" customFormat="1">
      <c r="A21" s="1335" t="s">
        <v>1143</v>
      </c>
      <c r="B21" s="1336">
        <f ca="1">'预评函-2'!D7</f>
        <v>12839</v>
      </c>
    </row>
    <row r="22" spans="1:2" s="1337" customFormat="1">
      <c r="A22" s="1335" t="s">
        <v>1144</v>
      </c>
      <c r="B22" s="1336" t="str">
        <f ca="1">'预评函-2'!D6</f>
        <v>陆亿伍仟陆佰伍拾壹万元整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65651</v>
      </c>
    </row>
    <row r="31" spans="1:2" s="1337" customFormat="1">
      <c r="A31" s="1335" t="s">
        <v>1182</v>
      </c>
      <c r="B31" s="1336">
        <f ca="1">'预评函-2'!D15</f>
        <v>12839</v>
      </c>
    </row>
    <row r="32" spans="1:2" s="1337" customFormat="1">
      <c r="A32" s="1335" t="s">
        <v>1149</v>
      </c>
      <c r="B32" s="1336" t="str">
        <f ca="1">'预评函-2'!D14</f>
        <v>陆亿伍仟陆佰伍拾壹万元整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53834</v>
      </c>
    </row>
    <row r="48" spans="1:2" s="1337" customFormat="1">
      <c r="A48" s="1335" t="s">
        <v>1155</v>
      </c>
      <c r="B48" s="1336">
        <f ca="1">'预评函-3'!E4</f>
        <v>10528</v>
      </c>
    </row>
    <row r="49" spans="1:2" s="1337" customFormat="1">
      <c r="A49" s="1335" t="s">
        <v>1156</v>
      </c>
      <c r="B49" s="1336" t="str">
        <f ca="1">'预评函-3'!D5</f>
        <v>伍亿叁仟捌佰叁拾肆万元整</v>
      </c>
    </row>
    <row r="50" spans="1:2" s="1337" customFormat="1">
      <c r="A50" s="1335" t="s">
        <v>1180</v>
      </c>
      <c r="B50" s="1336" t="str">
        <f>'预评函-3'!F2</f>
        <v>在建建筑物价值</v>
      </c>
    </row>
    <row r="51" spans="1:2" s="1337" customFormat="1">
      <c r="A51" s="1335" t="s">
        <v>1157</v>
      </c>
      <c r="B51" s="1336">
        <f ca="1">'预评函-3'!F4</f>
        <v>11817</v>
      </c>
    </row>
    <row r="52" spans="1:2" s="1337" customFormat="1">
      <c r="A52" s="1335" t="s">
        <v>1158</v>
      </c>
      <c r="B52" s="1336">
        <f ca="1">'预评函-3'!G4</f>
        <v>2311</v>
      </c>
    </row>
    <row r="53" spans="1:2" s="1337" customFormat="1">
      <c r="A53" s="1335" t="s">
        <v>1186</v>
      </c>
      <c r="B53" s="1336" t="str">
        <f ca="1">'预评函-3'!F5</f>
        <v>壹亿壹仟捌佰壹拾柒万元整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7" t="str">
        <f>IF(B10="北京市","北京市",C10)&amp;F10&amp;IF(结果表!G1="在建","出让国有建设用地使用权及在建建筑物",IF(结果表!G1="土地","出让国有建设用地使用权",))&amp;B9&amp;"预评估"</f>
        <v>北京市房地产抵押价值预评估</v>
      </c>
      <c r="C1" s="3258"/>
      <c r="D1" s="3258"/>
      <c r="E1" s="3258"/>
      <c r="F1" s="3258"/>
      <c r="G1" s="3258"/>
      <c r="H1" s="3258"/>
      <c r="I1" s="3259"/>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60"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61"/>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27.16</v>
      </c>
      <c r="F15" s="2606" t="str">
        <f>IF(B12="出让",IF(F13="","",ROUNDDOWN(MIN((F13-$D$3)/365,F14),2)),F14)</f>
        <v/>
      </c>
      <c r="G15" s="2606">
        <f>IF(B12="出让",IF(G13="","",ROUNDDOWN(MIN((G13-$D$3)/365,G14),2)),G14)</f>
        <v>37.159999999999997</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67"/>
      <c r="C16" s="3268"/>
      <c r="D16" s="3269"/>
      <c r="E16" s="2609" t="s">
        <v>2878</v>
      </c>
      <c r="F16" s="3270"/>
      <c r="G16" s="3271"/>
      <c r="H16" s="3271"/>
      <c r="I16" s="3272"/>
      <c r="J16" s="2635"/>
      <c r="K16" s="2814"/>
      <c r="L16" s="2647"/>
      <c r="M16" s="2647"/>
      <c r="N16" s="2705"/>
      <c r="O16" s="2647"/>
      <c r="P16" s="2705"/>
      <c r="Q16" s="2635"/>
      <c r="R16" s="2635"/>
    </row>
    <row r="17" spans="1:28">
      <c r="A17" s="319" t="s">
        <v>2879</v>
      </c>
      <c r="B17" s="308" t="s">
        <v>2880</v>
      </c>
      <c r="C17" s="11">
        <f>'数据-汇总表'!E3</f>
        <v>51136.03</v>
      </c>
      <c r="D17" s="2515" t="s">
        <v>2881</v>
      </c>
      <c r="E17" s="3273" t="s">
        <v>2882</v>
      </c>
      <c r="F17" s="3274"/>
      <c r="G17" s="3274"/>
      <c r="H17" s="3274"/>
      <c r="I17" s="3275"/>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76" t="s">
        <v>2886</v>
      </c>
      <c r="F18" s="3277"/>
      <c r="G18" s="3277"/>
      <c r="H18" s="3277"/>
      <c r="I18" s="3278"/>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63" t="s">
        <v>2890</v>
      </c>
      <c r="C20" s="3264"/>
      <c r="D20" s="3265" t="s">
        <v>2891</v>
      </c>
      <c r="E20" s="3266"/>
      <c r="F20" s="2844" t="s">
        <v>1681</v>
      </c>
      <c r="G20" s="2861"/>
      <c r="H20" s="2861"/>
      <c r="I20" s="2861"/>
      <c r="J20" s="2635"/>
      <c r="K20" s="3262"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0"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0"/>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0"/>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1"/>
      <c r="B30" s="308" t="s">
        <v>2902</v>
      </c>
      <c r="C30" s="3282"/>
      <c r="D30" s="3283"/>
      <c r="E30" s="2861"/>
      <c r="F30" s="2861"/>
      <c r="G30" s="2861"/>
      <c r="H30" s="2861"/>
      <c r="I30" s="2861"/>
      <c r="J30" s="2635"/>
      <c r="K30" s="2812"/>
      <c r="L30" s="2809"/>
      <c r="M30" s="2809"/>
      <c r="N30" s="2635"/>
      <c r="O30" s="2646"/>
      <c r="P30" s="2635"/>
      <c r="Q30" s="2635"/>
      <c r="R30" s="2635"/>
      <c r="S30" s="2635"/>
      <c r="T30" s="2635"/>
      <c r="U30" s="2635"/>
      <c r="V30" s="2635"/>
    </row>
    <row r="31" spans="1:28">
      <c r="A31" s="3284"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5"/>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5"/>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79" t="s">
        <v>2912</v>
      </c>
      <c r="T34" s="2624" t="str">
        <f>NUMBERSTRING(7-K34,1)&amp;"通"</f>
        <v>七通</v>
      </c>
      <c r="U34" s="2635"/>
      <c r="V34" s="2635"/>
    </row>
    <row r="35" spans="1:30">
      <c r="A35" s="2625"/>
      <c r="B35" s="3286" t="s">
        <v>2913</v>
      </c>
      <c r="C35" s="3286"/>
      <c r="D35" s="3286"/>
      <c r="E35" s="3286"/>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43965.43</v>
      </c>
      <c r="J5" s="16">
        <f t="shared" si="0"/>
        <v>0</v>
      </c>
      <c r="K5" s="16">
        <f t="shared" si="0"/>
        <v>5875.41</v>
      </c>
      <c r="L5" s="16">
        <f t="shared" si="0"/>
        <v>0</v>
      </c>
      <c r="M5" s="16">
        <f t="shared" si="0"/>
        <v>1295.19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43965.43</v>
      </c>
      <c r="BC5" s="18">
        <f t="shared" si="1"/>
        <v>5875.41</v>
      </c>
      <c r="BD5" s="18">
        <f t="shared" si="1"/>
        <v>1295.19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21989.399999999998</v>
      </c>
      <c r="F6" s="16" t="s">
        <v>1</v>
      </c>
      <c r="G6" s="16" t="s">
        <v>2</v>
      </c>
      <c r="H6" s="20">
        <f>SUMIF(I$12:AB$12,"总值",I6:AB6)</f>
        <v>21989.399999999998</v>
      </c>
      <c r="I6" s="16">
        <f t="shared" ref="I6:AB6" si="2">ROUND($A$3*I5/$B$3,2)</f>
        <v>18905.919999999998</v>
      </c>
      <c r="J6" s="16">
        <f t="shared" si="2"/>
        <v>0</v>
      </c>
      <c r="K6" s="16">
        <f t="shared" si="2"/>
        <v>2526.5300000000002</v>
      </c>
      <c r="L6" s="16">
        <f t="shared" si="2"/>
        <v>0</v>
      </c>
      <c r="M6" s="16">
        <f t="shared" si="2"/>
        <v>556.95000000000005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18905.919999999998</v>
      </c>
      <c r="BC6" s="16">
        <f t="shared" ref="BC6:BH6" si="4">ROUND($AY$6*BC5/$AZ$5,2)</f>
        <v>2526.5300000000002</v>
      </c>
      <c r="BD6" s="16">
        <f t="shared" si="4"/>
        <v>556.95000000000005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f>45260.62-M13</f>
        <v>43965.43</v>
      </c>
      <c r="J13" s="1781"/>
      <c r="K13" s="1781">
        <v>5875.41</v>
      </c>
      <c r="L13" s="1781"/>
      <c r="M13" s="1781">
        <f>8400.16-5875.41-1229.56</f>
        <v>1295.19</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43965.43</v>
      </c>
      <c r="BC13" s="16">
        <f>IF($D13="是",K13-L13,0)</f>
        <v>5875.41</v>
      </c>
      <c r="BD13" s="16">
        <f>IF($D13="是",M13-N13,0)</f>
        <v>1295.19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7" t="s">
        <v>0</v>
      </c>
      <c r="B1" s="3287" t="s">
        <v>4</v>
      </c>
      <c r="C1" s="3287" t="s">
        <v>5</v>
      </c>
      <c r="D1" s="3288" t="s">
        <v>53</v>
      </c>
      <c r="E1" s="3288" t="s">
        <v>54</v>
      </c>
      <c r="F1" s="3288"/>
      <c r="G1" s="3288"/>
      <c r="H1" s="3288"/>
      <c r="I1" s="3288"/>
      <c r="J1" s="3288"/>
      <c r="K1" s="3288"/>
      <c r="L1" s="3288"/>
      <c r="M1" s="3288"/>
    </row>
    <row r="2" spans="1:13" ht="27" customHeight="1">
      <c r="A2" s="3287"/>
      <c r="B2" s="3287"/>
      <c r="C2" s="3287"/>
      <c r="D2" s="3288"/>
      <c r="E2" s="3288" t="s">
        <v>37</v>
      </c>
      <c r="F2" s="3288" t="s">
        <v>38</v>
      </c>
      <c r="G2" s="3288"/>
      <c r="H2" s="3288"/>
      <c r="I2" s="3288"/>
      <c r="J2" s="3288" t="s">
        <v>39</v>
      </c>
      <c r="K2" s="3288"/>
      <c r="L2" s="3288"/>
      <c r="M2" s="3288"/>
    </row>
    <row r="3" spans="1:13" ht="28.5">
      <c r="A3" s="3287"/>
      <c r="B3" s="3287"/>
      <c r="C3" s="3287"/>
      <c r="D3" s="3288"/>
      <c r="E3" s="32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8" t="s">
        <v>55</v>
      </c>
      <c r="B9" s="3288"/>
      <c r="C9" s="32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0" zoomScaleNormal="100" zoomScaleSheetLayoutView="80" workbookViewId="0">
      <selection activeCell="F39" sqref="F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8" t="s">
        <v>1756</v>
      </c>
      <c r="B2" s="3298"/>
      <c r="C2" s="3298"/>
      <c r="D2" s="904" t="s">
        <v>1732</v>
      </c>
      <c r="E2" s="1794" t="s">
        <v>1733</v>
      </c>
      <c r="F2" s="2856"/>
      <c r="G2" s="2847"/>
      <c r="H2" s="2848"/>
      <c r="I2" s="2518" t="s">
        <v>1757</v>
      </c>
      <c r="J2" s="2856"/>
      <c r="K2" s="2856"/>
      <c r="L2" s="2856"/>
      <c r="M2" s="2856"/>
      <c r="N2" s="2858"/>
      <c r="O2" s="2856"/>
      <c r="P2" s="2856"/>
    </row>
    <row r="3" spans="1:16" ht="15.75" thickBot="1">
      <c r="A3" s="3299" t="s">
        <v>1730</v>
      </c>
      <c r="B3" s="3299"/>
      <c r="C3" s="3299"/>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300"/>
      <c r="B4" s="3301"/>
      <c r="C4" s="3302"/>
      <c r="D4" s="1796" t="s">
        <v>1732</v>
      </c>
      <c r="E4" s="1797" t="s">
        <v>1733</v>
      </c>
      <c r="F4" s="2856"/>
      <c r="G4" s="2849" t="s">
        <v>1758</v>
      </c>
      <c r="H4" s="1157" t="s">
        <v>1738</v>
      </c>
      <c r="I4" s="964">
        <f>ROUND(SUMIF('数据-基础表'!I9:AS9,"地上",'数据-基础表'!I5:AS5)/'数据-基础表'!A3,2)</f>
        <v>2</v>
      </c>
      <c r="J4" s="2856"/>
      <c r="K4" s="2856"/>
      <c r="L4" s="2856"/>
      <c r="M4" s="2856"/>
      <c r="N4" s="2858"/>
      <c r="O4" s="2856"/>
      <c r="P4" s="2856"/>
    </row>
    <row r="5" spans="1:16">
      <c r="A5" s="47" t="s">
        <v>1734</v>
      </c>
      <c r="B5" s="3303" t="s">
        <v>1735</v>
      </c>
      <c r="C5" s="3303"/>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3" t="s">
        <v>1736</v>
      </c>
      <c r="C6" s="3303"/>
      <c r="D6" s="48">
        <f>ROUND($D$3*E6/$E$3,2)</f>
        <v>21989.41</v>
      </c>
      <c r="E6" s="49">
        <f>E3-E5</f>
        <v>51136.03</v>
      </c>
      <c r="F6" s="2856"/>
      <c r="G6" s="2850" t="s">
        <v>1737</v>
      </c>
      <c r="H6" s="1280" t="s">
        <v>1738</v>
      </c>
      <c r="I6" s="2851">
        <f>ROUND(F31/D31,2)</f>
        <v>2</v>
      </c>
      <c r="J6" s="2856"/>
      <c r="K6" s="2856"/>
      <c r="L6" s="2856"/>
      <c r="M6" s="2856"/>
      <c r="N6" s="2856"/>
      <c r="O6" s="2856"/>
      <c r="P6" s="2856"/>
    </row>
    <row r="7" spans="1:16" ht="15.75" thickBot="1">
      <c r="A7" s="3295"/>
      <c r="B7" s="3296"/>
      <c r="C7" s="3297"/>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18905.919999999998</v>
      </c>
      <c r="E8" s="51">
        <f>SUMIF('数据-基础表'!BB10:BK10,"地上",'数据-基础表'!BB5:BK5)</f>
        <v>43965.43</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556.95000000000005</v>
      </c>
      <c r="E10" s="51">
        <f>SUMPRODUCT(('数据-基础表'!BB10:BK10="地下")*('数据-基础表'!BB11:BK11="商业")*('数据-基础表'!BB5:BK5))</f>
        <v>1295.19</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21989.399999999998</v>
      </c>
      <c r="E16" s="53">
        <f>SUM(E8:E15)</f>
        <v>51136.03</v>
      </c>
      <c r="F16" s="2856"/>
      <c r="G16" s="2857"/>
      <c r="H16" s="1803" t="s">
        <v>1760</v>
      </c>
      <c r="I16" s="1804"/>
      <c r="J16" s="1273"/>
      <c r="K16" s="3292" t="s">
        <v>1760</v>
      </c>
      <c r="L16" s="3293"/>
      <c r="M16" s="3293"/>
      <c r="N16" s="3293"/>
      <c r="O16" s="3293"/>
      <c r="P16" s="3294"/>
    </row>
    <row r="17" spans="1:19" ht="15">
      <c r="A17" s="1805" t="s">
        <v>1761</v>
      </c>
      <c r="B17" s="1806" t="s">
        <v>1762</v>
      </c>
      <c r="C17" s="1807" t="s">
        <v>1763</v>
      </c>
      <c r="D17" s="1808" t="s">
        <v>1751</v>
      </c>
      <c r="E17" s="1809" t="s">
        <v>1752</v>
      </c>
      <c r="F17" s="1810"/>
      <c r="G17" s="1811"/>
      <c r="H17" s="1812" t="s">
        <v>1764</v>
      </c>
      <c r="I17" s="1813" t="s">
        <v>1749</v>
      </c>
      <c r="J17" s="1273"/>
      <c r="K17" s="3289" t="s">
        <v>1765</v>
      </c>
      <c r="L17" s="3290"/>
      <c r="M17" s="3291"/>
      <c r="N17" s="3289" t="s">
        <v>1766</v>
      </c>
      <c r="O17" s="3290"/>
      <c r="P17" s="3291"/>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43965.43</v>
      </c>
      <c r="G19" s="2997">
        <f>'数据-基础表'!K13+'数据-基础表'!M13</f>
        <v>7170.6</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43965.43</v>
      </c>
      <c r="G27" s="1276">
        <f>SUM(G19:G26)</f>
        <v>7170.6</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43965.43</v>
      </c>
      <c r="G31" s="687">
        <f>G27+G30</f>
        <v>7170.6</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Y25" sqref="Y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27.16</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v>3385</v>
      </c>
      <c r="M6" s="71">
        <f t="shared" ref="M6:M14" si="0">ROUND(K6*L6/10000,0)</f>
        <v>17310</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1.7</v>
      </c>
      <c r="V6" s="75">
        <v>0</v>
      </c>
      <c r="W6" s="75">
        <v>0</v>
      </c>
      <c r="X6" s="1171"/>
      <c r="Y6" s="76">
        <f>N6</f>
        <v>0.83</v>
      </c>
      <c r="Z6" s="77">
        <f>ROUND(Sheet1!L14*(1+'数据-取费表'!AA6)^'数据-取费表'!AF6,2)</f>
        <v>4.0199999999999996</v>
      </c>
      <c r="AA6" s="70">
        <v>0.02</v>
      </c>
      <c r="AB6" s="70">
        <v>0.1</v>
      </c>
      <c r="AC6" s="1171"/>
      <c r="AD6" s="78">
        <f>ROUND(1-(2037-2012)/60,2)</f>
        <v>0.57999999999999996</v>
      </c>
      <c r="AE6" s="1172">
        <f ca="1">IF(AN6="",0,SUMIF(INDIRECT("'"&amp;AN6&amp;"'"&amp;"!E:E"),$AE$5,INDIRECT("'"&amp;AN6&amp;"'"&amp;"!F:F")))</f>
        <v>27.16</v>
      </c>
      <c r="AF6" s="1502">
        <v>14.81</v>
      </c>
      <c r="AG6" s="143">
        <f ca="1">IF(AF6="",0,AE6-AF6)</f>
        <v>12.35</v>
      </c>
      <c r="AH6" s="79"/>
      <c r="AI6" s="81">
        <v>365</v>
      </c>
      <c r="AJ6" s="82"/>
      <c r="AK6" s="83">
        <v>1.4999999999999999E-2</v>
      </c>
      <c r="AL6" s="84">
        <v>1.5E-3</v>
      </c>
      <c r="AM6" s="85">
        <v>0.02</v>
      </c>
      <c r="AN6" s="1871" t="s">
        <v>3152</v>
      </c>
      <c r="AO6" s="55">
        <f ca="1">SUMIF(INDIRECT("'"&amp;AN6&amp;"'"&amp;"!A:A"),"总价",INDIRECT("'"&amp;AN6&amp;"'"&amp;"!B:B"))</f>
        <v>49835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3385</v>
      </c>
      <c r="M16" s="98">
        <f>SUM(M6:M14)</f>
        <v>17310</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45260.62</v>
      </c>
      <c r="P22" s="3211">
        <f>ROUND(O22/(O22+O23),2)</f>
        <v>0.89</v>
      </c>
      <c r="Q22" s="3208">
        <f>Sheet1!L12</f>
        <v>2.5</v>
      </c>
      <c r="R22" s="3208">
        <f>ROUND(Q22*P22+Q23*P23,2)</f>
        <v>2.2999999999999998</v>
      </c>
      <c r="S22" s="3208">
        <v>0.2</v>
      </c>
      <c r="T22" s="3208">
        <v>3500</v>
      </c>
      <c r="U22" s="2870">
        <f>T22*O22/10000</f>
        <v>15841.217000000001</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211">
        <f>ROUND(O23/(O22+O23),2)</f>
        <v>0.11</v>
      </c>
      <c r="Q23" s="3208">
        <v>0.7</v>
      </c>
      <c r="R23" s="3208"/>
      <c r="S23" s="3208">
        <v>0.05</v>
      </c>
      <c r="T23" s="3208">
        <v>2500</v>
      </c>
      <c r="U23" s="2870">
        <f>T23*O23/10000</f>
        <v>1468.8525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f>SUM(O22:O23)</f>
        <v>51136.03</v>
      </c>
      <c r="P24" s="3208"/>
      <c r="Q24" s="3208"/>
      <c r="R24" s="3208"/>
      <c r="S24" s="3208">
        <f>ROUND((S22*P22+S23*P23),2)</f>
        <v>0.18</v>
      </c>
      <c r="T24" s="3208">
        <f>ROUND(T22*P22+T23*P23,2)</f>
        <v>3390</v>
      </c>
      <c r="U24" s="2870">
        <f>SUM(U22:U23)</f>
        <v>17310.069500000001</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f>(45260.62*20%+5875.41*5%)/51136.03</f>
        <v>0.18276535155349374</v>
      </c>
      <c r="P28" s="2870"/>
      <c r="Q28" s="2870"/>
      <c r="R28" s="2870"/>
      <c r="S28" s="2870"/>
      <c r="T28" s="2870">
        <f>(T22*O22+T23*O23)/O24</f>
        <v>3385.1023436899582</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f>O22</f>
        <v>45260.62</v>
      </c>
      <c r="P30" s="2870">
        <v>3500</v>
      </c>
      <c r="Q30" s="2870">
        <f>O30*P30</f>
        <v>158412170</v>
      </c>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f>O23</f>
        <v>5875.41</v>
      </c>
      <c r="P31" s="2870">
        <v>2500</v>
      </c>
      <c r="Q31" s="2870">
        <f>O31*P31</f>
        <v>14688525</v>
      </c>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f>O30+O31</f>
        <v>51136.03</v>
      </c>
      <c r="P32" s="2870">
        <f>Q32/O32</f>
        <v>3385.1023436899582</v>
      </c>
      <c r="Q32" s="2870">
        <f>Q30+Q31</f>
        <v>173100695</v>
      </c>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4" sqref="C24"/>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4" t="s">
        <v>2969</v>
      </c>
      <c r="B1" s="3305"/>
      <c r="C1" s="3305"/>
      <c r="D1" s="3305"/>
      <c r="E1" s="3305"/>
      <c r="F1" s="3305"/>
      <c r="G1" s="330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65651</v>
      </c>
      <c r="C5" s="2708">
        <f ca="1">ROUND(B5*10000/$B$1,0)</f>
        <v>12839</v>
      </c>
      <c r="D5" s="2708">
        <f ca="1">ROUND(B5*10000/$B$2,0)</f>
        <v>29856</v>
      </c>
      <c r="E5" s="2885"/>
      <c r="F5" s="2886"/>
      <c r="G5" s="2886"/>
      <c r="H5" s="2887"/>
      <c r="I5" s="2887"/>
      <c r="J5" s="2887"/>
      <c r="K5" s="2887"/>
    </row>
    <row r="6" spans="1:11" ht="16.5">
      <c r="A6" s="2708" t="s">
        <v>1262</v>
      </c>
      <c r="B6" s="2708">
        <f ca="1">SUM(G14:G23)</f>
        <v>65651</v>
      </c>
      <c r="C6" s="2708">
        <f ca="1">ROUND(B6*10000/$B$1,0)</f>
        <v>12839</v>
      </c>
      <c r="D6" s="2708">
        <f ca="1">ROUND(B6*10000/$B$2,0)</f>
        <v>29856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65651</v>
      </c>
      <c r="E14" s="2714">
        <f ca="1">ROUND(D14*10000/B14,0)</f>
        <v>12839</v>
      </c>
      <c r="F14" s="2714">
        <f ca="1">ROUND(D14*10000/C14,0)</f>
        <v>29856</v>
      </c>
      <c r="G14" s="2714">
        <f ca="1">结果表!D122</f>
        <v>65651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0" zoomScaleNormal="100" zoomScaleSheetLayoutView="100" zoomScalePageLayoutView="80" workbookViewId="0">
      <selection activeCell="J124" sqref="J12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6" t="str">
        <f>项目基本情况!S2</f>
        <v>北京市房地产</v>
      </c>
      <c r="B2" s="3377"/>
      <c r="C2" s="3377"/>
      <c r="D2" s="3377"/>
      <c r="E2" s="3377"/>
      <c r="F2" s="3377"/>
      <c r="G2" s="3377"/>
      <c r="H2" s="3377"/>
      <c r="I2" s="3378"/>
    </row>
    <row r="3" spans="1:12" ht="12.75">
      <c r="A3" s="3380" t="s">
        <v>1889</v>
      </c>
      <c r="B3" s="3381"/>
      <c r="C3" s="3381"/>
      <c r="D3" s="3381"/>
      <c r="E3" s="3381"/>
      <c r="F3" s="3381"/>
      <c r="G3" s="3381"/>
      <c r="H3" s="3381"/>
      <c r="I3" s="3381"/>
    </row>
    <row r="4" spans="1:12" ht="14.25">
      <c r="A4" s="1910" t="s">
        <v>1890</v>
      </c>
      <c r="B4" s="1911" t="s">
        <v>1891</v>
      </c>
      <c r="C4" s="1912" t="s">
        <v>3175</v>
      </c>
      <c r="D4" s="1912" t="s">
        <v>3152</v>
      </c>
      <c r="E4" s="3385" t="s">
        <v>1892</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1" t="s">
        <v>1893</v>
      </c>
      <c r="B5" s="3379">
        <v>25</v>
      </c>
      <c r="C5" s="3382"/>
      <c r="D5" s="3370"/>
      <c r="E5" s="136" t="s">
        <v>1894</v>
      </c>
      <c r="F5" s="1913"/>
      <c r="G5" s="1913"/>
      <c r="H5" s="1913"/>
      <c r="I5" s="1527"/>
    </row>
    <row r="6" spans="1:12" ht="12.75">
      <c r="A6" s="3321"/>
      <c r="B6" s="3379"/>
      <c r="C6" s="3384"/>
      <c r="D6" s="3370"/>
      <c r="E6" s="136" t="s">
        <v>1895</v>
      </c>
      <c r="F6" s="1913"/>
      <c r="G6" s="1913"/>
      <c r="H6" s="1913"/>
      <c r="I6" s="1527"/>
    </row>
    <row r="7" spans="1:12" ht="12.75">
      <c r="A7" s="3321"/>
      <c r="B7" s="3379"/>
      <c r="C7" s="3383"/>
      <c r="D7" s="3370"/>
      <c r="E7" s="136" t="s">
        <v>1896</v>
      </c>
      <c r="F7" s="1913"/>
      <c r="G7" s="1913"/>
      <c r="H7" s="1913"/>
      <c r="I7" s="1527"/>
    </row>
    <row r="8" spans="1:12" ht="12.75">
      <c r="A8" s="3321" t="s">
        <v>1897</v>
      </c>
      <c r="B8" s="3379">
        <v>15</v>
      </c>
      <c r="C8" s="3382"/>
      <c r="D8" s="3370"/>
      <c r="E8" s="136" t="s">
        <v>1898</v>
      </c>
      <c r="F8" s="1913"/>
      <c r="G8" s="1913"/>
      <c r="H8" s="1913"/>
      <c r="I8" s="1527"/>
    </row>
    <row r="9" spans="1:12" ht="12.75">
      <c r="A9" s="3321"/>
      <c r="B9" s="3379"/>
      <c r="C9" s="3383"/>
      <c r="D9" s="3370"/>
      <c r="E9" s="136" t="s">
        <v>1899</v>
      </c>
      <c r="F9" s="1913"/>
      <c r="G9" s="1913"/>
      <c r="H9" s="1913"/>
      <c r="I9" s="1527"/>
    </row>
    <row r="10" spans="1:12" ht="12.75">
      <c r="A10" s="3321" t="s">
        <v>1900</v>
      </c>
      <c r="B10" s="3379">
        <v>15</v>
      </c>
      <c r="C10" s="3382"/>
      <c r="D10" s="3370"/>
      <c r="E10" s="136" t="s">
        <v>1901</v>
      </c>
      <c r="F10" s="1913"/>
      <c r="G10" s="1913"/>
      <c r="H10" s="1913"/>
      <c r="I10" s="1527"/>
    </row>
    <row r="11" spans="1:12" ht="12.75">
      <c r="A11" s="3321"/>
      <c r="B11" s="3379"/>
      <c r="C11" s="3383"/>
      <c r="D11" s="3370"/>
      <c r="E11" s="136" t="s">
        <v>1902</v>
      </c>
      <c r="F11" s="1913"/>
      <c r="G11" s="1913"/>
      <c r="H11" s="1913"/>
      <c r="I11" s="1527"/>
    </row>
    <row r="12" spans="1:12" ht="12.75">
      <c r="A12" s="3321" t="s">
        <v>1903</v>
      </c>
      <c r="B12" s="3379">
        <v>15</v>
      </c>
      <c r="C12" s="3382"/>
      <c r="D12" s="3370"/>
      <c r="E12" s="136" t="s">
        <v>1904</v>
      </c>
      <c r="F12" s="1913"/>
      <c r="G12" s="1913"/>
      <c r="H12" s="1913"/>
      <c r="I12" s="1527"/>
    </row>
    <row r="13" spans="1:12" ht="12.75">
      <c r="A13" s="3321"/>
      <c r="B13" s="3379"/>
      <c r="C13" s="3383"/>
      <c r="D13" s="3370"/>
      <c r="E13" s="136" t="s">
        <v>1905</v>
      </c>
      <c r="F13" s="1913"/>
      <c r="G13" s="1913"/>
      <c r="H13" s="1913"/>
      <c r="I13" s="1527"/>
    </row>
    <row r="14" spans="1:12" ht="12.75">
      <c r="A14" s="3321" t="s">
        <v>1906</v>
      </c>
      <c r="B14" s="3379">
        <v>30</v>
      </c>
      <c r="C14" s="3382">
        <v>3</v>
      </c>
      <c r="D14" s="3370">
        <v>7</v>
      </c>
      <c r="E14" s="136" t="s">
        <v>1907</v>
      </c>
      <c r="F14" s="1913"/>
      <c r="G14" s="1913"/>
      <c r="H14" s="1913"/>
      <c r="I14" s="1527"/>
    </row>
    <row r="15" spans="1:12" ht="12.75">
      <c r="A15" s="3321"/>
      <c r="B15" s="3379"/>
      <c r="C15" s="3384"/>
      <c r="D15" s="3370"/>
      <c r="E15" s="136" t="s">
        <v>1908</v>
      </c>
      <c r="F15" s="1913"/>
      <c r="G15" s="1913"/>
      <c r="H15" s="1913"/>
      <c r="I15" s="1527"/>
    </row>
    <row r="16" spans="1:12" ht="12.75">
      <c r="A16" s="3321"/>
      <c r="B16" s="3379"/>
      <c r="C16" s="3383"/>
      <c r="D16" s="3370"/>
      <c r="E16" s="136" t="s">
        <v>1909</v>
      </c>
      <c r="F16" s="1913"/>
      <c r="G16" s="1913"/>
      <c r="H16" s="1913"/>
      <c r="I16" s="1527"/>
    </row>
    <row r="17" spans="1:36" ht="15">
      <c r="A17" s="1914" t="s">
        <v>1910</v>
      </c>
      <c r="B17" s="60"/>
      <c r="C17" s="137">
        <f>SUM(C5:C16)</f>
        <v>3</v>
      </c>
      <c r="D17" s="137">
        <f>SUM(D5:D16)</f>
        <v>7</v>
      </c>
      <c r="E17" s="134"/>
      <c r="F17" s="134"/>
      <c r="G17" s="134"/>
      <c r="H17" s="134"/>
      <c r="I17" s="134"/>
      <c r="K17" s="308"/>
      <c r="L17" s="308" t="s">
        <v>1911</v>
      </c>
      <c r="M17" s="308" t="s">
        <v>1912</v>
      </c>
    </row>
    <row r="18" spans="1:36" ht="31.9" customHeight="1" thickBot="1">
      <c r="A18" s="1915" t="s">
        <v>1913</v>
      </c>
      <c r="B18" s="1916"/>
      <c r="C18" s="138">
        <f>ROUND(C17/SUM(C17:D17),2)</f>
        <v>0.3</v>
      </c>
      <c r="D18" s="138">
        <f>1-C18</f>
        <v>0.7</v>
      </c>
      <c r="E18" s="3401" t="s">
        <v>2811</v>
      </c>
      <c r="F18" s="3402"/>
      <c r="G18" s="3402"/>
      <c r="H18" s="3402"/>
      <c r="I18" s="3402"/>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102556</v>
      </c>
      <c r="D19" s="140">
        <f ca="1">SUMIF(INDIRECT("'"&amp;D4&amp;"'"&amp;"!A:A"),结果表!B19,INDIRECT("'"&amp;D4&amp;"'"&amp;"!B:B"))</f>
        <v>49835</v>
      </c>
      <c r="E19" s="1917" t="s">
        <v>1917</v>
      </c>
      <c r="F19" s="1918" t="s">
        <v>1916</v>
      </c>
      <c r="G19" s="141">
        <f ca="1">ROUND(C19*$C$18+D19*$D$18,0)</f>
        <v>65651</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20056</v>
      </c>
      <c r="D20" s="143">
        <f ca="1">SUMIF(INDIRECT("'"&amp;D4&amp;"'"&amp;"!A:A"),结果表!B20,INDIRECT("'"&amp;D4&amp;"'"&amp;"!B:B"))</f>
        <v>9746</v>
      </c>
      <c r="E20" s="1920"/>
      <c r="F20" s="1157" t="s">
        <v>1920</v>
      </c>
      <c r="G20" s="144">
        <f ca="1">ROUND(C20*$C$18+D20*$D$18,0)</f>
        <v>12839</v>
      </c>
      <c r="H20" s="917" t="s">
        <v>1921</v>
      </c>
      <c r="I20" s="134"/>
      <c r="J20" s="734">
        <f ca="1">G19-J19</f>
        <v>516</v>
      </c>
    </row>
    <row r="21" spans="1:36" ht="15" customHeight="1" thickBot="1">
      <c r="A21" s="937"/>
      <c r="B21" s="1921" t="s">
        <v>1922</v>
      </c>
      <c r="C21" s="728">
        <f ca="1">ROUND(C19*10000/L19,0)</f>
        <v>46639</v>
      </c>
      <c r="D21" s="729">
        <f ca="1">ROUND(D19*10000/L19,0)</f>
        <v>22663</v>
      </c>
      <c r="E21" s="937"/>
      <c r="F21" s="1921" t="s">
        <v>1922</v>
      </c>
      <c r="G21" s="145">
        <f ca="1">ROUND(G19*10000/L19,0)</f>
        <v>29856</v>
      </c>
      <c r="H21" s="1922" t="s">
        <v>1921</v>
      </c>
      <c r="I21" s="134"/>
    </row>
    <row r="22" spans="1:36" ht="15" thickBot="1">
      <c r="A22" s="1844" t="s">
        <v>1923</v>
      </c>
      <c r="B22" s="1923"/>
      <c r="C22" s="1924"/>
      <c r="D22" s="730">
        <f ca="1">IF(C19&lt;D19,D19/C19-1,C19/D19-1)</f>
        <v>1.0579111066519515</v>
      </c>
      <c r="E22" s="134"/>
      <c r="F22" s="134"/>
      <c r="G22" s="134"/>
      <c r="H22" s="134"/>
      <c r="I22" s="134"/>
    </row>
    <row r="23" spans="1:36" ht="13.5" thickBot="1">
      <c r="A23" s="1903"/>
      <c r="B23" s="1903"/>
      <c r="C23" s="1903"/>
      <c r="D23" s="1903"/>
      <c r="E23" s="134"/>
      <c r="F23" s="134"/>
      <c r="G23" s="134"/>
      <c r="H23" s="134"/>
      <c r="I23" s="134"/>
    </row>
    <row r="24" spans="1:36" ht="14.25">
      <c r="A24" s="3394" t="s">
        <v>1924</v>
      </c>
      <c r="B24" s="1918" t="s">
        <v>1916</v>
      </c>
      <c r="C24" s="141">
        <f>IF(B30=0,0,D30)</f>
        <v>0</v>
      </c>
      <c r="D24" s="1925"/>
      <c r="E24" s="134"/>
      <c r="F24" s="134"/>
      <c r="G24" s="134"/>
      <c r="H24" s="134"/>
      <c r="I24" s="134"/>
    </row>
    <row r="25" spans="1:36" ht="14.25">
      <c r="A25" s="3395"/>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65651</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53834</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11817</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71" t="s">
        <v>1937</v>
      </c>
      <c r="B36" s="1943" t="s">
        <v>1938</v>
      </c>
      <c r="C36" s="150"/>
      <c r="D36" s="1944"/>
      <c r="E36" s="1945"/>
      <c r="F36" s="1946"/>
      <c r="G36" s="134"/>
      <c r="H36" s="134"/>
      <c r="I36" s="134"/>
    </row>
    <row r="37" spans="1:15" ht="15.75" thickBot="1">
      <c r="A37" s="3372"/>
      <c r="B37" s="1830" t="s">
        <v>1939</v>
      </c>
      <c r="C37" s="152"/>
      <c r="D37" s="1273"/>
      <c r="E37" s="1273"/>
      <c r="F37" s="1946"/>
      <c r="G37" s="134"/>
      <c r="H37" s="134"/>
      <c r="I37" s="134"/>
    </row>
    <row r="38" spans="1:15" ht="15.75" thickBot="1">
      <c r="A38" s="3373"/>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1" t="s">
        <v>1951</v>
      </c>
      <c r="B45" s="3392"/>
      <c r="C45" s="3393"/>
      <c r="D45" s="160">
        <f ca="1">ROUND(H101*F45,0)</f>
        <v>65651</v>
      </c>
      <c r="E45" s="161" t="s">
        <v>1952</v>
      </c>
      <c r="F45" s="162">
        <v>1</v>
      </c>
      <c r="G45" s="163" t="s">
        <v>1953</v>
      </c>
      <c r="H45" s="134"/>
      <c r="I45" s="134"/>
      <c r="J45" s="3308" t="s">
        <v>1954</v>
      </c>
      <c r="K45" s="3308"/>
      <c r="L45" s="3308"/>
      <c r="M45" s="3308"/>
      <c r="N45" s="3308"/>
      <c r="O45" s="3308"/>
    </row>
    <row r="46" spans="1:15" ht="14.25" customHeight="1">
      <c r="A46" s="3388" t="s">
        <v>1955</v>
      </c>
      <c r="B46" s="3389"/>
      <c r="C46" s="3389"/>
      <c r="D46" s="3389"/>
      <c r="E46" s="3389"/>
      <c r="F46" s="3389"/>
      <c r="G46" s="3390"/>
      <c r="H46" s="1962"/>
      <c r="I46" s="164"/>
      <c r="J46" s="2719">
        <v>1</v>
      </c>
      <c r="K46" s="3309" t="s">
        <v>1956</v>
      </c>
      <c r="L46" s="3309"/>
      <c r="M46" s="3310"/>
      <c r="N46" s="3310"/>
      <c r="O46" s="3310"/>
    </row>
    <row r="47" spans="1:15" ht="12" customHeight="1">
      <c r="A47" s="165" t="s">
        <v>1957</v>
      </c>
      <c r="B47" s="166"/>
      <c r="C47" s="167"/>
      <c r="D47" s="1219" t="s">
        <v>1958</v>
      </c>
      <c r="E47" s="308" t="s">
        <v>1959</v>
      </c>
      <c r="F47" s="168" t="s">
        <v>1960</v>
      </c>
      <c r="G47" s="2742" t="s">
        <v>1961</v>
      </c>
      <c r="H47" s="2743"/>
      <c r="I47" s="164"/>
      <c r="J47" s="2719">
        <v>2</v>
      </c>
      <c r="K47" s="3309" t="s">
        <v>1962</v>
      </c>
      <c r="L47" s="3309"/>
      <c r="M47" s="3311">
        <f>'数据-取费表'!B2</f>
        <v>44631</v>
      </c>
      <c r="N47" s="3311"/>
      <c r="O47" s="3311"/>
    </row>
    <row r="48" spans="1:15" ht="25.5">
      <c r="A48" s="3374" t="s">
        <v>1963</v>
      </c>
      <c r="B48" s="3375"/>
      <c r="C48" s="3375"/>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09" t="s">
        <v>1965</v>
      </c>
      <c r="L48" s="3309"/>
      <c r="M48" s="3312">
        <f ca="1">H101</f>
        <v>65651</v>
      </c>
      <c r="N48" s="3312"/>
      <c r="O48" s="3312"/>
    </row>
    <row r="49" spans="1:35" ht="25.5" customHeight="1">
      <c r="A49" s="2526" t="s">
        <v>1966</v>
      </c>
      <c r="B49" s="3357" t="s">
        <v>1967</v>
      </c>
      <c r="C49" s="3357"/>
      <c r="D49" s="1745">
        <v>0</v>
      </c>
      <c r="E49" s="330" t="s">
        <v>1968</v>
      </c>
      <c r="F49" s="2620" t="s">
        <v>34</v>
      </c>
      <c r="G49" s="3340"/>
      <c r="H49" s="2498" t="s">
        <v>2814</v>
      </c>
      <c r="I49" s="2499"/>
      <c r="J49" s="2719">
        <v>4</v>
      </c>
      <c r="K49" s="3309" t="str">
        <f>IF(项目基本情况!E8="房地产抵押价值","房地产抵押价值","抵押担保权已注销时的房地产抵押价值")</f>
        <v>房地产抵押价值</v>
      </c>
      <c r="L49" s="3309"/>
      <c r="M49" s="3312">
        <f ca="1">IF(项目基本情况!E8="房地产抵押价值",H107,H109)</f>
        <v>65651</v>
      </c>
      <c r="N49" s="3312"/>
      <c r="O49" s="3312"/>
    </row>
    <row r="50" spans="1:35" ht="25.5" customHeight="1">
      <c r="A50" s="2747"/>
      <c r="B50" s="3357" t="s">
        <v>1969</v>
      </c>
      <c r="C50" s="3357"/>
      <c r="D50" s="2748"/>
      <c r="E50" s="338"/>
      <c r="F50" s="2620"/>
      <c r="G50" s="3341"/>
      <c r="H50" s="2500" t="s">
        <v>2815</v>
      </c>
      <c r="I50" s="2499"/>
      <c r="J50" s="3308" t="s">
        <v>1970</v>
      </c>
      <c r="K50" s="3308"/>
      <c r="L50" s="3308"/>
      <c r="M50" s="3308"/>
      <c r="N50" s="3308"/>
      <c r="O50" s="3308"/>
    </row>
    <row r="51" spans="1:35" ht="20.45" customHeight="1">
      <c r="A51" s="2749"/>
      <c r="B51" s="3357" t="s">
        <v>1971</v>
      </c>
      <c r="C51" s="3357"/>
      <c r="D51" s="1219"/>
      <c r="E51" s="333"/>
      <c r="F51" s="2620"/>
      <c r="G51" s="3342"/>
      <c r="H51" s="2500" t="s">
        <v>2816</v>
      </c>
      <c r="I51" s="2499"/>
      <c r="J51" s="2720" t="s">
        <v>1972</v>
      </c>
      <c r="K51" s="3309" t="s">
        <v>1973</v>
      </c>
      <c r="L51" s="3309"/>
      <c r="M51" s="2720" t="s">
        <v>1974</v>
      </c>
      <c r="N51" s="2720" t="s">
        <v>1975</v>
      </c>
      <c r="O51" s="2720" t="s">
        <v>1976</v>
      </c>
    </row>
    <row r="52" spans="1:35" ht="24" customHeight="1">
      <c r="A52" s="2528" t="s">
        <v>1977</v>
      </c>
      <c r="B52" s="3357" t="s">
        <v>1978</v>
      </c>
      <c r="C52" s="3357"/>
      <c r="D52" s="1219">
        <f ca="1">ROUND(D45*'数据-取费表'!B41/(1+'数据-取费表'!C42),0)</f>
        <v>3439</v>
      </c>
      <c r="E52" s="2527" t="s">
        <v>1979</v>
      </c>
      <c r="F52" s="2750">
        <f>'数据-取费表'!B41</f>
        <v>5.5000000000000007E-2</v>
      </c>
      <c r="G52" s="2751"/>
      <c r="H52" s="2740"/>
      <c r="I52" s="1963"/>
      <c r="J52" s="2719">
        <v>1</v>
      </c>
      <c r="K52" s="3334" t="s">
        <v>1980</v>
      </c>
      <c r="L52" s="3334"/>
      <c r="M52" s="2721" t="b">
        <f>D48</f>
        <v>0</v>
      </c>
      <c r="N52" s="2719" t="str">
        <f>E48</f>
        <v>销售额×税（费）率</v>
      </c>
      <c r="O52" s="2722">
        <f>F48</f>
        <v>5.5000000000000007E-2</v>
      </c>
    </row>
    <row r="53" spans="1:35" ht="12" customHeight="1">
      <c r="A53" s="2528" t="s">
        <v>1981</v>
      </c>
      <c r="B53" s="3358" t="s">
        <v>2974</v>
      </c>
      <c r="C53" s="3359"/>
      <c r="D53" s="1219">
        <f ca="1">ROUND(D45*'数据-取费表'!B41/(1+'数据-取费表'!C42),0)</f>
        <v>3439</v>
      </c>
      <c r="E53" s="2527" t="s">
        <v>1979</v>
      </c>
      <c r="F53" s="2750">
        <f>'数据-取费表'!B41</f>
        <v>5.5000000000000007E-2</v>
      </c>
      <c r="G53" s="2751"/>
      <c r="H53" s="2740"/>
      <c r="I53" s="1963"/>
      <c r="J53" s="2719">
        <v>2</v>
      </c>
      <c r="K53" s="3334" t="s">
        <v>1982</v>
      </c>
      <c r="L53" s="3334"/>
      <c r="M53" s="2721">
        <f t="shared" ref="M53:O54" ca="1" si="0">D55</f>
        <v>33</v>
      </c>
      <c r="N53" s="2719" t="str">
        <f t="shared" si="0"/>
        <v>销售额×税（费）率</v>
      </c>
      <c r="O53" s="2722" t="str">
        <f t="shared" si="0"/>
        <v>免征</v>
      </c>
    </row>
    <row r="54" spans="1:35" ht="12" customHeight="1">
      <c r="A54" s="2528" t="s">
        <v>1983</v>
      </c>
      <c r="B54" s="3358" t="s">
        <v>2975</v>
      </c>
      <c r="C54" s="3359"/>
      <c r="D54" s="1219">
        <f ca="1">C68</f>
        <v>3439</v>
      </c>
      <c r="E54" s="333" t="s">
        <v>1984</v>
      </c>
      <c r="F54" s="2750">
        <f>'数据-取费表'!B41</f>
        <v>5.5000000000000007E-2</v>
      </c>
      <c r="G54" s="2751"/>
      <c r="H54" s="2752"/>
      <c r="I54" s="1963"/>
      <c r="J54" s="2719">
        <v>3</v>
      </c>
      <c r="K54" s="3334" t="s">
        <v>1985</v>
      </c>
      <c r="L54" s="3334"/>
      <c r="M54" s="2721">
        <f t="shared" ca="1" si="0"/>
        <v>37218</v>
      </c>
      <c r="N54" s="2719" t="str">
        <f t="shared" si="0"/>
        <v>增值额×税（费）率</v>
      </c>
      <c r="O54" s="2723" t="str">
        <f t="shared" si="0"/>
        <v>免征</v>
      </c>
    </row>
    <row r="55" spans="1:35" ht="24" customHeight="1">
      <c r="A55" s="3397" t="s">
        <v>1986</v>
      </c>
      <c r="B55" s="3375"/>
      <c r="C55" s="3375"/>
      <c r="D55" s="2517">
        <f ca="1">IF(H55="个人住宅",0,ROUND(D45*I55,0))</f>
        <v>33</v>
      </c>
      <c r="E55" s="2527" t="s">
        <v>1987</v>
      </c>
      <c r="F55" s="2750" t="str">
        <f>IF(H55="正常",I55,"免征")</f>
        <v>免征</v>
      </c>
      <c r="G55" s="2751"/>
      <c r="H55" s="2746"/>
      <c r="I55" s="170">
        <f>'数据-取费表'!B49</f>
        <v>5.0000000000000001E-4</v>
      </c>
      <c r="J55" s="2719">
        <f>IF(H59="非个人房产","",4)</f>
        <v>4</v>
      </c>
      <c r="K55" s="3334" t="str">
        <f>IF(H59="非个人房产","——","个人所得税")</f>
        <v>个人所得税</v>
      </c>
      <c r="L55" s="3334"/>
      <c r="M55" s="2724">
        <f ca="1">D59</f>
        <v>625</v>
      </c>
      <c r="N55" s="2198" t="str">
        <f>E59</f>
        <v>差额计税</v>
      </c>
      <c r="O55" s="2725">
        <f>F59</f>
        <v>0.01</v>
      </c>
    </row>
    <row r="56" spans="1:35" ht="24.75">
      <c r="A56" s="3397" t="s">
        <v>1988</v>
      </c>
      <c r="B56" s="3375"/>
      <c r="C56" s="3375"/>
      <c r="D56" s="2517">
        <f ca="1">IF(H56="个人住宅",D57,D58)</f>
        <v>37218</v>
      </c>
      <c r="E56" s="2527" t="s">
        <v>1989</v>
      </c>
      <c r="F56" s="2750" t="str">
        <f>IF(H56="正常",F58,"免征")</f>
        <v>免征</v>
      </c>
      <c r="G56" s="2753" t="s">
        <v>1990</v>
      </c>
      <c r="H56" s="2754"/>
      <c r="I56" s="1964"/>
      <c r="J56" s="2719" t="str">
        <f>IF(项目基本情况!K6="上海银行",IF(J55="",4,J55+1),"")</f>
        <v/>
      </c>
      <c r="K56" s="3315" t="str">
        <f>IF(项目基本情况!K6="上海银行","其他处置费用","")</f>
        <v/>
      </c>
      <c r="L56" s="3316"/>
      <c r="M56" s="2721" t="str">
        <f>IF(项目基本情况!K6="上海银行",M69,"")</f>
        <v/>
      </c>
      <c r="N56" s="3315" t="str">
        <f>IF(项目基本情况!K6="上海银行","包含处置中涉及的律师、诉讼、拍卖、评估等费用","")</f>
        <v/>
      </c>
      <c r="O56" s="3318"/>
    </row>
    <row r="57" spans="1:35" ht="12.75">
      <c r="A57" s="2528" t="s">
        <v>1966</v>
      </c>
      <c r="B57" s="3358" t="s">
        <v>1991</v>
      </c>
      <c r="C57" s="3359"/>
      <c r="D57" s="1745">
        <v>0</v>
      </c>
      <c r="E57" s="330" t="s">
        <v>1968</v>
      </c>
      <c r="F57" s="308"/>
      <c r="G57" s="2751"/>
      <c r="H57" s="2755"/>
      <c r="I57" s="1964"/>
      <c r="J57" s="3334">
        <f>IF(AND(J55="",J56=""),4,IF(项目基本情况!K6="上海银行",结果表!J56+1,结果表!J55+1))</f>
        <v>5</v>
      </c>
      <c r="K57" s="3334" t="s">
        <v>1992</v>
      </c>
      <c r="L57" s="2726" t="s">
        <v>1993</v>
      </c>
      <c r="M57" s="2727"/>
      <c r="N57" s="2728">
        <f ca="1">SUMIF(M52:M56,"&lt;9e307")</f>
        <v>37876</v>
      </c>
      <c r="O57" s="2729"/>
      <c r="P57" s="2889">
        <f ca="1">N57/M49</f>
        <v>0.57692952125634034</v>
      </c>
    </row>
    <row r="58" spans="1:35" ht="24.75">
      <c r="A58" s="2528" t="s">
        <v>1977</v>
      </c>
      <c r="B58" s="3358" t="s">
        <v>1994</v>
      </c>
      <c r="C58" s="3357"/>
      <c r="D58" s="2517">
        <f ca="1">IF(H58="转让取得",C81,C97)</f>
        <v>37218</v>
      </c>
      <c r="E58" s="2527" t="s">
        <v>1989</v>
      </c>
      <c r="F58" s="308" t="s">
        <v>34</v>
      </c>
      <c r="G58" s="2751"/>
      <c r="H58" s="2754"/>
      <c r="I58" s="1964"/>
      <c r="J58" s="3334"/>
      <c r="K58" s="3334"/>
      <c r="L58" s="2726" t="s">
        <v>1995</v>
      </c>
      <c r="M58" s="2730"/>
      <c r="N58" s="2731" t="str">
        <f ca="1">NUMBERSTRING(INT(N57*10000),2)&amp;"元整"</f>
        <v>叁亿柒仟捌佰柒拾陆万元整</v>
      </c>
      <c r="O58" s="2732"/>
    </row>
    <row r="59" spans="1:35" ht="24.75" thickBot="1">
      <c r="A59" s="3338" t="s">
        <v>1996</v>
      </c>
      <c r="B59" s="3339"/>
      <c r="C59" s="3339"/>
      <c r="D59" s="2756">
        <f ca="1">IF(H59="非个人房产","——",IF(H59="个人住宅（满五唯一有凭证）",0,IF(H59="个人其他（无凭证）",ROUND(D45*F59,0),ROUND(C67*F59,0))))</f>
        <v>625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36">
        <f>J57+1</f>
        <v>6</v>
      </c>
      <c r="K59" s="3334" t="s">
        <v>1997</v>
      </c>
      <c r="L59" s="2719" t="s">
        <v>1993</v>
      </c>
      <c r="M59" s="2733"/>
      <c r="N59" s="2734">
        <f ca="1">M49-N57</f>
        <v>27775</v>
      </c>
      <c r="O59" s="2735"/>
    </row>
    <row r="60" spans="1:35" ht="12" customHeight="1">
      <c r="A60" s="1965"/>
      <c r="B60" s="1903"/>
      <c r="C60" s="1903"/>
      <c r="D60" s="1903"/>
      <c r="E60" s="1733"/>
      <c r="F60" s="1964"/>
      <c r="G60" s="1964"/>
      <c r="H60" s="1966"/>
      <c r="I60" s="134"/>
      <c r="J60" s="3337"/>
      <c r="K60" s="3334"/>
      <c r="L60" s="2726" t="s">
        <v>1995</v>
      </c>
      <c r="M60" s="2730"/>
      <c r="N60" s="2731" t="str">
        <f ca="1">NUMBERSTRING(INT(N59*10000),2)&amp;"元整"</f>
        <v>贰亿柒仟柒佰柒拾伍万元整</v>
      </c>
      <c r="O60" s="2732"/>
    </row>
    <row r="61" spans="1:35" ht="13.5" thickBot="1">
      <c r="A61" s="3396" t="s">
        <v>1998</v>
      </c>
      <c r="B61" s="3396"/>
      <c r="C61" s="3396"/>
      <c r="D61" s="3396"/>
      <c r="E61" s="3396"/>
      <c r="F61" s="1964"/>
      <c r="G61" s="1964"/>
      <c r="H61" s="1966"/>
      <c r="I61" s="134"/>
      <c r="J61" s="2719">
        <f>J59+1</f>
        <v>7</v>
      </c>
      <c r="K61" s="3334" t="s">
        <v>1999</v>
      </c>
      <c r="L61" s="3334"/>
      <c r="M61" s="2736"/>
      <c r="N61" s="2737">
        <f ca="1">ROUND(N59*10000/'数据-汇总表'!E3,0)</f>
        <v>5432</v>
      </c>
      <c r="O61" s="2738"/>
    </row>
    <row r="62" spans="1:35" ht="12.75">
      <c r="A62" s="3353" t="s">
        <v>2000</v>
      </c>
      <c r="B62" s="3354"/>
      <c r="C62" s="2179"/>
      <c r="D62" s="2179" t="s">
        <v>2001</v>
      </c>
      <c r="E62" s="171" t="s">
        <v>2002</v>
      </c>
      <c r="F62" s="1964"/>
      <c r="G62" s="1964"/>
      <c r="H62" s="1966"/>
      <c r="I62" s="134"/>
    </row>
    <row r="63" spans="1:35" ht="12.75">
      <c r="A63" s="178" t="s">
        <v>775</v>
      </c>
      <c r="B63" s="172" t="s">
        <v>2003</v>
      </c>
      <c r="C63" s="2760">
        <f ca="1">ROUND((C64+C65)/(1+'数据-取费表'!C42),0)</f>
        <v>62525</v>
      </c>
      <c r="D63" s="172"/>
      <c r="E63" s="173"/>
      <c r="F63" s="1964"/>
      <c r="G63" s="1964"/>
      <c r="H63" s="1966"/>
      <c r="I63" s="134"/>
      <c r="J63" s="3317" t="s">
        <v>2004</v>
      </c>
      <c r="K63" s="1472" t="s">
        <v>2005</v>
      </c>
      <c r="L63" s="1472">
        <f ca="1">IF(M49&gt;10000,M49*0.5%,IF(AND(M49&gt;1000,M49&lt;=10000),M49*1%,IF(AND(M49&gt;100,M49&lt;=1000),M49*3%,IF(AND(M49&gt;10,M49&lt;=100),M49*5%,M49*8%))))</f>
        <v>328.255</v>
      </c>
      <c r="M63" s="308">
        <f ca="1">ROUND(L63,1)</f>
        <v>328.3</v>
      </c>
      <c r="N63" s="2739"/>
      <c r="Z63" s="1908"/>
      <c r="AI63" s="1909"/>
    </row>
    <row r="64" spans="1:35" ht="14.25" customHeight="1">
      <c r="A64" s="174" t="s">
        <v>770</v>
      </c>
      <c r="B64" s="175" t="s">
        <v>2006</v>
      </c>
      <c r="C64" s="2761">
        <f ca="1">D45</f>
        <v>65651</v>
      </c>
      <c r="D64" s="175" t="s">
        <v>32</v>
      </c>
      <c r="E64" s="177"/>
      <c r="F64" s="1964"/>
      <c r="G64" s="1964"/>
      <c r="H64" s="1966"/>
      <c r="I64" s="134"/>
      <c r="J64" s="3317"/>
      <c r="K64" s="1472" t="s">
        <v>2007</v>
      </c>
      <c r="L64" s="1472">
        <f ca="1">IF(M49&gt;2000,M49*0.5%,IF(AND(M49&gt;1000,M49&lt;=2000),M49*0.6%,IF(AND(M49&gt;500,M49&lt;=1000),M49*0.7%,IF(AND(M49&gt;200,M49&lt;=500),M49*0.8%,IF(AND(M49&gt;100,M49&lt;=200),M49*0.9%,IF(AND(M49&gt;50,M49&lt;=100),M49*1%,IF(AND(M49&gt;20,M49&lt;=50),M49*1.5%,IF(AND(M49&gt;10,M49&lt;=20),M49*2%,IF(AND(M49&gt;1,M49&lt;=10),M49*2.5%)))))))))</f>
        <v>328.255</v>
      </c>
      <c r="M64" s="308">
        <f t="shared" ref="M64:M65" ca="1" si="1">ROUND(L64,1)</f>
        <v>328.3</v>
      </c>
      <c r="N64" s="2740" t="s">
        <v>2008</v>
      </c>
      <c r="Z64" s="1908"/>
      <c r="AI64" s="1909"/>
    </row>
    <row r="65" spans="1:35" ht="14.25" customHeight="1">
      <c r="A65" s="174" t="s">
        <v>771</v>
      </c>
      <c r="B65" s="175" t="s">
        <v>2009</v>
      </c>
      <c r="C65" s="2762"/>
      <c r="D65" s="175"/>
      <c r="E65" s="177"/>
      <c r="F65" s="1964"/>
      <c r="G65" s="1964"/>
      <c r="H65" s="1966"/>
      <c r="I65" s="134"/>
      <c r="J65" s="3317"/>
      <c r="K65" s="1472" t="s">
        <v>2010</v>
      </c>
      <c r="L65" s="1472">
        <f ca="1">IF(M49&gt;1000,M49*0.1%,IF(AND(M49&gt;500,M49&lt;=1000),M49*0.5%,IF(AND(M49&gt;50,M49&lt;=500),M49*1%,IF(AND(M49&gt;1,M49&lt;=50),M49*1.5%))))</f>
        <v>65.650999999999996</v>
      </c>
      <c r="M65" s="308">
        <f t="shared" ca="1" si="1"/>
        <v>65.7</v>
      </c>
      <c r="N65" s="2740" t="s">
        <v>2008</v>
      </c>
      <c r="Z65" s="1908"/>
      <c r="AI65" s="1909"/>
    </row>
    <row r="66" spans="1:35" ht="14.25" customHeight="1">
      <c r="A66" s="178" t="s">
        <v>772</v>
      </c>
      <c r="B66" s="179" t="s">
        <v>2011</v>
      </c>
      <c r="C66" s="2763"/>
      <c r="D66" s="179" t="s">
        <v>32</v>
      </c>
      <c r="E66" s="1479" t="s">
        <v>1277</v>
      </c>
      <c r="F66" s="1964"/>
      <c r="G66" s="1964"/>
      <c r="H66" s="1966"/>
      <c r="I66" s="134"/>
      <c r="J66" s="3317"/>
      <c r="K66" s="1472" t="s">
        <v>2012</v>
      </c>
      <c r="L66" s="1472">
        <f ca="1">M49*0.5%</f>
        <v>328.255</v>
      </c>
      <c r="M66" s="308">
        <f ca="1">IF(L66&gt;0.5,0.5,ROUND(L66,0))</f>
        <v>0.5</v>
      </c>
      <c r="N66" s="2740" t="s">
        <v>2013</v>
      </c>
      <c r="Z66" s="1908"/>
      <c r="AI66" s="1909"/>
    </row>
    <row r="67" spans="1:35" ht="14.25" customHeight="1">
      <c r="A67" s="178" t="s">
        <v>773</v>
      </c>
      <c r="B67" s="179" t="s">
        <v>2014</v>
      </c>
      <c r="C67" s="2764">
        <f ca="1">C63-C66</f>
        <v>62525</v>
      </c>
      <c r="D67" s="175" t="s">
        <v>32</v>
      </c>
      <c r="E67" s="177"/>
      <c r="F67" s="1964"/>
      <c r="G67" s="1964"/>
      <c r="H67" s="1966"/>
      <c r="I67" s="134"/>
      <c r="J67" s="3317"/>
      <c r="K67" s="1472" t="s">
        <v>2015</v>
      </c>
      <c r="L67" s="1472">
        <f ca="1">IF(M49&gt;=10000,(8.25+(M49-10000)*0.01%),IF(AND(M49&gt;=8000,M49&lt;10000),(7.85+(M49-8000)*0.02%),IF(AND(M49&gt;=5000,M49&lt;8000),(6.65+(M49-5000)*0.04%),IF(AND(M49&gt;=2000,M49&lt;5000),(4.25+(PM49-2000)*0.08%),IF(AND(M49&gt;=1000,M49&lt;2000),(2.75+(M49-1000)*0.15%),IF(AND(M49&gt;=100,M49&lt;1000),(0.5+(M49-100)*0.25%),IF(AND(M49&gt;0,M49&lt;100),M49*0.5%)))))))</f>
        <v>13.815100000000001</v>
      </c>
      <c r="M67" s="308">
        <f ca="1">ROUND(L67*0.9,1)</f>
        <v>12.4</v>
      </c>
      <c r="N67" s="2739"/>
      <c r="Z67" s="1908"/>
      <c r="AI67" s="1909"/>
    </row>
    <row r="68" spans="1:35" ht="14.25" customHeight="1" thickBot="1">
      <c r="A68" s="181" t="s">
        <v>774</v>
      </c>
      <c r="B68" s="182" t="s">
        <v>2016</v>
      </c>
      <c r="C68" s="2765">
        <f ca="1">IF(C67&lt;=0,0,ROUND(C67*D68,0))</f>
        <v>3439</v>
      </c>
      <c r="D68" s="2766">
        <f>'数据-取费表'!B41</f>
        <v>5.5000000000000007E-2</v>
      </c>
      <c r="E68" s="184"/>
      <c r="F68" s="1964"/>
      <c r="G68" s="1964"/>
      <c r="H68" s="1966"/>
      <c r="I68" s="134"/>
      <c r="J68" s="3317"/>
      <c r="K68" s="1472" t="s">
        <v>2017</v>
      </c>
      <c r="L68" s="1472">
        <f ca="1">IF(M49&gt;10000,M49*0.5%,IF(AND(M49&gt;5000,M49&lt;=10000),M49*1%,IF(AND(M49&gt;1000,M49&lt;=5000),M49*2%,IF(AND(M49&gt;200,M49&lt;=1000),M49*3%,M49*5%))))</f>
        <v>328.255</v>
      </c>
      <c r="M68" s="308">
        <f ca="1">ROUND(L68,1)</f>
        <v>328.3</v>
      </c>
      <c r="N68" s="2739"/>
      <c r="Z68" s="1908"/>
      <c r="AI68" s="1909"/>
    </row>
    <row r="69" spans="1:35" s="1928" customFormat="1" ht="16.5" customHeight="1">
      <c r="A69" s="1967"/>
      <c r="B69" s="1968"/>
      <c r="C69" s="1969"/>
      <c r="D69" s="1970"/>
      <c r="E69" s="1971"/>
      <c r="F69" s="1733"/>
      <c r="G69" s="1733"/>
      <c r="H69" s="1732"/>
      <c r="I69" s="1903"/>
      <c r="J69" s="3317"/>
      <c r="K69" s="1472" t="s">
        <v>2018</v>
      </c>
      <c r="L69" s="1472"/>
      <c r="M69" s="308">
        <f ca="1">ROUND(SUM(M63:M68),0)</f>
        <v>1064</v>
      </c>
      <c r="N69" s="2741">
        <f ca="1">M69/M49</f>
        <v>1.6206912309028043E-2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2019</v>
      </c>
      <c r="B70" s="3362"/>
      <c r="C70" s="3362"/>
      <c r="D70" s="3362"/>
      <c r="E70" s="3362"/>
      <c r="F70" s="3362"/>
      <c r="G70" s="3362"/>
      <c r="H70" s="336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3" t="s">
        <v>2000</v>
      </c>
      <c r="B71" s="3354"/>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62525</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58" t="s">
        <v>2027</v>
      </c>
      <c r="F76" s="3357"/>
      <c r="G76" s="3357"/>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313</v>
      </c>
      <c r="D78" s="2773">
        <f>'数据-取费表'!B43</f>
        <v>5.000000000000001E-3</v>
      </c>
      <c r="E78" s="3350" t="s">
        <v>2031</v>
      </c>
      <c r="F78" s="3351"/>
      <c r="G78" s="3351"/>
      <c r="H78" s="335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62212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198.76038338658148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37218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2035</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3" t="s">
        <v>2000</v>
      </c>
      <c r="B84" s="3354"/>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62525</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313</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9" t="s">
        <v>2809</v>
      </c>
      <c r="H90" s="3320"/>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50" t="s">
        <v>2044</v>
      </c>
      <c r="F91" s="3351"/>
      <c r="G91" s="335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50" t="s">
        <v>2047</v>
      </c>
      <c r="F92" s="3351"/>
      <c r="G92" s="3351"/>
      <c r="H92" s="3352"/>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313</v>
      </c>
      <c r="D93" s="2773">
        <f>'数据-取费表'!B43</f>
        <v>5.000000000000001E-3</v>
      </c>
      <c r="E93" s="3350" t="s">
        <v>2031</v>
      </c>
      <c r="F93" s="3351"/>
      <c r="G93" s="3351"/>
      <c r="H93" s="335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8" t="s">
        <v>2051</v>
      </c>
      <c r="F94" s="3399"/>
      <c r="G94" s="3399"/>
      <c r="H94" s="3400"/>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62212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198.76038338658148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37218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0" t="s">
        <v>2053</v>
      </c>
      <c r="B100" s="3301"/>
      <c r="C100" s="3301"/>
      <c r="D100" s="3335"/>
      <c r="E100" s="3301" t="s">
        <v>2054</v>
      </c>
      <c r="F100" s="3301"/>
      <c r="G100" s="3301"/>
      <c r="H100" s="3335"/>
      <c r="I100" s="134"/>
    </row>
    <row r="101" spans="1:35" ht="18.75" customHeight="1">
      <c r="A101" s="3343" t="s">
        <v>2055</v>
      </c>
      <c r="B101" s="3344"/>
      <c r="C101" s="2781" t="str">
        <f>C4</f>
        <v>成本法</v>
      </c>
      <c r="D101" s="2782" t="str">
        <f>D4</f>
        <v>收益法</v>
      </c>
      <c r="E101" s="3313" t="s">
        <v>2056</v>
      </c>
      <c r="F101" s="3314"/>
      <c r="G101" s="1983" t="s">
        <v>2057</v>
      </c>
      <c r="H101" s="2791">
        <f ca="1">H118</f>
        <v>65651</v>
      </c>
      <c r="I101" s="134"/>
    </row>
    <row r="102" spans="1:35" ht="18.75" customHeight="1">
      <c r="A102" s="3345" t="s">
        <v>2058</v>
      </c>
      <c r="B102" s="2780" t="s">
        <v>2057</v>
      </c>
      <c r="C102" s="2781">
        <f ca="1">C19</f>
        <v>102556</v>
      </c>
      <c r="D102" s="2782">
        <f ca="1">D19</f>
        <v>49835</v>
      </c>
      <c r="E102" s="3313"/>
      <c r="F102" s="3314"/>
      <c r="G102" s="1983" t="s">
        <v>2059</v>
      </c>
      <c r="H102" s="2751">
        <f ca="1">I118</f>
        <v>12839</v>
      </c>
      <c r="I102" s="134"/>
    </row>
    <row r="103" spans="1:35" ht="42.75" customHeight="1">
      <c r="A103" s="3345"/>
      <c r="B103" s="2780" t="s">
        <v>2059</v>
      </c>
      <c r="C103" s="2783">
        <f ca="1">C20</f>
        <v>20056</v>
      </c>
      <c r="D103" s="2784">
        <f ca="1">D20</f>
        <v>9746</v>
      </c>
      <c r="E103" s="3306" t="s">
        <v>2060</v>
      </c>
      <c r="F103" s="3307"/>
      <c r="G103" s="1984" t="s">
        <v>2061</v>
      </c>
      <c r="H103" s="2791">
        <f>IF(D36="正常操作",H104+H105+H106,H105+H106)</f>
        <v>0</v>
      </c>
      <c r="I103" s="134"/>
    </row>
    <row r="104" spans="1:35" ht="18.75" customHeight="1">
      <c r="A104" s="3345" t="s">
        <v>2062</v>
      </c>
      <c r="B104" s="2785" t="s">
        <v>2057</v>
      </c>
      <c r="C104" s="2786">
        <f ca="1">H118</f>
        <v>65651</v>
      </c>
      <c r="D104" s="2787"/>
      <c r="E104" s="1830" t="s">
        <v>2063</v>
      </c>
      <c r="F104" s="1821"/>
      <c r="G104" s="1984" t="s">
        <v>2061</v>
      </c>
      <c r="H104" s="2792">
        <f>IF(D36="同一抵押权人同一抵押物续贷",C36&amp;"（续贷，未扣减，详见特别提示）",C36)</f>
        <v>0</v>
      </c>
      <c r="I104" s="134"/>
    </row>
    <row r="105" spans="1:35" ht="18.75" customHeight="1" thickBot="1">
      <c r="A105" s="3355"/>
      <c r="B105" s="2788" t="s">
        <v>2059</v>
      </c>
      <c r="C105" s="2789">
        <f ca="1">I118</f>
        <v>12839</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6" t="str">
        <f>IF(项目基本情况!E8="已注销","——","3.房地产抵押价值")</f>
        <v>3.房地产抵押价值</v>
      </c>
      <c r="F107" s="3314"/>
      <c r="G107" s="1983" t="s">
        <v>2057</v>
      </c>
      <c r="H107" s="2791">
        <f ca="1">IF(E107="——","——",H101-H103)</f>
        <v>65651</v>
      </c>
      <c r="I107" s="134"/>
    </row>
    <row r="108" spans="1:35" ht="18.75" customHeight="1">
      <c r="A108" s="134"/>
      <c r="B108" s="134"/>
      <c r="C108" s="134"/>
      <c r="D108" s="134"/>
      <c r="E108" s="3346"/>
      <c r="F108" s="3314"/>
      <c r="G108" s="1983" t="s">
        <v>2059</v>
      </c>
      <c r="H108" s="2751">
        <f ca="1">ROUND(H107*10000/'数据-汇总表'!E3,0)</f>
        <v>12839</v>
      </c>
      <c r="I108" s="134"/>
    </row>
    <row r="109" spans="1:35" ht="18.75" customHeight="1">
      <c r="A109" s="134"/>
      <c r="B109" s="134"/>
      <c r="C109" s="134"/>
      <c r="D109" s="134"/>
      <c r="E109" s="3346" t="str">
        <f>IF(项目基本情况!E8="已注销及未注销","4.抵押担保权已注销时的房地产抵押价值",IF(项目基本情况!E8="已注销","3.抵押担保权已注销时的房地产抵押价值","——"))</f>
        <v>——</v>
      </c>
      <c r="F109" s="3314"/>
      <c r="G109" s="1983" t="s">
        <v>2057</v>
      </c>
      <c r="H109" s="2794" t="str">
        <f>IF(E109="——","——",H101-H105-H106)</f>
        <v>——</v>
      </c>
      <c r="I109" s="134"/>
    </row>
    <row r="110" spans="1:35" ht="18.75" customHeight="1">
      <c r="A110" s="134"/>
      <c r="B110" s="134"/>
      <c r="C110" s="134"/>
      <c r="D110" s="134"/>
      <c r="E110" s="3346"/>
      <c r="F110" s="3314"/>
      <c r="G110" s="1983" t="s">
        <v>2059</v>
      </c>
      <c r="H110" s="2751" t="str">
        <f>IF(H109="——","——",ROUND(H109*10000/'数据-汇总表'!E3,0))</f>
        <v>——</v>
      </c>
      <c r="I110" s="134"/>
    </row>
    <row r="111" spans="1:35" ht="18.75" customHeight="1">
      <c r="A111" s="134"/>
      <c r="B111" s="134"/>
      <c r="C111" s="134"/>
      <c r="D111" s="134"/>
      <c r="E111" s="3347" t="str">
        <f>IF(项目基本情况!E9="抵押净值",IF(OR(项目基本情况!E8="已注销",项目基本情况!E8="房地产抵押价值"),"4.抵押净值","5.抵押净值"),"——")</f>
        <v>——</v>
      </c>
      <c r="F111" s="3333"/>
      <c r="G111" s="1983" t="s">
        <v>2057</v>
      </c>
      <c r="H111" s="2791" t="str">
        <f>IF(E111="——","——",N59)</f>
        <v>——</v>
      </c>
      <c r="I111" s="134"/>
    </row>
    <row r="112" spans="1:35" ht="18.75" customHeight="1" thickBot="1">
      <c r="A112" s="134"/>
      <c r="B112" s="134"/>
      <c r="C112" s="134"/>
      <c r="D112" s="134"/>
      <c r="E112" s="3348"/>
      <c r="F112" s="3349"/>
      <c r="G112" s="1986" t="s">
        <v>2059</v>
      </c>
      <c r="H112" s="2795" t="str">
        <f>IF(E111="——","——",N61)</f>
        <v>——</v>
      </c>
      <c r="I112" s="134"/>
    </row>
    <row r="113" spans="1:27" ht="18.75" customHeight="1">
      <c r="A113" s="134"/>
      <c r="B113" s="134"/>
      <c r="C113" s="134"/>
      <c r="D113" s="134"/>
      <c r="E113" s="3356" t="s">
        <v>2065</v>
      </c>
      <c r="F113" s="3356"/>
      <c r="G113" s="3356"/>
      <c r="H113" s="3356"/>
      <c r="I113" s="134"/>
    </row>
    <row r="114" spans="1:27" ht="3.75" customHeight="1">
      <c r="A114" s="1903"/>
      <c r="B114" s="1903"/>
      <c r="C114" s="1903"/>
      <c r="D114" s="1903"/>
      <c r="E114" s="1965"/>
      <c r="F114" s="1965"/>
      <c r="G114" s="1965"/>
      <c r="H114" s="1965"/>
      <c r="I114" s="1903"/>
    </row>
    <row r="115" spans="1:27" ht="18.75" customHeight="1">
      <c r="A115" s="3367" t="s">
        <v>2067</v>
      </c>
      <c r="B115" s="3368"/>
      <c r="C115" s="3368"/>
      <c r="D115" s="3368"/>
      <c r="E115" s="3368"/>
      <c r="F115" s="3368"/>
      <c r="G115" s="3368"/>
      <c r="H115" s="3368"/>
      <c r="I115" s="3369"/>
    </row>
    <row r="116" spans="1:27" ht="27" customHeight="1">
      <c r="A116" s="3321" t="s">
        <v>2068</v>
      </c>
      <c r="B116" s="3325" t="s">
        <v>2069</v>
      </c>
      <c r="C116" s="3325" t="s">
        <v>2070</v>
      </c>
      <c r="D116" s="3331" t="s">
        <v>2071</v>
      </c>
      <c r="E116" s="3332"/>
      <c r="F116" s="3363" t="s">
        <v>2072</v>
      </c>
      <c r="G116" s="3363"/>
      <c r="H116" s="3321" t="s">
        <v>2073</v>
      </c>
      <c r="I116" s="3321"/>
    </row>
    <row r="117" spans="1:27" ht="18.75" customHeight="1">
      <c r="A117" s="3321"/>
      <c r="B117" s="3326"/>
      <c r="C117" s="3326"/>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53834</v>
      </c>
      <c r="E118" s="2522">
        <f ca="1">ROUND(IF(C33="自定义",IF(D32="楼面单价",C34,D118*10000/B118),I118-G118),0)</f>
        <v>10528</v>
      </c>
      <c r="F118" s="2522">
        <f ca="1">ROUND(IF(D32="总价",C35,G118*B118/10000),0)</f>
        <v>11817</v>
      </c>
      <c r="G118" s="2522">
        <f ca="1">ROUND(IF(D32="楼面单价",C35,F118*10000/B118),0)</f>
        <v>2311</v>
      </c>
      <c r="H118" s="2522">
        <f ca="1">ROUND(IF(D32="总价",C32,I118*B118/10000),0)</f>
        <v>65651</v>
      </c>
      <c r="I118" s="2522">
        <f ca="1">ROUND(IF(D32="楼面单价",C32,H118*10000/B118),0)</f>
        <v>12839</v>
      </c>
    </row>
    <row r="119" spans="1:27" ht="18.75" customHeight="1">
      <c r="A119" s="3321" t="s">
        <v>2077</v>
      </c>
      <c r="B119" s="3321"/>
      <c r="C119" s="3321"/>
      <c r="D119" s="3327" t="str">
        <f ca="1">NUMBERSTRING(INT(D118*10000),2)&amp;"元整"</f>
        <v>伍亿叁仟捌佰叁拾肆万元整</v>
      </c>
      <c r="E119" s="3328"/>
      <c r="F119" s="3327" t="str">
        <f ca="1">NUMBERSTRING(INT(F118*10000),2)&amp;"元整"</f>
        <v>壹亿壹仟捌佰壹拾柒万元整</v>
      </c>
      <c r="G119" s="3328"/>
      <c r="H119" s="3327" t="str">
        <f ca="1">NUMBERSTRING(INT(H118*10000),2)&amp;"元整"</f>
        <v>陆亿伍仟陆佰伍拾壹万元整</v>
      </c>
      <c r="I119" s="3328"/>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4" t="s">
        <v>2077</v>
      </c>
      <c r="B121" s="3365"/>
      <c r="C121" s="3366"/>
      <c r="D121" s="3327" t="str">
        <f>IF(D120=0,"零元整",NUMBERSTRING(INT(D120*10000),2)&amp;"元整")</f>
        <v>零元整</v>
      </c>
      <c r="E121" s="3329"/>
      <c r="F121" s="3329"/>
      <c r="G121" s="3329"/>
      <c r="H121" s="3329"/>
      <c r="I121" s="3328"/>
      <c r="AA121" s="734"/>
    </row>
    <row r="122" spans="1:27" ht="18.75" customHeight="1">
      <c r="A122" s="3333" t="str">
        <f>IF(项目基本情况!B9="房地产市场价值","",MID(E107,3,LEN(E107)-2))</f>
        <v>房地产抵押价值</v>
      </c>
      <c r="B122" s="3333"/>
      <c r="C122" s="3333"/>
      <c r="D122" s="3322">
        <f ca="1">H107</f>
        <v>65651</v>
      </c>
      <c r="E122" s="3323"/>
      <c r="F122" s="3323"/>
      <c r="G122" s="3323"/>
      <c r="H122" s="3323"/>
      <c r="I122" s="3324"/>
      <c r="AA122" s="734"/>
    </row>
    <row r="123" spans="1:27" ht="18.75" customHeight="1">
      <c r="A123" s="3321" t="s">
        <v>2077</v>
      </c>
      <c r="B123" s="3321"/>
      <c r="C123" s="3321"/>
      <c r="D123" s="3327" t="str">
        <f ca="1">NUMBERSTRING(INT(D122*10000),2)&amp;"元整"</f>
        <v>陆亿伍仟陆佰伍拾壹万元整</v>
      </c>
      <c r="E123" s="3329"/>
      <c r="F123" s="3329"/>
      <c r="G123" s="3329"/>
      <c r="H123" s="3329"/>
      <c r="I123" s="3328"/>
      <c r="AA123" s="734"/>
    </row>
    <row r="124" spans="1:27" ht="18.75" customHeight="1">
      <c r="A124" s="3333" t="str">
        <f>IF(项目基本情况!B9="房地产市场价值","",MID(E109,3,LEN(E109)-2))</f>
        <v/>
      </c>
      <c r="B124" s="3333"/>
      <c r="C124" s="3333"/>
      <c r="D124" s="3322" t="str">
        <f>H109</f>
        <v>——</v>
      </c>
      <c r="E124" s="3323"/>
      <c r="F124" s="3323"/>
      <c r="G124" s="3323"/>
      <c r="H124" s="3323"/>
      <c r="I124" s="3324"/>
      <c r="AA124" s="734"/>
    </row>
    <row r="125" spans="1:27" ht="18.75" customHeight="1">
      <c r="A125" s="3321" t="s">
        <v>2077</v>
      </c>
      <c r="B125" s="3321"/>
      <c r="C125" s="3321"/>
      <c r="D125" s="3327" t="e">
        <f>NUMBERSTRING(INT(D124*10000),2)&amp;"元整"</f>
        <v>#VALUE!</v>
      </c>
      <c r="E125" s="3329"/>
      <c r="F125" s="3329"/>
      <c r="G125" s="3329"/>
      <c r="H125" s="3329"/>
      <c r="I125" s="3328"/>
      <c r="AA125" s="734"/>
    </row>
    <row r="126" spans="1:27" ht="18.75" customHeight="1">
      <c r="A126" s="3333" t="str">
        <f>IF(项目基本情况!B9="房地产市场价值","",MID(E111,3,LEN(E111)-2))</f>
        <v/>
      </c>
      <c r="B126" s="3333"/>
      <c r="C126" s="3333"/>
      <c r="D126" s="3322" t="str">
        <f>H111</f>
        <v>——</v>
      </c>
      <c r="E126" s="3323"/>
      <c r="F126" s="3323"/>
      <c r="G126" s="3323"/>
      <c r="H126" s="3323"/>
      <c r="I126" s="3324"/>
      <c r="AA126" s="734"/>
    </row>
    <row r="127" spans="1:27" ht="18.75" customHeight="1">
      <c r="A127" s="3321" t="s">
        <v>2077</v>
      </c>
      <c r="B127" s="3321"/>
      <c r="C127" s="3321"/>
      <c r="D127" s="3327" t="e">
        <f>NUMBERSTRING(INT(D126*10000),2)&amp;"元整"</f>
        <v>#VALUE!</v>
      </c>
      <c r="E127" s="3329"/>
      <c r="F127" s="3329"/>
      <c r="G127" s="3329"/>
      <c r="H127" s="3329"/>
      <c r="I127" s="3328"/>
      <c r="AA127" s="734"/>
    </row>
    <row r="128" spans="1:27" ht="21.75" customHeight="1">
      <c r="A128" s="3330" t="s">
        <v>2078</v>
      </c>
      <c r="B128" s="3330"/>
      <c r="C128" s="3330"/>
      <c r="D128" s="3330"/>
      <c r="E128" s="3330"/>
      <c r="F128" s="3330"/>
      <c r="G128" s="3330"/>
      <c r="H128" s="3330"/>
      <c r="I128" s="3330"/>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F33" sqref="F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102556</v>
      </c>
      <c r="C2" s="205" t="s">
        <v>2088</v>
      </c>
      <c r="D2" s="2009" t="s">
        <v>3174</v>
      </c>
      <c r="E2" s="1303">
        <f ca="1">SUMIF(INDIRECT("'"&amp;G2&amp;"'"&amp;"!A:A"),"承租人权益价值",INDIRECT("'"&amp;G2&amp;"'"&amp;"!c:c"))</f>
        <v>15445</v>
      </c>
      <c r="F2" s="2010" t="s">
        <v>2088</v>
      </c>
      <c r="G2" s="2011" t="s">
        <v>3152</v>
      </c>
    </row>
    <row r="3" spans="1:9" s="206" customFormat="1" ht="18" customHeight="1" thickBot="1">
      <c r="A3" s="209" t="s">
        <v>2089</v>
      </c>
      <c r="B3" s="210">
        <f ca="1">ROUND(B2*10000/(IF(B1="",'数据-汇总表'!E3,INDIRECT("'数据-取费表'!k"&amp;$G$1))),0)</f>
        <v>20056</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70481</v>
      </c>
      <c r="D5" s="217" t="s">
        <v>2094</v>
      </c>
      <c r="E5" s="218" t="s">
        <v>2095</v>
      </c>
      <c r="F5" s="218" t="s">
        <v>2096</v>
      </c>
      <c r="G5" s="219"/>
    </row>
    <row r="6" spans="1:9" s="220" customFormat="1" ht="13.5" customHeight="1">
      <c r="A6" s="886" t="s">
        <v>2097</v>
      </c>
      <c r="B6" s="221" t="s">
        <v>2098</v>
      </c>
      <c r="C6" s="222">
        <f>基准地价修正!B2</f>
        <v>67402</v>
      </c>
      <c r="D6" s="223"/>
      <c r="E6" s="224"/>
      <c r="F6" s="224"/>
      <c r="G6" s="225"/>
    </row>
    <row r="7" spans="1:9" s="220" customFormat="1" ht="13.5" customHeight="1">
      <c r="A7" s="886" t="s">
        <v>2099</v>
      </c>
      <c r="B7" s="221" t="s">
        <v>2100</v>
      </c>
      <c r="C7" s="226">
        <f>ROUND(C6*F7,0)</f>
        <v>2056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8" s="220" customFormat="1" ht="13.5" customHeight="1">
      <c r="A20" s="261" t="s">
        <v>2118</v>
      </c>
      <c r="B20" s="216" t="s">
        <v>2119</v>
      </c>
      <c r="C20" s="238">
        <f ca="1">ROUND((C5+C19)*F20,0)</f>
        <v>1410</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4531</v>
      </c>
      <c r="D22" s="241">
        <f ca="1">C26</f>
        <v>5.9999999999999995E-4</v>
      </c>
      <c r="E22" s="242" t="s">
        <v>2123</v>
      </c>
      <c r="F22" s="243">
        <f ca="1">'数据-取费表'!B40</f>
        <v>4.2000000000000003E-2</v>
      </c>
      <c r="G22" s="240" t="str">
        <f>IF('数据-取费表'!B22&lt;=1,"单利计息","复利计息")</f>
        <v>复利计息</v>
      </c>
      <c r="H22" s="220">
        <f>0.02*((1+4.2%)^(1.5/2)-1)</f>
        <v>6.2674905005997593E-4</v>
      </c>
    </row>
    <row r="23" spans="1:8" s="220" customFormat="1" ht="13.5" customHeight="1">
      <c r="A23" s="888" t="s">
        <v>2127</v>
      </c>
      <c r="B23" s="221" t="s">
        <v>2128</v>
      </c>
      <c r="C23" s="1237">
        <f ca="1">ROUND(IF('数据-取费表'!B22&lt;=1,C5*F22*'数据-取费表'!B23,C5*(POWER((1+F22),'数据-取费表'!B23)-1)),0)</f>
        <v>4487</v>
      </c>
      <c r="D23" s="244"/>
      <c r="E23" s="244"/>
      <c r="F23" s="245"/>
      <c r="G23" s="246" t="s">
        <v>2129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8" s="220" customFormat="1" ht="24">
      <c r="A25" s="888" t="s">
        <v>2133</v>
      </c>
      <c r="B25" s="221" t="s">
        <v>2134</v>
      </c>
      <c r="C25" s="1237">
        <f ca="1">ROUND(IF('数据-取费表'!B22&lt;=1,C20*F22*'数据-取费表'!B23/2,C20*(POWER((1+F22),'数据-取费表'!B23/2)-1)),0)</f>
        <v>44</v>
      </c>
      <c r="D25" s="244"/>
      <c r="E25" s="247"/>
      <c r="F25" s="245"/>
      <c r="G25" s="248" t="s">
        <v>2135</v>
      </c>
    </row>
    <row r="26" spans="1:8" s="220" customFormat="1">
      <c r="A26" s="888" t="s">
        <v>795</v>
      </c>
      <c r="B26" s="221" t="s">
        <v>2136</v>
      </c>
      <c r="C26" s="244">
        <f ca="1">ROUND(IF('数据-取费表'!B22&lt;=1,F21*F22*'数据-取费表'!B23/2,F21*(POWER((1+F22),'数据-取费表'!B23/2)-1)),4)</f>
        <v>5.9999999999999995E-4</v>
      </c>
      <c r="D26" s="244"/>
      <c r="E26" s="247"/>
      <c r="F26" s="245"/>
      <c r="G26" s="249"/>
    </row>
    <row r="27" spans="1:8" s="220" customFormat="1" ht="24.75">
      <c r="A27" s="261" t="s">
        <v>2137</v>
      </c>
      <c r="B27" s="250" t="s">
        <v>2138</v>
      </c>
      <c r="C27" s="251">
        <f ca="1">C28</f>
        <v>12940</v>
      </c>
      <c r="D27" s="241">
        <f ca="1">C29</f>
        <v>3.5999999999999999E-3</v>
      </c>
      <c r="E27" s="242" t="s">
        <v>2139</v>
      </c>
      <c r="F27" s="252">
        <f ca="1">IF(B1="",'数据-取费表'!Q16,INDIRECT("'数据-取费表'!q"&amp;$G$1))</f>
        <v>0.18</v>
      </c>
      <c r="G27" s="253" t="s">
        <v>2140</v>
      </c>
    </row>
    <row r="28" spans="1:8" s="220" customFormat="1" ht="13.5" customHeight="1">
      <c r="A28" s="888" t="s">
        <v>791</v>
      </c>
      <c r="B28" s="254" t="s">
        <v>2141</v>
      </c>
      <c r="C28" s="255">
        <f ca="1">ROUND((C5+C19+C20)*F27*'数据-取费表'!B21/'数据-取费表'!B20,0)</f>
        <v>12940</v>
      </c>
      <c r="D28" s="241"/>
      <c r="E28" s="242"/>
      <c r="F28" s="252"/>
      <c r="G28" s="253"/>
    </row>
    <row r="29" spans="1:8" s="220" customFormat="1" ht="13.5" customHeight="1">
      <c r="A29" s="888" t="s">
        <v>792</v>
      </c>
      <c r="B29" s="254" t="s">
        <v>2142</v>
      </c>
      <c r="C29" s="244">
        <f ca="1">ROUND(C21*F27*'数据-取费表'!B21/'数据-取费表'!B20,4)</f>
        <v>3.5999999999999999E-3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96775</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19112</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17310</v>
      </c>
      <c r="D34" s="223"/>
      <c r="E34" s="226"/>
      <c r="F34" s="263">
        <f ca="1">IF('数据-取费表'!B24=0,1,IF(B1="",'数据-取费表'!N16,INDIRECT("'数据-取费表'!n"&amp;$G$1)))</f>
        <v>1</v>
      </c>
      <c r="G34" s="225" t="s">
        <v>2151</v>
      </c>
    </row>
    <row r="35" spans="1:8" ht="13.5" customHeight="1">
      <c r="A35" s="888" t="s">
        <v>796</v>
      </c>
      <c r="B35" s="221" t="s">
        <v>2152</v>
      </c>
      <c r="C35" s="226">
        <f ca="1">ROUND(C34*F35,0)</f>
        <v>519</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8" s="264" customFormat="1" ht="13.5" customHeight="1">
      <c r="A37" s="888" t="s">
        <v>798</v>
      </c>
      <c r="B37" s="221" t="s">
        <v>2156</v>
      </c>
      <c r="C37" s="255">
        <f ca="1">ROUND(E37*D37*F34/10000,0)</f>
        <v>1023</v>
      </c>
      <c r="D37" s="223">
        <f ca="1">D19</f>
        <v>51136.03</v>
      </c>
      <c r="E37" s="255">
        <f>'数据-取费表'!B35</f>
        <v>200</v>
      </c>
      <c r="F37" s="265"/>
      <c r="G37" s="267" t="s">
        <v>2157</v>
      </c>
    </row>
    <row r="38" spans="1:8" ht="13.5" customHeight="1">
      <c r="A38" s="888" t="s">
        <v>799</v>
      </c>
      <c r="B38" s="221" t="s">
        <v>2158</v>
      </c>
      <c r="C38" s="226">
        <f ca="1">ROUND(C34*F38,0)</f>
        <v>260</v>
      </c>
      <c r="D38" s="226"/>
      <c r="E38" s="226"/>
      <c r="F38" s="265">
        <f>'数据-取费表'!B36</f>
        <v>1.4999999999999999E-2</v>
      </c>
      <c r="G38" s="225" t="s">
        <v>2153</v>
      </c>
    </row>
    <row r="39" spans="1:8" s="220" customFormat="1" ht="13.5" customHeight="1">
      <c r="A39" s="261" t="s">
        <v>2159</v>
      </c>
      <c r="B39" s="216" t="s">
        <v>2160</v>
      </c>
      <c r="C39" s="238">
        <f ca="1">ROUND(C33*F20,0)</f>
        <v>382</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c r="H40" s="220">
        <f>(0.02)*((1+4.2%)^(1.5/2)-1)</f>
        <v>6.2674905005997593E-4</v>
      </c>
    </row>
    <row r="41" spans="1:8" s="220" customFormat="1" ht="13.5" customHeight="1">
      <c r="A41" s="261" t="s">
        <v>2166</v>
      </c>
      <c r="B41" s="216" t="s">
        <v>2167</v>
      </c>
      <c r="C41" s="238">
        <f ca="1">ROUND(SUM(C42:C43),0)</f>
        <v>611</v>
      </c>
      <c r="D41" s="241">
        <f ca="1">C44</f>
        <v>5.9999999999999995E-4</v>
      </c>
      <c r="E41" s="242" t="s">
        <v>2164</v>
      </c>
      <c r="F41" s="2506">
        <f ca="1">F22</f>
        <v>4.2000000000000003E-2</v>
      </c>
      <c r="G41" s="240" t="str">
        <f>IF('数据-取费表'!B22&lt;=1,"单利计息","复利计息")</f>
        <v>复利计息</v>
      </c>
    </row>
    <row r="42" spans="1:8" ht="13.5" customHeight="1">
      <c r="A42" s="888" t="s">
        <v>791</v>
      </c>
      <c r="B42" s="221" t="s">
        <v>2168</v>
      </c>
      <c r="C42" s="244">
        <f ca="1">ROUND(IF('数据-取费表'!B22&lt;=1,C33*F22*'数据-取费表'!B21/2,C33*(POWER((1+F22),'数据-取费表'!B21/2)-1)),0)</f>
        <v>599</v>
      </c>
      <c r="D42" s="244"/>
      <c r="E42" s="244"/>
      <c r="F42" s="245"/>
      <c r="G42" s="3403" t="s">
        <v>2169</v>
      </c>
    </row>
    <row r="43" spans="1:8" ht="13.5" customHeight="1">
      <c r="A43" s="888" t="s">
        <v>792</v>
      </c>
      <c r="B43" s="221" t="s">
        <v>2170</v>
      </c>
      <c r="C43" s="244">
        <f ca="1">ROUND(IF('数据-取费表'!B22&lt;=1,C39*F22*'数据-取费表'!B21/2,C39*(POWER((1+F22),'数据-取费表'!B21/2)-1)),0)</f>
        <v>12</v>
      </c>
      <c r="D43" s="244"/>
      <c r="E43" s="244"/>
      <c r="F43" s="245"/>
      <c r="G43" s="3404"/>
    </row>
    <row r="44" spans="1:8" ht="13.5" customHeight="1">
      <c r="A44" s="888" t="s">
        <v>793</v>
      </c>
      <c r="B44" s="221" t="s">
        <v>2171</v>
      </c>
      <c r="C44" s="244">
        <f ca="1">ROUND(IF('数据-取费表'!B22&lt;=1,C40*F22*'数据-取费表'!B21/2,C40*(POWER((1+F22),'数据-取费表'!B21/2)-1)),4)</f>
        <v>5.9999999999999995E-4</v>
      </c>
      <c r="D44" s="244"/>
      <c r="E44" s="244"/>
      <c r="F44" s="245"/>
      <c r="G44" s="3405"/>
    </row>
    <row r="45" spans="1:8" s="220" customFormat="1" ht="13.5" customHeight="1">
      <c r="A45" s="261" t="s">
        <v>2172</v>
      </c>
      <c r="B45" s="250" t="s">
        <v>2138</v>
      </c>
      <c r="C45" s="251">
        <f ca="1">C46</f>
        <v>3509</v>
      </c>
      <c r="D45" s="241">
        <f ca="1">C47</f>
        <v>3.5999999999999999E-3</v>
      </c>
      <c r="E45" s="242" t="s">
        <v>2164</v>
      </c>
      <c r="F45" s="2507">
        <f ca="1">F27</f>
        <v>0.18</v>
      </c>
      <c r="G45" s="253" t="s">
        <v>2173</v>
      </c>
    </row>
    <row r="46" spans="1:8" s="220" customFormat="1" ht="13.5" customHeight="1">
      <c r="A46" s="888" t="s">
        <v>791</v>
      </c>
      <c r="B46" s="254" t="s">
        <v>2174</v>
      </c>
      <c r="C46" s="255">
        <f ca="1">ROUND((C33+C39)*F27,0)</f>
        <v>3509</v>
      </c>
      <c r="D46" s="269"/>
      <c r="E46" s="242"/>
      <c r="F46" s="252"/>
      <c r="G46" s="253"/>
    </row>
    <row r="47" spans="1:8" s="220" customFormat="1" ht="13.5" customHeight="1">
      <c r="A47" s="888" t="s">
        <v>792</v>
      </c>
      <c r="B47" s="254" t="s">
        <v>2175</v>
      </c>
      <c r="C47" s="244">
        <f ca="1">ROUND(C40*F27,4)</f>
        <v>3.5999999999999999E-3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25573</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21226</v>
      </c>
      <c r="D51" s="238"/>
      <c r="E51" s="238"/>
      <c r="F51" s="270"/>
      <c r="G51" s="240" t="s">
        <v>2185</v>
      </c>
    </row>
    <row r="52" spans="1:7" s="214" customFormat="1" ht="16.5" thickBot="1">
      <c r="A52" s="271" t="s">
        <v>2186</v>
      </c>
      <c r="B52" s="272"/>
      <c r="C52" s="273">
        <f ca="1">C31+C51</f>
        <v>118001</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24033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4700</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191111964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173095462</v>
      </c>
      <c r="D34" s="223"/>
      <c r="E34" s="226"/>
      <c r="F34" s="263"/>
      <c r="G34" s="225"/>
    </row>
    <row r="35" spans="1:7" ht="13.5" customHeight="1">
      <c r="A35" s="888" t="s">
        <v>796</v>
      </c>
      <c r="B35" s="221" t="s">
        <v>2152</v>
      </c>
      <c r="C35" s="226">
        <f ca="1">ROUND(C34*F35,0)</f>
        <v>5192864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2596432</v>
      </c>
      <c r="D38" s="226"/>
      <c r="E38" s="226"/>
      <c r="F38" s="265">
        <f>'数据-取费表'!B36</f>
        <v>1.4999999999999999E-2</v>
      </c>
      <c r="G38" s="225" t="s">
        <v>2153</v>
      </c>
    </row>
    <row r="39" spans="1:7" s="220" customFormat="1" ht="13.5" customHeight="1">
      <c r="A39" s="261" t="s">
        <v>2159</v>
      </c>
      <c r="B39" s="216" t="s">
        <v>2160</v>
      </c>
      <c r="C39" s="238">
        <f ca="1">ROUND(C33*F20,0)</f>
        <v>3822239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6108741</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5988962</v>
      </c>
      <c r="D42" s="244"/>
      <c r="E42" s="244"/>
      <c r="F42" s="245"/>
      <c r="G42" s="3403" t="s">
        <v>2216</v>
      </c>
    </row>
    <row r="43" spans="1:7" ht="13.5" customHeight="1">
      <c r="A43" s="888" t="s">
        <v>792</v>
      </c>
      <c r="B43" s="221" t="s">
        <v>2170</v>
      </c>
      <c r="C43" s="244">
        <f ca="1">ROUND(IF('数据-取费表'!B22&lt;=1,C39*F22*'数据-取费表'!B20/2,C39*(POWER((1+F22),'数据-取费表'!B20/2)-1)),0)</f>
        <v>119779</v>
      </c>
      <c r="D43" s="244"/>
      <c r="E43" s="244"/>
      <c r="F43" s="245"/>
      <c r="G43" s="3404"/>
    </row>
    <row r="44" spans="1:7" ht="13.5" customHeight="1">
      <c r="A44" s="888" t="s">
        <v>793</v>
      </c>
      <c r="B44" s="221" t="s">
        <v>2171</v>
      </c>
      <c r="C44" s="244">
        <f ca="1">ROUND(IF('数据-取费表'!B22&lt;=1,C40*F22*'数据-取费表'!B20/2,C40*(POWER((1+F22),'数据-取费表'!B20/2)-1)),4)</f>
        <v>5.9999999999999995E-4</v>
      </c>
      <c r="D44" s="244"/>
      <c r="E44" s="244"/>
      <c r="F44" s="245"/>
      <c r="G44" s="3405"/>
    </row>
    <row r="45" spans="1:7" s="220" customFormat="1" ht="13.5" customHeight="1">
      <c r="A45" s="261" t="s">
        <v>2172</v>
      </c>
      <c r="B45" s="250" t="s">
        <v>2138</v>
      </c>
      <c r="C45" s="251">
        <f ca="1">C46</f>
        <v>35088157</v>
      </c>
      <c r="D45" s="241">
        <f ca="1">C47</f>
        <v>3.5999999999999999E-3</v>
      </c>
      <c r="E45" s="242" t="s">
        <v>2164</v>
      </c>
      <c r="F45" s="2507">
        <f ca="1">F27</f>
        <v>0.18</v>
      </c>
      <c r="G45" s="253" t="s">
        <v>2173</v>
      </c>
    </row>
    <row r="46" spans="1:7" s="220" customFormat="1" ht="13.5" customHeight="1">
      <c r="A46" s="888" t="s">
        <v>791</v>
      </c>
      <c r="B46" s="254" t="s">
        <v>2174</v>
      </c>
      <c r="C46" s="255">
        <f ca="1">ROUND((C33+C39)*F27,0)</f>
        <v>35088157</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255719191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212246929</v>
      </c>
      <c r="D51" s="238"/>
      <c r="E51" s="238"/>
      <c r="F51" s="270"/>
      <c r="G51" s="240" t="s">
        <v>2185</v>
      </c>
    </row>
    <row r="52" spans="1:7" s="214" customFormat="1" ht="16.5" thickBot="1">
      <c r="A52" s="271" t="s">
        <v>2186</v>
      </c>
      <c r="B52" s="272"/>
      <c r="C52" s="273">
        <f ca="1">C31+C51</f>
        <v>240332067</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6" zoomScale="80" zoomScaleNormal="80" zoomScaleSheetLayoutView="80" workbookViewId="0">
      <selection activeCell="F27" sqref="F27"/>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67402</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25207</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13181</v>
      </c>
      <c r="C3" s="2155" t="s">
        <v>2579</v>
      </c>
      <c r="D3" s="2156" t="s">
        <v>2580</v>
      </c>
      <c r="E3" s="2161" t="s">
        <v>3154</v>
      </c>
      <c r="F3" s="2162" t="s">
        <v>3184</v>
      </c>
      <c r="G3" s="855">
        <f>IF(F3="宗地容积率",'数据-汇总表'!I4,IF(F3="估价对象容积率",'数据-汇总表'!I6,'数据-汇总表'!I7))</f>
        <v>2</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5"/>
      <c r="B4" s="3426"/>
      <c r="C4" s="3426"/>
      <c r="D4" s="3427"/>
      <c r="E4" s="3427"/>
      <c r="F4" s="3427"/>
      <c r="G4" s="3427"/>
      <c r="H4" s="3427"/>
      <c r="I4" s="3427"/>
      <c r="J4" s="3428"/>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9974</v>
      </c>
      <c r="U6" s="1347"/>
      <c r="V6" s="1346">
        <f t="shared" si="1"/>
        <v>0</v>
      </c>
      <c r="W6" s="1350"/>
      <c r="X6" s="1350"/>
      <c r="Y6" s="1350"/>
      <c r="Z6" s="1350"/>
      <c r="AA6" s="1350"/>
      <c r="AB6" s="1350"/>
      <c r="AC6" s="2169"/>
      <c r="AD6" s="2170"/>
      <c r="AE6" s="2170"/>
      <c r="AF6" s="2170"/>
      <c r="AG6" s="2170"/>
      <c r="AH6" s="2170"/>
      <c r="AI6" s="2170"/>
      <c r="AJ6" s="2171"/>
    </row>
    <row r="7" spans="1:36" ht="24">
      <c r="A7" s="3406"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8771</v>
      </c>
      <c r="U7" s="1347"/>
      <c r="V7" s="1346">
        <f t="shared" si="1"/>
        <v>0</v>
      </c>
      <c r="W7" s="1512" t="s">
        <v>2594</v>
      </c>
      <c r="X7" s="1348" t="str">
        <f>G2</f>
        <v>六级</v>
      </c>
      <c r="Y7" s="1348" t="s">
        <v>2595</v>
      </c>
      <c r="Z7" s="1349">
        <f>G3</f>
        <v>2</v>
      </c>
      <c r="AA7" s="1350"/>
      <c r="AB7" s="1350"/>
      <c r="AC7" s="1351"/>
      <c r="AD7" s="1352"/>
      <c r="AE7" s="1352"/>
      <c r="AF7" s="1352"/>
      <c r="AG7" s="1352"/>
      <c r="AH7" s="1352"/>
      <c r="AI7" s="1352"/>
      <c r="AJ7" s="1353"/>
    </row>
    <row r="8" spans="1:36" ht="25.5">
      <c r="A8" s="3429"/>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2" t="s">
        <v>2599</v>
      </c>
      <c r="X8" s="3423"/>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29"/>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4"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9"/>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9"/>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4" t="s">
        <v>2623</v>
      </c>
      <c r="X11" s="1358" t="s">
        <v>2624</v>
      </c>
      <c r="Y11" s="1359">
        <f>$G$3</f>
        <v>2</v>
      </c>
      <c r="Z11" s="1359">
        <f t="shared" ref="Z11:AJ11" si="3">$G$3</f>
        <v>2</v>
      </c>
      <c r="AA11" s="1359">
        <f t="shared" si="3"/>
        <v>2</v>
      </c>
      <c r="AB11" s="1359">
        <f t="shared" si="3"/>
        <v>2</v>
      </c>
      <c r="AC11" s="1359">
        <f t="shared" si="3"/>
        <v>2</v>
      </c>
      <c r="AD11" s="1359">
        <f t="shared" si="3"/>
        <v>2</v>
      </c>
      <c r="AE11" s="1359">
        <f t="shared" si="3"/>
        <v>2</v>
      </c>
      <c r="AF11" s="1359">
        <f t="shared" si="3"/>
        <v>2</v>
      </c>
      <c r="AG11" s="1359">
        <f t="shared" si="3"/>
        <v>2</v>
      </c>
      <c r="AH11" s="1359">
        <f t="shared" si="3"/>
        <v>2</v>
      </c>
      <c r="AI11" s="1359">
        <f t="shared" si="3"/>
        <v>2</v>
      </c>
      <c r="AJ11" s="1359">
        <f t="shared" si="3"/>
        <v>2</v>
      </c>
    </row>
    <row r="12" spans="1:36" ht="25.5" thickBot="1">
      <c r="A12" s="3406"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4"/>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0"/>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24"/>
      <c r="X13" s="1360"/>
      <c r="Y13" s="1357">
        <f>(-0.163*(Y12^2)-0.59*Y12+7617)*(10^(-4))/Y11</f>
        <v>0.38085000000000002</v>
      </c>
      <c r="Z13" s="1357">
        <f t="shared" ref="Z13:AJ13" si="5">(-0.163*(Z12^2)-0.59*Z12+7617)*(10^(-4))/Z11</f>
        <v>0.38085000000000002</v>
      </c>
      <c r="AA13" s="1357">
        <f t="shared" si="5"/>
        <v>0.38085000000000002</v>
      </c>
      <c r="AB13" s="1357">
        <f t="shared" si="5"/>
        <v>0.38085000000000002</v>
      </c>
      <c r="AC13" s="1357">
        <f t="shared" si="5"/>
        <v>0.38085000000000002</v>
      </c>
      <c r="AD13" s="1357">
        <f t="shared" si="5"/>
        <v>0.38085000000000002</v>
      </c>
      <c r="AE13" s="1357">
        <f t="shared" si="5"/>
        <v>0.38085000000000002</v>
      </c>
      <c r="AF13" s="1357">
        <f t="shared" si="5"/>
        <v>0.38085000000000002</v>
      </c>
      <c r="AG13" s="1357">
        <f t="shared" si="5"/>
        <v>0.38085000000000002</v>
      </c>
      <c r="AH13" s="1357">
        <f t="shared" si="5"/>
        <v>0.38085000000000002</v>
      </c>
      <c r="AI13" s="1357">
        <f t="shared" si="5"/>
        <v>0.38085000000000002</v>
      </c>
      <c r="AJ13" s="1357">
        <f t="shared" si="5"/>
        <v>0.38085000000000002</v>
      </c>
    </row>
    <row r="14" spans="1:36" ht="15">
      <c r="A14" s="3430"/>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31"/>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6" t="s">
        <v>2642</v>
      </c>
      <c r="B16" s="2179" t="s">
        <v>2643</v>
      </c>
      <c r="C16" s="2341">
        <f>ROUND(IF(F17="与级别开发程度一致",0,(G17-E17)/C17),0)</f>
        <v>-20</v>
      </c>
      <c r="D16" s="3419" t="s">
        <v>2647</v>
      </c>
      <c r="E16" s="3420"/>
      <c r="F16" s="3419" t="s">
        <v>2644</v>
      </c>
      <c r="G16" s="3420"/>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7"/>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44631</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0.86599999999999999</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27.16</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1.0883</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1.0883</v>
      </c>
      <c r="E22" s="855">
        <f>ROUNDDOWN(G3,1)</f>
        <v>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67402</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665</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14726</v>
      </c>
      <c r="D29" s="2266">
        <f>'数据-汇总表'!F19</f>
        <v>43965.43</v>
      </c>
      <c r="E29" s="879">
        <f>ROUND(C29*D29/10000,0)</f>
        <v>64743</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3682</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6"/>
      <c r="B33" s="2282" t="s">
        <v>2688</v>
      </c>
      <c r="C33" s="180">
        <f>ROUND(D5*C19*C20*C24*F33,0)</f>
        <v>8611</v>
      </c>
      <c r="D33" s="2266">
        <f>'数据-基础表'!M13</f>
        <v>1295.19</v>
      </c>
      <c r="E33" s="176">
        <f>ROUND(C33*D33/10000,0)</f>
        <v>1115</v>
      </c>
      <c r="F33" s="176">
        <f>SUMIF(修正!A45:A56,G2,修正!B45:B56)</f>
        <v>0.7</v>
      </c>
      <c r="G33" s="176">
        <f t="shared" ref="G33" si="6">ROUND(IF(E2="工业",C33*$M$39,C33*$M$38),0)</f>
        <v>2153</v>
      </c>
      <c r="H33" s="176">
        <f>D33</f>
        <v>1295.19</v>
      </c>
      <c r="I33" s="176">
        <f>ROUND(G33*H33/10000,0)</f>
        <v>279</v>
      </c>
      <c r="J33" s="3421" t="s">
        <v>2993</v>
      </c>
      <c r="K33" s="1252"/>
      <c r="L33" s="1252">
        <f>1.1089+(1.0883-1.1089)*(2-1.96)/(1.96-1.9)</f>
        <v>1.0951666666666666</v>
      </c>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7"/>
      <c r="B34" s="2199" t="s">
        <v>2689</v>
      </c>
      <c r="C34" s="180">
        <f>ROUND(D5*C19*C20*C24*F34,0)</f>
        <v>4920</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7"/>
      <c r="B35" s="2199" t="s">
        <v>2690</v>
      </c>
      <c r="C35" s="180">
        <f>ROUND(D5*C19*C20*C24*F35,0)</f>
        <v>3444</v>
      </c>
      <c r="D35" s="2266"/>
      <c r="E35" s="176">
        <f t="shared" si="7"/>
        <v>0</v>
      </c>
      <c r="F35" s="176">
        <f>SUMIF(修正!A45:A56,G2,修正!D45:D56)</f>
        <v>0.28000000000000003</v>
      </c>
      <c r="G35" s="176">
        <f>ROUND(IF(E2="工业",C35*$M$39,C35*$M$38),0)</f>
        <v>861</v>
      </c>
      <c r="H35" s="176">
        <f t="shared" si="8"/>
        <v>0</v>
      </c>
      <c r="I35" s="176">
        <f t="shared" si="9"/>
        <v>0</v>
      </c>
      <c r="J35" s="3417"/>
      <c r="K35" s="1252">
        <f>(14833*43123.92+8609*2136.7+2628*5875.41)/10000</f>
        <v>67349.253314000001</v>
      </c>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8"/>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37.159999999999997</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E43" s="1252">
        <f>9790*1.1*1.3644*0.8658*1.0965*1.0634</f>
        <v>14833.374486911251</v>
      </c>
      <c r="G43" s="1252">
        <f>9790*1.3644*0.925*1.0634*0.2</f>
        <v>2627.8028960040001</v>
      </c>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8" t="s">
        <v>2729</v>
      </c>
      <c r="B90" s="3408"/>
      <c r="C90" s="3408"/>
      <c r="D90" s="3408"/>
      <c r="E90" s="3408"/>
      <c r="F90" s="3408"/>
      <c r="G90" s="3408"/>
      <c r="H90" s="3408"/>
      <c r="I90" s="3408"/>
      <c r="J90" s="3408"/>
      <c r="K90" s="2313"/>
      <c r="L90" s="2313"/>
      <c r="M90" s="2313"/>
      <c r="N90" s="2313"/>
    </row>
    <row r="91" spans="1:37">
      <c r="A91" s="3410" t="s">
        <v>2730</v>
      </c>
      <c r="B91" s="3410" t="s">
        <v>2731</v>
      </c>
      <c r="C91" s="2267" t="s">
        <v>2732</v>
      </c>
      <c r="D91" s="2268"/>
      <c r="E91" s="2268"/>
      <c r="F91" s="2268"/>
      <c r="G91" s="2268"/>
      <c r="H91" s="2268"/>
      <c r="I91" s="2268"/>
      <c r="J91" s="2314"/>
      <c r="K91" s="2315"/>
      <c r="L91" s="2315"/>
      <c r="M91" s="2315"/>
      <c r="N91" s="2315"/>
    </row>
    <row r="92" spans="1:37">
      <c r="A92" s="3410"/>
      <c r="B92" s="341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11"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2"/>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1" t="s">
        <v>2734</v>
      </c>
      <c r="B101" s="2320" t="s">
        <v>2735</v>
      </c>
      <c r="C101" s="2321">
        <f>$G$3</f>
        <v>2</v>
      </c>
      <c r="D101" s="2321">
        <f t="shared" ref="D101:N101" si="32">$G$3</f>
        <v>2</v>
      </c>
      <c r="E101" s="2321">
        <f t="shared" si="32"/>
        <v>2</v>
      </c>
      <c r="F101" s="2321">
        <f t="shared" si="32"/>
        <v>2</v>
      </c>
      <c r="G101" s="2321">
        <f t="shared" si="32"/>
        <v>2</v>
      </c>
      <c r="H101" s="2321">
        <f t="shared" si="32"/>
        <v>2</v>
      </c>
      <c r="I101" s="2321">
        <f t="shared" si="32"/>
        <v>2</v>
      </c>
      <c r="J101" s="2321">
        <f t="shared" si="32"/>
        <v>2</v>
      </c>
      <c r="K101" s="2321">
        <f t="shared" si="32"/>
        <v>2</v>
      </c>
      <c r="L101" s="2321">
        <f t="shared" si="32"/>
        <v>2</v>
      </c>
      <c r="M101" s="2321">
        <f t="shared" si="32"/>
        <v>2</v>
      </c>
      <c r="N101" s="2321">
        <f t="shared" si="32"/>
        <v>2</v>
      </c>
    </row>
    <row r="102" spans="1:14">
      <c r="A102" s="3412"/>
      <c r="B102" s="2316">
        <v>1</v>
      </c>
      <c r="C102" s="2317">
        <f>1.9362/C101</f>
        <v>0.96809999999999996</v>
      </c>
      <c r="D102" s="2317">
        <f>1.9362/D101</f>
        <v>0.96809999999999996</v>
      </c>
      <c r="E102" s="2317">
        <f>1.8629/E101</f>
        <v>0.93145</v>
      </c>
      <c r="F102" s="2317">
        <f>1.8629/F101</f>
        <v>0.93145</v>
      </c>
      <c r="G102" s="2317">
        <f>1.8629/G101</f>
        <v>0.93145</v>
      </c>
      <c r="H102" s="2317">
        <f>1.8629/H101</f>
        <v>0.93145</v>
      </c>
      <c r="I102" s="2317">
        <f>1.8629/I101</f>
        <v>0.93145</v>
      </c>
      <c r="J102" s="2317">
        <f>1.942/J101</f>
        <v>0.97099999999999997</v>
      </c>
      <c r="K102" s="2317">
        <f>1.942/K101</f>
        <v>0.97099999999999997</v>
      </c>
      <c r="L102" s="2317">
        <f>1.942/L101</f>
        <v>0.97099999999999997</v>
      </c>
      <c r="M102" s="2317">
        <f>1.942/M101</f>
        <v>0.97099999999999997</v>
      </c>
      <c r="N102" s="2317">
        <f>1.942/N101</f>
        <v>0.97099999999999997</v>
      </c>
    </row>
    <row r="103" spans="1:14">
      <c r="A103" s="3412"/>
      <c r="B103" s="2316">
        <v>2</v>
      </c>
      <c r="C103" s="2317">
        <f>1.4198/C101</f>
        <v>0.70989999999999998</v>
      </c>
      <c r="D103" s="2317">
        <f>1.4198/D101</f>
        <v>0.70989999999999998</v>
      </c>
      <c r="E103" s="2317">
        <f>1.3372/E101</f>
        <v>0.66859999999999997</v>
      </c>
      <c r="F103" s="2317">
        <f>1.3372/F101</f>
        <v>0.66859999999999997</v>
      </c>
      <c r="G103" s="2317">
        <f>1.3372/G101</f>
        <v>0.66859999999999997</v>
      </c>
      <c r="H103" s="2317">
        <f>1.3372/H101</f>
        <v>0.66859999999999997</v>
      </c>
      <c r="I103" s="2317">
        <f>1.3372/I101</f>
        <v>0.66859999999999997</v>
      </c>
      <c r="J103" s="2317">
        <f>1.2799/J101</f>
        <v>0.63995000000000002</v>
      </c>
      <c r="K103" s="2317">
        <f>1.2799/K101</f>
        <v>0.63995000000000002</v>
      </c>
      <c r="L103" s="2317">
        <f>1.2799/L101</f>
        <v>0.63995000000000002</v>
      </c>
      <c r="M103" s="2317">
        <f>1.2799/M101</f>
        <v>0.63995000000000002</v>
      </c>
      <c r="N103" s="2317">
        <f>1.2799/N101</f>
        <v>0.63995000000000002</v>
      </c>
    </row>
    <row r="104" spans="1:14">
      <c r="A104" s="3412"/>
      <c r="B104" s="2316">
        <v>3</v>
      </c>
      <c r="C104" s="2317">
        <f>1.1594/C101</f>
        <v>0.57969999999999999</v>
      </c>
      <c r="D104" s="2317">
        <f>1.1594/D101</f>
        <v>0.57969999999999999</v>
      </c>
      <c r="E104" s="2317">
        <f>1.0788/E101</f>
        <v>0.53939999999999999</v>
      </c>
      <c r="F104" s="2317">
        <f>1.0788/F101</f>
        <v>0.53939999999999999</v>
      </c>
      <c r="G104" s="2317">
        <f>1.0788/G101</f>
        <v>0.53939999999999999</v>
      </c>
      <c r="H104" s="2317">
        <f>1.0788/H101</f>
        <v>0.53939999999999999</v>
      </c>
      <c r="I104" s="2317">
        <f>1.0788/I101</f>
        <v>0.53939999999999999</v>
      </c>
      <c r="J104" s="2317">
        <f>1.0072/J101</f>
        <v>0.50360000000000005</v>
      </c>
      <c r="K104" s="2317">
        <f>1.0072/K101</f>
        <v>0.50360000000000005</v>
      </c>
      <c r="L104" s="2317">
        <f>1.0072/L101</f>
        <v>0.50360000000000005</v>
      </c>
      <c r="M104" s="2317">
        <f>1.0072/M101</f>
        <v>0.50360000000000005</v>
      </c>
      <c r="N104" s="2317">
        <f>1.0072/N101</f>
        <v>0.50360000000000005</v>
      </c>
    </row>
    <row r="105" spans="1:14">
      <c r="A105" s="3412"/>
      <c r="B105" s="2316">
        <v>4</v>
      </c>
      <c r="C105" s="2317">
        <f>0.9622/C101</f>
        <v>0.48110000000000003</v>
      </c>
      <c r="D105" s="2317">
        <f>0.9622/D101</f>
        <v>0.48110000000000003</v>
      </c>
      <c r="E105" s="2317">
        <f>0.8656/E101</f>
        <v>0.43280000000000002</v>
      </c>
      <c r="F105" s="2317">
        <f>0.8656/F101</f>
        <v>0.43280000000000002</v>
      </c>
      <c r="G105" s="2317">
        <f>0.8656/G101</f>
        <v>0.43280000000000002</v>
      </c>
      <c r="H105" s="2317">
        <f>0.8656/H101</f>
        <v>0.43280000000000002</v>
      </c>
      <c r="I105" s="2317">
        <f>0.8656/I101</f>
        <v>0.43280000000000002</v>
      </c>
      <c r="J105" s="2317">
        <f>0.7525/J101</f>
        <v>0.37624999999999997</v>
      </c>
      <c r="K105" s="2317">
        <f>0.7525/K101</f>
        <v>0.37624999999999997</v>
      </c>
      <c r="L105" s="2317">
        <f>0.7525/L101</f>
        <v>0.37624999999999997</v>
      </c>
      <c r="M105" s="2317">
        <f>0.7525/M101</f>
        <v>0.37624999999999997</v>
      </c>
      <c r="N105" s="2317">
        <f>0.7525/N101</f>
        <v>0.37624999999999997</v>
      </c>
    </row>
    <row r="106" spans="1:14">
      <c r="A106" s="3412"/>
      <c r="B106" s="2316">
        <v>5</v>
      </c>
      <c r="C106" s="2317">
        <f>0.8417/C101</f>
        <v>0.42085</v>
      </c>
      <c r="D106" s="2317">
        <f>0.8417/D101</f>
        <v>0.42085</v>
      </c>
      <c r="E106" s="2317">
        <f>0.7371/E101</f>
        <v>0.36854999999999999</v>
      </c>
      <c r="F106" s="2317">
        <f>0.7371/F101</f>
        <v>0.36854999999999999</v>
      </c>
      <c r="G106" s="2317">
        <f>0.7371/G101</f>
        <v>0.36854999999999999</v>
      </c>
      <c r="H106" s="2317">
        <f>0.7371/H101</f>
        <v>0.36854999999999999</v>
      </c>
      <c r="I106" s="2317">
        <f>0.7371/I101</f>
        <v>0.36854999999999999</v>
      </c>
      <c r="J106" s="2317">
        <f>0.5659/J101</f>
        <v>0.28294999999999998</v>
      </c>
      <c r="K106" s="2317">
        <f>0.5659/K101</f>
        <v>0.28294999999999998</v>
      </c>
      <c r="L106" s="2317">
        <f>0.5659/L101</f>
        <v>0.28294999999999998</v>
      </c>
      <c r="M106" s="2317">
        <f>0.5659/M101</f>
        <v>0.28294999999999998</v>
      </c>
      <c r="N106" s="2317">
        <f>0.5659/N101</f>
        <v>0.28294999999999998</v>
      </c>
    </row>
    <row r="107" spans="1:14">
      <c r="A107" s="3412"/>
      <c r="B107" s="2316">
        <v>6</v>
      </c>
      <c r="C107" s="2317">
        <f>0.7608/C101</f>
        <v>0.38040000000000002</v>
      </c>
      <c r="D107" s="2317">
        <f>0.7608/D101</f>
        <v>0.38040000000000002</v>
      </c>
      <c r="E107" s="2317">
        <f>0.6482/E101</f>
        <v>0.3241</v>
      </c>
      <c r="F107" s="2317">
        <f>0.6482/F101</f>
        <v>0.3241</v>
      </c>
      <c r="G107" s="2317">
        <f>0.6482/G101</f>
        <v>0.3241</v>
      </c>
      <c r="H107" s="2317">
        <f>0.6482/H101</f>
        <v>0.3241</v>
      </c>
      <c r="I107" s="2317">
        <f>0.6482/I101</f>
        <v>0.3241</v>
      </c>
      <c r="J107" s="2317">
        <f>0.4525/J101</f>
        <v>0.22625000000000001</v>
      </c>
      <c r="K107" s="2317">
        <f>0.4525/K101</f>
        <v>0.22625000000000001</v>
      </c>
      <c r="L107" s="2317">
        <f>0.4525/L101</f>
        <v>0.22625000000000001</v>
      </c>
      <c r="M107" s="2317">
        <f>0.4525/M101</f>
        <v>0.22625000000000001</v>
      </c>
      <c r="N107" s="2317">
        <f>0.4525/N101</f>
        <v>0.22625000000000001</v>
      </c>
    </row>
    <row r="108" spans="1:14">
      <c r="A108" s="3412"/>
      <c r="B108" s="3414"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13"/>
      <c r="B109" s="3415"/>
      <c r="C109" s="2319">
        <f>(-0.163*(C108^2)-0.59*C108+7617)*(10^(-4))/C101</f>
        <v>0.38085000000000002</v>
      </c>
      <c r="D109" s="2319">
        <f>(-0.163*(D108^2)-0.59*D108+7617)*(10^(-4))/D101</f>
        <v>0.38085000000000002</v>
      </c>
      <c r="E109" s="2319">
        <f>(-0.161*(E108^2)-7.509*E108+6533)*(10^(-4))/E101</f>
        <v>0.32665</v>
      </c>
      <c r="F109" s="2319">
        <f>(-0.161*(F108^2)-7.509*F108+6533)*(10^(-4))/F101</f>
        <v>0.32665</v>
      </c>
      <c r="G109" s="2319">
        <f>(-0.161*(G108^2)-7.509*G108+6533)*(10^(-4))/G101</f>
        <v>0.32665</v>
      </c>
      <c r="H109" s="2319">
        <f>(-0.161*(H108^2)-7.509*H108+6533)*(10^(-4))/H101</f>
        <v>0.32665</v>
      </c>
      <c r="I109" s="2319">
        <f>(-0.161*(I108^2)-7.509*I108+6533)*(10^(-4))/I101</f>
        <v>0.32665</v>
      </c>
      <c r="J109" s="2319">
        <f>(-0.214*(J108^2)-21.991*J108+4665)*(10^(-4))/J101</f>
        <v>0.23325000000000001</v>
      </c>
      <c r="K109" s="2319">
        <f>(-0.214*(K108^2)-21.991*K108+4665)*(10^(-4))/K101</f>
        <v>0.23325000000000001</v>
      </c>
      <c r="L109" s="2319">
        <f>(-0.214*(L108^2)-21.991*L108+4665)*(10^(-4))/L101</f>
        <v>0.23325000000000001</v>
      </c>
      <c r="M109" s="2319">
        <f>(-0.214*(M108^2)-21.991*M108+4665)*(10^(-4))/M101</f>
        <v>0.23325000000000001</v>
      </c>
      <c r="N109" s="2319">
        <f>(-0.214*(N108^2)-21.991*N108+4665)*(10^(-4))/N101</f>
        <v>0.23325000000000001</v>
      </c>
    </row>
    <row r="110" spans="1:14">
      <c r="A110" s="3409" t="s">
        <v>2737</v>
      </c>
      <c r="B110" s="3409"/>
      <c r="C110" s="3409"/>
      <c r="D110" s="3409"/>
      <c r="E110" s="3409"/>
      <c r="F110" s="3409"/>
      <c r="G110" s="3409"/>
      <c r="H110" s="3409"/>
      <c r="I110" s="3409"/>
      <c r="J110" s="3409"/>
      <c r="K110" s="2322"/>
      <c r="L110" s="2322"/>
      <c r="M110" s="2322"/>
      <c r="N110" s="2322"/>
    </row>
    <row r="112" spans="1:14" ht="13.5" thickBot="1"/>
    <row r="113" spans="1:13" ht="25.5" thickBot="1">
      <c r="A113" s="842" t="s">
        <v>2738</v>
      </c>
      <c r="B113" s="1197">
        <f>G3</f>
        <v>2</v>
      </c>
      <c r="C113" s="843" t="s">
        <v>2739</v>
      </c>
      <c r="D113" s="844">
        <f>SUMPRODUCT((A115:A118=F113)*(B114:M114=H113)*B115:M118)</f>
        <v>0.81130000000000002</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4">I115</f>
        <v>0.65800000000000003</v>
      </c>
      <c r="K115" s="849">
        <f t="shared" si="34"/>
        <v>0.65800000000000003</v>
      </c>
      <c r="L115" s="849">
        <f t="shared" si="34"/>
        <v>0.65800000000000003</v>
      </c>
      <c r="M115" s="850">
        <f t="shared" si="34"/>
        <v>0.65800000000000003</v>
      </c>
    </row>
    <row r="116" spans="1:13">
      <c r="A116" s="848" t="s">
        <v>2639</v>
      </c>
      <c r="B116" s="849">
        <f>ROUND(0.949-0.012*B113,4)</f>
        <v>0.92500000000000004</v>
      </c>
      <c r="C116" s="849">
        <f>B116</f>
        <v>0.92500000000000004</v>
      </c>
      <c r="D116" s="849">
        <f>ROUND(0.8567-0.013*B113,4)</f>
        <v>0.83069999999999999</v>
      </c>
      <c r="E116" s="849">
        <f t="shared" ref="E116:H117" si="35">D116</f>
        <v>0.83069999999999999</v>
      </c>
      <c r="F116" s="849">
        <f t="shared" si="35"/>
        <v>0.83069999999999999</v>
      </c>
      <c r="G116" s="849">
        <f t="shared" si="35"/>
        <v>0.83069999999999999</v>
      </c>
      <c r="H116" s="849">
        <f t="shared" si="35"/>
        <v>0.83069999999999999</v>
      </c>
      <c r="I116" s="849">
        <f>ROUND(0.7694-0.014*B113,4)</f>
        <v>0.74139999999999995</v>
      </c>
      <c r="J116" s="849">
        <f t="shared" si="34"/>
        <v>0.74139999999999995</v>
      </c>
      <c r="K116" s="849">
        <f t="shared" si="34"/>
        <v>0.74139999999999995</v>
      </c>
      <c r="L116" s="849">
        <f t="shared" si="34"/>
        <v>0.74139999999999995</v>
      </c>
      <c r="M116" s="850">
        <f t="shared" si="34"/>
        <v>0.74139999999999995</v>
      </c>
    </row>
    <row r="117" spans="1:13">
      <c r="A117" s="848" t="s">
        <v>2640</v>
      </c>
      <c r="B117" s="849">
        <f>ROUND(0.8808-0.006*B113,4)</f>
        <v>0.86880000000000002</v>
      </c>
      <c r="C117" s="849">
        <f>B117</f>
        <v>0.86880000000000002</v>
      </c>
      <c r="D117" s="849">
        <f>ROUND(0.8748-0.008*B113,4)</f>
        <v>0.85880000000000001</v>
      </c>
      <c r="E117" s="849">
        <f t="shared" si="35"/>
        <v>0.85880000000000001</v>
      </c>
      <c r="F117" s="849">
        <f t="shared" si="35"/>
        <v>0.85880000000000001</v>
      </c>
      <c r="G117" s="849">
        <f t="shared" si="35"/>
        <v>0.85880000000000001</v>
      </c>
      <c r="H117" s="849">
        <f t="shared" si="35"/>
        <v>0.85880000000000001</v>
      </c>
      <c r="I117" s="849">
        <f>ROUND(0.7412-0.0095*B113,4)</f>
        <v>0.72219999999999995</v>
      </c>
      <c r="J117" s="849">
        <f t="shared" si="34"/>
        <v>0.72219999999999995</v>
      </c>
      <c r="K117" s="849">
        <f t="shared" si="34"/>
        <v>0.72219999999999995</v>
      </c>
      <c r="L117" s="849">
        <f t="shared" si="34"/>
        <v>0.72219999999999995</v>
      </c>
      <c r="M117" s="850">
        <f t="shared" si="34"/>
        <v>0.72219999999999995</v>
      </c>
    </row>
    <row r="118" spans="1:13" ht="13.5" thickBot="1">
      <c r="A118" s="670" t="s">
        <v>2641</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4"/>
        <v>0.53949999999999998</v>
      </c>
      <c r="K118" s="851">
        <f t="shared" si="34"/>
        <v>0.53949999999999998</v>
      </c>
      <c r="L118" s="851">
        <f t="shared" si="34"/>
        <v>0.53949999999999998</v>
      </c>
      <c r="M118" s="852">
        <f t="shared" si="34"/>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7" sqref="A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49835</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9746</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3173</v>
      </c>
      <c r="D5" s="1518" t="s">
        <v>1307</v>
      </c>
      <c r="E5" s="1203"/>
      <c r="F5" s="1204"/>
      <c r="G5" s="1538"/>
      <c r="H5" s="305">
        <v>1</v>
      </c>
      <c r="I5" s="306" t="s">
        <v>1306</v>
      </c>
      <c r="J5" s="1202">
        <f ca="1">J6+J10+J12</f>
        <v>6761</v>
      </c>
      <c r="K5" s="1518" t="s">
        <v>1307</v>
      </c>
      <c r="L5" s="1203"/>
      <c r="M5" s="1204"/>
    </row>
    <row r="6" spans="1:37" ht="18" customHeight="1">
      <c r="A6" s="1201" t="s">
        <v>1003</v>
      </c>
      <c r="B6" s="3434" t="s">
        <v>1308</v>
      </c>
      <c r="C6" s="1206">
        <f ca="1">ROUND(F6*F8*F7*(1-F9)/10000,0)</f>
        <v>3173</v>
      </c>
      <c r="D6" s="160" t="s">
        <v>2788</v>
      </c>
      <c r="E6" s="308" t="s">
        <v>1310</v>
      </c>
      <c r="F6" s="309">
        <f ca="1">INDIRECT("'数据-取费表'!u"&amp;$G$1)</f>
        <v>1.7</v>
      </c>
      <c r="G6" s="1538"/>
      <c r="H6" s="1201" t="s">
        <v>1003</v>
      </c>
      <c r="I6" s="3434" t="s">
        <v>1308</v>
      </c>
      <c r="J6" s="307">
        <f ca="1">ROUND(M6*M8*M7*(1-M9)/10000,0)</f>
        <v>6753</v>
      </c>
      <c r="K6" s="160" t="s">
        <v>2787</v>
      </c>
      <c r="L6" s="308" t="s">
        <v>1310</v>
      </c>
      <c r="M6" s="309">
        <f ca="1">INDIRECT("'数据-取费表'!z"&amp;$G$1)</f>
        <v>4.0199999999999996</v>
      </c>
    </row>
    <row r="7" spans="1:37" ht="18" customHeight="1">
      <c r="A7" s="1205"/>
      <c r="B7" s="3435"/>
      <c r="C7" s="1207"/>
      <c r="D7" s="313"/>
      <c r="E7" s="1208" t="s">
        <v>1311</v>
      </c>
      <c r="F7" s="309">
        <f ca="1">IF(INDIRECT("'数据-取费表'!ah"&amp;$G$1)="",INDIRECT("'数据-取费表'!k"&amp;$G$1),INDIRECT("'数据-取费表'!ah"&amp;$G$1))</f>
        <v>51136.03</v>
      </c>
      <c r="G7" s="1538"/>
      <c r="H7" s="310"/>
      <c r="I7" s="3435"/>
      <c r="J7" s="312"/>
      <c r="K7" s="313"/>
      <c r="L7" s="308" t="s">
        <v>1311</v>
      </c>
      <c r="M7" s="309">
        <f ca="1">F7</f>
        <v>51136.03</v>
      </c>
    </row>
    <row r="8" spans="1:37" ht="18" customHeight="1">
      <c r="A8" s="310"/>
      <c r="B8" s="3435"/>
      <c r="C8" s="312"/>
      <c r="D8" s="313"/>
      <c r="E8" s="308" t="s">
        <v>1312</v>
      </c>
      <c r="F8" s="309">
        <f ca="1">INDIRECT("'数据-取费表'!ai"&amp;$G$1)</f>
        <v>365</v>
      </c>
      <c r="G8" s="1538"/>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8</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21226</v>
      </c>
      <c r="D13" s="1213" t="s">
        <v>1319</v>
      </c>
      <c r="E13" s="1213" t="s">
        <v>1320</v>
      </c>
      <c r="F13" s="1214">
        <f ca="1">INDIRECT("'数据-取费表'!y"&amp;$G$1)</f>
        <v>0.83</v>
      </c>
      <c r="G13" s="1538"/>
      <c r="H13" s="1211">
        <v>2</v>
      </c>
      <c r="I13" s="1212" t="s">
        <v>1318</v>
      </c>
      <c r="J13" s="1200">
        <f ca="1">ROUND(J14*J15,0)</f>
        <v>14832</v>
      </c>
      <c r="K13" s="1219" t="s">
        <v>1319</v>
      </c>
      <c r="L13" s="1546"/>
      <c r="M13" s="1547"/>
    </row>
    <row r="14" spans="1:37" ht="18" customHeight="1">
      <c r="A14" s="1113" t="s">
        <v>1002</v>
      </c>
      <c r="B14" s="308" t="s">
        <v>1321</v>
      </c>
      <c r="C14" s="324">
        <f ca="1">INDIRECT("'数据-取费表'!m"&amp;$G$1)+INDIRECT("'数据-取费表'!t"&amp;$G$1)</f>
        <v>17310</v>
      </c>
      <c r="D14" s="1499" t="s">
        <v>1322</v>
      </c>
      <c r="E14" s="1496"/>
      <c r="F14" s="325"/>
      <c r="G14" s="1538"/>
      <c r="H14" s="1113" t="s">
        <v>1003</v>
      </c>
      <c r="I14" s="308" t="s">
        <v>1323</v>
      </c>
      <c r="J14" s="24">
        <f ca="1">C29</f>
        <v>25573</v>
      </c>
      <c r="K14" s="15"/>
      <c r="L14" s="916"/>
      <c r="M14" s="917"/>
    </row>
    <row r="15" spans="1:37" s="1551" customFormat="1" ht="18" customHeight="1" thickBot="1">
      <c r="A15" s="1113" t="s">
        <v>1004</v>
      </c>
      <c r="B15" s="308" t="s">
        <v>1324</v>
      </c>
      <c r="C15" s="24">
        <f ca="1">ROUND(C14*F15,0)</f>
        <v>519</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1670</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1129</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353.73</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19112</v>
      </c>
      <c r="D19" s="136" t="s">
        <v>1340</v>
      </c>
      <c r="E19" s="1514"/>
      <c r="F19" s="26"/>
      <c r="G19" s="1538"/>
      <c r="H19" s="1113" t="s">
        <v>1004</v>
      </c>
      <c r="I19" s="308" t="s">
        <v>1341</v>
      </c>
      <c r="J19" s="24">
        <f ca="1">IF(K19="按租金收入计税",ROUND(J6*M19/(1+'数据-取费表'!C42),2),ROUND(C29*M19*0.7,2))</f>
        <v>771.77</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382</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383.6</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22.2</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135.19999999999999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5091</v>
      </c>
      <c r="K25" s="1227" t="s">
        <v>1368</v>
      </c>
      <c r="L25" s="1228"/>
      <c r="M25" s="1229"/>
    </row>
    <row r="26" spans="1:37">
      <c r="A26" s="1113" t="s">
        <v>1002</v>
      </c>
      <c r="B26" s="308" t="s">
        <v>1369</v>
      </c>
      <c r="C26" s="24">
        <f ca="1">ROUND((C19+C20)*F26,0)</f>
        <v>3509</v>
      </c>
      <c r="D26" s="329" t="s">
        <v>1370</v>
      </c>
      <c r="E26" s="319" t="s">
        <v>1371</v>
      </c>
      <c r="F26" s="318">
        <f ca="1">INDIRECT("'数据-取费表'!q"&amp;$G$1)</f>
        <v>0.18</v>
      </c>
      <c r="G26" s="1538"/>
      <c r="H26" s="305" t="s">
        <v>1000</v>
      </c>
      <c r="I26" s="306" t="s">
        <v>1372</v>
      </c>
      <c r="J26" s="307">
        <f ca="1">IF(J5&lt;&gt;0,ROUND(J25*(1-((1+M28)/(1+M26))^M27)/(M26-M28),0),0)</f>
        <v>49566</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12.35</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25573</v>
      </c>
      <c r="D29" s="1224"/>
      <c r="E29" s="1222"/>
      <c r="F29" s="1225"/>
      <c r="G29" s="1550"/>
      <c r="H29" s="340" t="s">
        <v>1001</v>
      </c>
      <c r="I29" s="341" t="s">
        <v>1383</v>
      </c>
      <c r="J29" s="342">
        <f ca="1">ROUND(J26/(1+F40)^F41,0)</f>
        <v>22429</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564</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532</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166.2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362.63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f ca="1">F49*(1+F70)^F41</f>
        <v>4.0224420725560304</v>
      </c>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31.8</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2609</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25971</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14.81</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5079</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15445</v>
      </c>
      <c r="D46" s="1560" t="str">
        <f>C2</f>
        <v>万元</v>
      </c>
      <c r="E46" s="1554"/>
      <c r="F46" s="1554"/>
      <c r="I46" s="1561" t="s">
        <v>1425</v>
      </c>
      <c r="J46" s="1562"/>
      <c r="K46" s="1563"/>
      <c r="L46" s="1564">
        <f ca="1">IF(M47="住宅",0,IF(L48&gt;J51,L60,J60))</f>
        <v>1435</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48400</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27.16</v>
      </c>
      <c r="O48" s="1572" t="s">
        <v>1009</v>
      </c>
      <c r="P48" s="1573" t="s">
        <v>1436</v>
      </c>
      <c r="Q48" s="1574">
        <f ca="1">J60</f>
        <v>1435</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25573</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20505</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27.16</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27.16</v>
      </c>
      <c r="K53" s="3432" t="s">
        <v>1452</v>
      </c>
      <c r="L53" s="3433"/>
      <c r="O53" s="1572" t="s">
        <v>1014</v>
      </c>
      <c r="P53" s="1573" t="s">
        <v>1453</v>
      </c>
      <c r="Q53" s="1574">
        <f ca="1">Q47+Q48</f>
        <v>49835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21226</v>
      </c>
      <c r="D56" s="1601"/>
      <c r="E56" s="1602"/>
      <c r="F56" s="1594"/>
      <c r="I56" s="1603" t="s">
        <v>1458</v>
      </c>
      <c r="J56" s="1604" t="s">
        <v>3173</v>
      </c>
      <c r="K56" s="1575" t="s">
        <v>1459</v>
      </c>
      <c r="L56" s="1578" t="str">
        <f ca="1">IF(L48&lt;J51,"——",L48-J53)</f>
        <v>——</v>
      </c>
      <c r="O56" s="1572" t="s">
        <v>1008</v>
      </c>
      <c r="P56" s="1573" t="s">
        <v>1432</v>
      </c>
      <c r="Q56" s="1574">
        <f ca="1">C40+J29</f>
        <v>48400</v>
      </c>
      <c r="R56" s="1574" t="s">
        <v>1433</v>
      </c>
    </row>
    <row r="57" spans="1:18" s="1538" customFormat="1" ht="24.75" thickBot="1">
      <c r="A57" s="1605"/>
      <c r="B57" s="1081" t="s">
        <v>1382</v>
      </c>
      <c r="C57" s="244">
        <f ca="1">C29</f>
        <v>25573</v>
      </c>
      <c r="D57" s="1606"/>
      <c r="E57" s="1607"/>
      <c r="F57" s="1608"/>
      <c r="I57" s="1609" t="s">
        <v>1460</v>
      </c>
      <c r="J57" s="1610">
        <f ca="1">IF(OR(M47="住宅",J51&lt;L48,J56="是"),"——",J51-L48)</f>
        <v>22.84</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1359</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10229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1435</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48400</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383.6</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31.8</v>
      </c>
      <c r="D65" s="1095" t="s">
        <v>1358</v>
      </c>
      <c r="E65" s="1081" t="s">
        <v>1359</v>
      </c>
      <c r="F65" s="336">
        <f t="shared" ca="1" si="0"/>
        <v>1.5E-3</v>
      </c>
      <c r="I65" s="1616" t="s">
        <v>1483</v>
      </c>
      <c r="J65" s="1617">
        <v>40</v>
      </c>
      <c r="K65" s="1617">
        <v>30</v>
      </c>
      <c r="L65" s="1617">
        <v>50</v>
      </c>
      <c r="M65" s="1619">
        <v>0.02</v>
      </c>
      <c r="O65" s="1572" t="s">
        <v>1008</v>
      </c>
      <c r="P65" s="1573" t="s">
        <v>1484</v>
      </c>
      <c r="Q65" s="1574">
        <f ca="1">C40+J29</f>
        <v>48400</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3686</v>
      </c>
      <c r="D67" s="1094" t="s">
        <v>1368</v>
      </c>
      <c r="E67" s="1099"/>
      <c r="F67" s="1100"/>
      <c r="O67" s="1582" t="s">
        <v>1010</v>
      </c>
      <c r="P67" s="1573" t="s">
        <v>1466</v>
      </c>
      <c r="Q67" s="1620">
        <f ca="1">L51</f>
        <v>20505</v>
      </c>
      <c r="R67" s="1574" t="s">
        <v>1486</v>
      </c>
    </row>
    <row r="68" spans="1:18" s="1538" customFormat="1" ht="16.5" thickBot="1">
      <c r="A68" s="1078" t="s">
        <v>1000</v>
      </c>
      <c r="B68" s="1079" t="s">
        <v>1389</v>
      </c>
      <c r="C68" s="307">
        <f ca="1">ROUND(C67*(1-((1+F70)/(1+F68))^F69)/(F68-F70),0)</f>
        <v>41416</v>
      </c>
      <c r="D68" s="1096" t="s">
        <v>1373</v>
      </c>
      <c r="E68" s="1081" t="s">
        <v>1374</v>
      </c>
      <c r="F68" s="318">
        <f ca="1">F40</f>
        <v>5.5E-2</v>
      </c>
      <c r="O68" s="1582" t="s">
        <v>1011</v>
      </c>
      <c r="P68" s="1621" t="s">
        <v>1487</v>
      </c>
      <c r="Q68" s="1574">
        <f ca="1">ROUND(Q69-Q70*Q71,0)</f>
        <v>1123</v>
      </c>
      <c r="R68" s="1574" t="s">
        <v>1019</v>
      </c>
    </row>
    <row r="69" spans="1:18" s="1538" customFormat="1" ht="13.5" thickBot="1">
      <c r="A69" s="1082"/>
      <c r="B69" s="1083"/>
      <c r="C69" s="312"/>
      <c r="D69" s="1101" t="s">
        <v>1377</v>
      </c>
      <c r="E69" s="1081" t="s">
        <v>1378</v>
      </c>
      <c r="F69" s="339">
        <f ca="1">F41</f>
        <v>14.81</v>
      </c>
      <c r="O69" s="1582" t="s">
        <v>1016</v>
      </c>
      <c r="P69" s="1621" t="s">
        <v>1488</v>
      </c>
      <c r="Q69" s="1574">
        <f ca="1">C39</f>
        <v>2609</v>
      </c>
      <c r="R69" s="1574" t="s">
        <v>1433</v>
      </c>
    </row>
    <row r="70" spans="1:18" s="1538" customFormat="1" ht="13.5" thickBot="1">
      <c r="A70" s="1085"/>
      <c r="B70" s="1086"/>
      <c r="C70" s="316"/>
      <c r="D70" s="1097"/>
      <c r="E70" s="1081" t="s">
        <v>1381</v>
      </c>
      <c r="F70" s="3212">
        <f>'数据-取费表'!AA6</f>
        <v>0.02</v>
      </c>
      <c r="O70" s="1582" t="s">
        <v>1017</v>
      </c>
      <c r="P70" s="1621" t="s">
        <v>1489</v>
      </c>
      <c r="Q70" s="1574">
        <f ca="1">C13</f>
        <v>21226</v>
      </c>
      <c r="R70" s="1574" t="s">
        <v>1433</v>
      </c>
    </row>
    <row r="71" spans="1:18" s="1538" customFormat="1" ht="13.5" thickBot="1">
      <c r="A71" s="1102" t="s">
        <v>1001</v>
      </c>
      <c r="B71" s="1103" t="s">
        <v>1391</v>
      </c>
      <c r="C71" s="342">
        <f ca="1">ROUND(C68*10000/F71,0)</f>
        <v>8099</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1486</v>
      </c>
      <c r="D75" s="1538"/>
      <c r="E75" s="1538"/>
      <c r="F75" s="1538"/>
      <c r="K75" s="1556"/>
      <c r="L75" s="1538"/>
      <c r="O75" s="1572" t="s">
        <v>1014</v>
      </c>
      <c r="P75" s="1573" t="s">
        <v>1453</v>
      </c>
      <c r="Q75" s="1574">
        <f ca="1">Q65+Q66</f>
        <v>48400</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0.43000000000000005</v>
      </c>
    </row>
    <row r="80" spans="1:18">
      <c r="B80" s="346" t="s">
        <v>1415</v>
      </c>
      <c r="C80" s="280">
        <f ca="1">ROUND(C75/C39,3)</f>
        <v>0.56999999999999995</v>
      </c>
    </row>
    <row r="81" spans="2:3">
      <c r="B81" s="276" t="s">
        <v>1416</v>
      </c>
      <c r="C81" s="244"/>
    </row>
    <row r="82" spans="2:3">
      <c r="B82" s="279" t="s">
        <v>1417</v>
      </c>
      <c r="C82" s="281">
        <f ca="1">1-C83</f>
        <v>0.18300000000000005</v>
      </c>
    </row>
    <row r="83" spans="2:3">
      <c r="B83" s="279" t="s">
        <v>1418</v>
      </c>
      <c r="C83" s="280">
        <f ca="1">ROUND(C13/C40,3)</f>
        <v>0.81699999999999995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4" t="s">
        <v>1308</v>
      </c>
      <c r="C6" s="1206">
        <f ca="1">ROUND(F6*F8*F7*(1-F9),0)</f>
        <v>0</v>
      </c>
      <c r="D6" s="160" t="s">
        <v>2785</v>
      </c>
      <c r="E6" s="308" t="s">
        <v>1310</v>
      </c>
      <c r="F6" s="309">
        <f ca="1">INDIRECT("'数据-取费表'!u"&amp;$G$1)</f>
        <v>0</v>
      </c>
      <c r="G6" s="1538"/>
      <c r="H6" s="1201" t="s">
        <v>1003</v>
      </c>
      <c r="I6" s="3434" t="s">
        <v>1308</v>
      </c>
      <c r="J6" s="307">
        <f ca="1">ROUND(M6*M8*M7*(1-M9),0)</f>
        <v>0</v>
      </c>
      <c r="K6" s="1530" t="s">
        <v>2786</v>
      </c>
      <c r="L6" s="308" t="s">
        <v>1310</v>
      </c>
      <c r="M6" s="309">
        <f ca="1">INDIRECT("'数据-取费表'!z"&amp;$G$1)</f>
        <v>0</v>
      </c>
    </row>
    <row r="7" spans="1:37" ht="18" customHeight="1">
      <c r="A7" s="1205"/>
      <c r="B7" s="3435"/>
      <c r="C7" s="1207"/>
      <c r="D7" s="313"/>
      <c r="E7" s="1208" t="s">
        <v>1311</v>
      </c>
      <c r="F7" s="309">
        <f ca="1">IF(INDIRECT("'数据-取费表'!ah"&amp;$G$1)="",INDIRECT("'数据-取费表'!k"&amp;$G$1),INDIRECT("'数据-取费表'!ah"&amp;$G$1))</f>
        <v>0</v>
      </c>
      <c r="G7" s="1538"/>
      <c r="H7" s="310"/>
      <c r="I7" s="3435"/>
      <c r="J7" s="312"/>
      <c r="K7" s="313"/>
      <c r="L7" s="308" t="s">
        <v>1311</v>
      </c>
      <c r="M7" s="309">
        <f ca="1">F7</f>
        <v>0</v>
      </c>
    </row>
    <row r="8" spans="1:37" ht="18" customHeight="1">
      <c r="A8" s="310"/>
      <c r="B8" s="3435"/>
      <c r="C8" s="312"/>
      <c r="D8" s="313"/>
      <c r="E8" s="308" t="s">
        <v>1312</v>
      </c>
      <c r="F8" s="309">
        <f ca="1">INDIRECT("'数据-取费表'!ai"&amp;$G$1)</f>
        <v>0</v>
      </c>
      <c r="G8" s="1538"/>
      <c r="H8" s="310"/>
      <c r="I8" s="3435"/>
      <c r="J8" s="312"/>
      <c r="K8" s="313"/>
      <c r="L8" s="308" t="s">
        <v>1312</v>
      </c>
      <c r="M8" s="309">
        <f ca="1">INDIRECT("'数据-取费表'!ai"&amp;$G$1)</f>
        <v>0</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32" t="s">
        <v>1452</v>
      </c>
      <c r="L53" s="3433"/>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37" t="s">
        <v>3004</v>
      </c>
      <c r="K2" s="3438"/>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39" t="s">
        <v>3014</v>
      </c>
      <c r="K3" s="3440"/>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39" t="s">
        <v>3016</v>
      </c>
      <c r="K4" s="3440"/>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41" t="s">
        <v>3020</v>
      </c>
      <c r="B6" s="3442"/>
      <c r="C6" s="3443"/>
      <c r="D6" s="3071"/>
      <c r="E6" s="3072"/>
      <c r="F6" s="3073"/>
      <c r="G6" s="3074"/>
      <c r="H6" s="3049"/>
      <c r="I6" s="3050"/>
      <c r="J6" s="3444">
        <v>1</v>
      </c>
      <c r="K6" s="3445"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44"/>
      <c r="K7" s="3446"/>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48" t="s">
        <v>3034</v>
      </c>
      <c r="C8" s="3449"/>
      <c r="D8" s="3090" t="s">
        <v>3035</v>
      </c>
      <c r="E8" s="3091" t="s">
        <v>3036</v>
      </c>
      <c r="F8" s="3092" t="s">
        <v>3037</v>
      </c>
      <c r="G8" s="3093"/>
      <c r="H8" s="3049"/>
      <c r="I8" s="3050"/>
      <c r="J8" s="3444"/>
      <c r="K8" s="3446"/>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48" t="s">
        <v>3040</v>
      </c>
      <c r="C9" s="3449"/>
      <c r="D9" s="3090">
        <f>ROUND(D6*E9,0)</f>
        <v>0</v>
      </c>
      <c r="E9" s="3094"/>
      <c r="F9" s="3095" t="s">
        <v>3041</v>
      </c>
      <c r="G9" s="3074"/>
      <c r="H9" s="3049"/>
      <c r="I9" s="3050"/>
      <c r="J9" s="3444"/>
      <c r="K9" s="3446"/>
      <c r="L9" s="3084" t="s">
        <v>3042</v>
      </c>
      <c r="M9" s="3085"/>
      <c r="N9" s="3061"/>
      <c r="O9" s="3086"/>
      <c r="P9" s="3086"/>
      <c r="Q9" s="3087">
        <v>365</v>
      </c>
      <c r="R9" s="3088">
        <f t="shared" si="0"/>
        <v>0</v>
      </c>
      <c r="S9" s="3042"/>
      <c r="T9" s="3042"/>
      <c r="U9" s="3042"/>
      <c r="V9" s="3050"/>
    </row>
    <row r="10" spans="1:22" s="3054" customFormat="1" ht="13.15" customHeight="1">
      <c r="A10" s="3089">
        <v>2</v>
      </c>
      <c r="B10" s="3448" t="s">
        <v>3043</v>
      </c>
      <c r="C10" s="3449"/>
      <c r="D10" s="3090">
        <f>ROUND(D6*E10,0)</f>
        <v>0</v>
      </c>
      <c r="E10" s="3094"/>
      <c r="F10" s="3095" t="s">
        <v>3044</v>
      </c>
      <c r="G10" s="3074"/>
      <c r="H10" s="3049"/>
      <c r="I10" s="3050"/>
      <c r="J10" s="3444"/>
      <c r="K10" s="3446"/>
      <c r="L10" s="3084" t="s">
        <v>3045</v>
      </c>
      <c r="M10" s="3085"/>
      <c r="N10" s="3061"/>
      <c r="O10" s="3086"/>
      <c r="P10" s="3086"/>
      <c r="Q10" s="3087">
        <v>365</v>
      </c>
      <c r="R10" s="3088">
        <f t="shared" si="0"/>
        <v>0</v>
      </c>
      <c r="S10" s="3042"/>
      <c r="T10" s="3042"/>
      <c r="U10" s="3042"/>
      <c r="V10" s="3050"/>
    </row>
    <row r="11" spans="1:22" s="3054" customFormat="1" ht="13.15" customHeight="1">
      <c r="A11" s="3089">
        <v>3</v>
      </c>
      <c r="B11" s="3448" t="s">
        <v>3046</v>
      </c>
      <c r="C11" s="3449"/>
      <c r="D11" s="3090">
        <f>D12+D14+D15+D16</f>
        <v>0</v>
      </c>
      <c r="E11" s="3096" t="e">
        <f>D11/D6</f>
        <v>#DIV/0!</v>
      </c>
      <c r="F11" s="3092"/>
      <c r="G11" s="3093"/>
      <c r="H11" s="3049"/>
      <c r="I11" s="3050"/>
      <c r="J11" s="3444"/>
      <c r="K11" s="3446"/>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50" t="s">
        <v>3049</v>
      </c>
      <c r="C12" s="3451"/>
      <c r="D12" s="3098">
        <f>ROUND(D13*1.2%*(1-30%),0)</f>
        <v>0</v>
      </c>
      <c r="E12" s="3099">
        <v>1.2E-2</v>
      </c>
      <c r="F12" s="3092" t="s">
        <v>3050</v>
      </c>
      <c r="G12" s="3093"/>
      <c r="H12" s="3049"/>
      <c r="I12" s="3050"/>
      <c r="J12" s="3444"/>
      <c r="K12" s="3446"/>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44"/>
      <c r="K13" s="3446"/>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50" t="s">
        <v>3055</v>
      </c>
      <c r="C14" s="3451"/>
      <c r="D14" s="3098">
        <f>ROUND(E14*B5/10000,0)</f>
        <v>0</v>
      </c>
      <c r="E14" s="3087"/>
      <c r="F14" s="3092" t="s">
        <v>3056</v>
      </c>
      <c r="G14" s="3093"/>
      <c r="H14" s="3049"/>
      <c r="I14" s="3050"/>
      <c r="J14" s="3444"/>
      <c r="K14" s="3447"/>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50" t="s">
        <v>3059</v>
      </c>
      <c r="C15" s="3451"/>
      <c r="D15" s="3098">
        <f>ROUND(D6*E15,0)</f>
        <v>0</v>
      </c>
      <c r="E15" s="3099">
        <v>5.5E-2</v>
      </c>
      <c r="F15" s="3092" t="s">
        <v>3060</v>
      </c>
      <c r="G15" s="3074"/>
      <c r="H15" s="3049"/>
      <c r="I15" s="3050"/>
      <c r="J15" s="3444">
        <v>2</v>
      </c>
      <c r="K15" s="3445"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50" t="s">
        <v>3068</v>
      </c>
      <c r="C16" s="3451"/>
      <c r="D16" s="3109">
        <f>D6*E16</f>
        <v>0</v>
      </c>
      <c r="E16" s="3110"/>
      <c r="F16" s="3095" t="s">
        <v>3069</v>
      </c>
      <c r="G16" s="3074"/>
      <c r="H16" s="3049"/>
      <c r="I16" s="3050"/>
      <c r="J16" s="3444"/>
      <c r="K16" s="3446"/>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52" t="s">
        <v>3071</v>
      </c>
      <c r="C17" s="3453"/>
      <c r="D17" s="3112">
        <f>ROUND(D6*E17,0)</f>
        <v>0</v>
      </c>
      <c r="E17" s="3113"/>
      <c r="F17" s="3114" t="s">
        <v>3072</v>
      </c>
      <c r="G17" s="3074"/>
      <c r="H17" s="3049"/>
      <c r="I17" s="3050"/>
      <c r="J17" s="3444"/>
      <c r="K17" s="3446"/>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44"/>
      <c r="K18" s="3446"/>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44"/>
      <c r="K19" s="3447"/>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4">
        <v>3</v>
      </c>
      <c r="K20" s="3445"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44"/>
      <c r="K21" s="3446"/>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44"/>
      <c r="K22" s="3446"/>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44"/>
      <c r="K23" s="3446"/>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44"/>
      <c r="K24" s="3447"/>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54">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5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37" t="s">
        <v>3004</v>
      </c>
      <c r="K32" s="3438"/>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39" t="s">
        <v>3014</v>
      </c>
      <c r="K33" s="3440"/>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39" t="s">
        <v>3016</v>
      </c>
      <c r="K34" s="344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44">
        <v>1</v>
      </c>
      <c r="K36" s="3445"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44"/>
      <c r="K37" s="3446"/>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4"/>
      <c r="K38" s="3446"/>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44"/>
      <c r="K39" s="3446"/>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44"/>
      <c r="K40" s="3447"/>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54">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5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49835</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9746</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6" t="s">
        <v>2282</v>
      </c>
      <c r="C5" s="345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49835</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6" t="s">
        <v>2296</v>
      </c>
      <c r="D4" s="3477"/>
      <c r="E4" s="3478" t="s">
        <v>2297</v>
      </c>
      <c r="F4" s="3479"/>
      <c r="G4" s="3476" t="s">
        <v>2298</v>
      </c>
      <c r="H4" s="3477"/>
      <c r="I4" s="3476" t="s">
        <v>2299</v>
      </c>
      <c r="J4" s="3477"/>
      <c r="K4" s="2045" t="s">
        <v>2300</v>
      </c>
      <c r="L4" s="2914"/>
      <c r="M4" s="2915"/>
      <c r="N4" s="2915"/>
      <c r="O4" s="2915"/>
      <c r="P4" s="3480" t="s">
        <v>2301</v>
      </c>
      <c r="Q4" s="3481"/>
      <c r="R4" s="3463" t="s">
        <v>2297</v>
      </c>
      <c r="S4" s="3464"/>
      <c r="T4" s="3463" t="s">
        <v>2298</v>
      </c>
      <c r="U4" s="3464"/>
      <c r="V4" s="3488" t="s">
        <v>2299</v>
      </c>
      <c r="W4" s="3488"/>
      <c r="X4" s="1509"/>
      <c r="Y4" s="3463" t="s">
        <v>2301</v>
      </c>
      <c r="Z4" s="3464"/>
      <c r="AA4" s="3458" t="s">
        <v>2297</v>
      </c>
      <c r="AB4" s="3458" t="s">
        <v>2298</v>
      </c>
      <c r="AC4" s="3458" t="s">
        <v>2299</v>
      </c>
    </row>
    <row r="5" spans="1:29" ht="15">
      <c r="A5" s="364"/>
      <c r="B5" s="365"/>
      <c r="C5" s="3469" t="s">
        <v>2302</v>
      </c>
      <c r="D5" s="3470"/>
      <c r="E5" s="3467" t="s">
        <v>2303</v>
      </c>
      <c r="F5" s="3468"/>
      <c r="G5" s="3469" t="s">
        <v>2304</v>
      </c>
      <c r="H5" s="3470"/>
      <c r="I5" s="3469" t="s">
        <v>2305</v>
      </c>
      <c r="J5" s="3470"/>
      <c r="K5" s="2046"/>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2046"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1" t="s">
        <v>2309</v>
      </c>
      <c r="Q7" s="3489"/>
      <c r="R7" s="710" t="s">
        <v>23</v>
      </c>
      <c r="S7" s="711">
        <f t="shared" ref="S7:S15" si="0">F7</f>
        <v>0</v>
      </c>
      <c r="T7" s="710" t="s">
        <v>23</v>
      </c>
      <c r="U7" s="711">
        <f t="shared" ref="U7:U15" si="1">H7</f>
        <v>0</v>
      </c>
      <c r="V7" s="710" t="s">
        <v>23</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1" t="s">
        <v>2312</v>
      </c>
      <c r="Q8" s="3462"/>
      <c r="R8" s="710" t="s">
        <v>23</v>
      </c>
      <c r="S8" s="711">
        <f t="shared" si="0"/>
        <v>0</v>
      </c>
      <c r="T8" s="710" t="s">
        <v>23</v>
      </c>
      <c r="U8" s="711">
        <f t="shared" si="1"/>
        <v>0</v>
      </c>
      <c r="V8" s="710" t="s">
        <v>23</v>
      </c>
      <c r="W8" s="711">
        <f t="shared" si="2"/>
        <v>0</v>
      </c>
      <c r="X8" s="712"/>
      <c r="Y8" s="3461" t="s">
        <v>2312</v>
      </c>
      <c r="Z8" s="3462"/>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5"/>
      <c r="Q11" s="1497" t="str">
        <f t="shared" si="6"/>
        <v>容积率</v>
      </c>
      <c r="R11" s="710" t="s">
        <v>21</v>
      </c>
      <c r="S11" s="711" t="e">
        <f t="shared" si="0"/>
        <v>#N/A</v>
      </c>
      <c r="T11" s="710" t="s">
        <v>21</v>
      </c>
      <c r="U11" s="711" t="e">
        <f t="shared" si="1"/>
        <v>#N/A</v>
      </c>
      <c r="V11" s="710" t="s">
        <v>21</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5"/>
      <c r="Q12" s="1497">
        <f t="shared" si="6"/>
        <v>111</v>
      </c>
      <c r="R12" s="710" t="s">
        <v>21</v>
      </c>
      <c r="S12" s="711">
        <f t="shared" si="0"/>
        <v>100</v>
      </c>
      <c r="T12" s="710" t="s">
        <v>21</v>
      </c>
      <c r="U12" s="711">
        <f t="shared" si="1"/>
        <v>100</v>
      </c>
      <c r="V12" s="710" t="s">
        <v>21</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5"/>
      <c r="Q13" s="1497">
        <f t="shared" si="6"/>
        <v>111</v>
      </c>
      <c r="R13" s="710" t="s">
        <v>21</v>
      </c>
      <c r="S13" s="711">
        <f t="shared" si="0"/>
        <v>100</v>
      </c>
      <c r="T13" s="710" t="s">
        <v>21</v>
      </c>
      <c r="U13" s="711">
        <f t="shared" si="1"/>
        <v>100</v>
      </c>
      <c r="V13" s="710" t="s">
        <v>21</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5"/>
      <c r="Q14" s="1497">
        <f t="shared" si="6"/>
        <v>111</v>
      </c>
      <c r="R14" s="710" t="s">
        <v>21</v>
      </c>
      <c r="S14" s="711">
        <f t="shared" si="0"/>
        <v>100</v>
      </c>
      <c r="T14" s="710" t="s">
        <v>21</v>
      </c>
      <c r="U14" s="711">
        <f t="shared" si="1"/>
        <v>100</v>
      </c>
      <c r="V14" s="710" t="s">
        <v>21</v>
      </c>
      <c r="W14" s="711">
        <f t="shared" si="2"/>
        <v>100</v>
      </c>
      <c r="X14" s="712"/>
      <c r="Y14" s="3379"/>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02" t="s">
        <v>2320</v>
      </c>
      <c r="Q15" s="1506" t="str">
        <f t="shared" si="6"/>
        <v>居住社区成熟度</v>
      </c>
      <c r="R15" s="714" t="s">
        <v>21</v>
      </c>
      <c r="S15" s="715">
        <f t="shared" si="0"/>
        <v>100</v>
      </c>
      <c r="T15" s="714" t="s">
        <v>21</v>
      </c>
      <c r="U15" s="715">
        <f t="shared" si="1"/>
        <v>100</v>
      </c>
      <c r="V15" s="714" t="s">
        <v>21</v>
      </c>
      <c r="W15" s="715">
        <f t="shared" si="2"/>
        <v>100</v>
      </c>
      <c r="X15" s="1509"/>
      <c r="Y15" s="3495"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03"/>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03"/>
      <c r="Q17" s="1506" t="str">
        <f>B17</f>
        <v>交通便捷度</v>
      </c>
      <c r="R17" s="714" t="s">
        <v>21</v>
      </c>
      <c r="S17" s="715">
        <f>F17</f>
        <v>100</v>
      </c>
      <c r="T17" s="714" t="s">
        <v>21</v>
      </c>
      <c r="U17" s="715">
        <f>H17</f>
        <v>100</v>
      </c>
      <c r="V17" s="714" t="s">
        <v>21</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03"/>
      <c r="Q18" s="1506"/>
      <c r="R18" s="714"/>
      <c r="S18" s="715"/>
      <c r="T18" s="714"/>
      <c r="U18" s="715"/>
      <c r="V18" s="714"/>
      <c r="W18" s="715"/>
      <c r="X18" s="1509"/>
      <c r="Y18" s="3496"/>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03"/>
      <c r="Q19" s="1506" t="str">
        <f>B19</f>
        <v>公共配套设施</v>
      </c>
      <c r="R19" s="714" t="s">
        <v>21</v>
      </c>
      <c r="S19" s="715">
        <f>F19</f>
        <v>100</v>
      </c>
      <c r="T19" s="714" t="s">
        <v>21</v>
      </c>
      <c r="U19" s="715">
        <f>H19</f>
        <v>100</v>
      </c>
      <c r="V19" s="714" t="s">
        <v>21</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03"/>
      <c r="Q20" s="1506"/>
      <c r="R20" s="714"/>
      <c r="S20" s="715"/>
      <c r="T20" s="714"/>
      <c r="U20" s="715"/>
      <c r="V20" s="714"/>
      <c r="W20" s="715"/>
      <c r="X20" s="1509"/>
      <c r="Y20" s="3496"/>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03"/>
      <c r="Q22" s="1506"/>
      <c r="R22" s="714"/>
      <c r="S22" s="715"/>
      <c r="T22" s="714"/>
      <c r="U22" s="715"/>
      <c r="V22" s="714"/>
      <c r="W22" s="715"/>
      <c r="X22" s="1509"/>
      <c r="Y22" s="3496"/>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03"/>
      <c r="Q23" s="1506" t="str">
        <f>B23</f>
        <v>自然及人文环境</v>
      </c>
      <c r="R23" s="714" t="s">
        <v>21</v>
      </c>
      <c r="S23" s="715">
        <f>F23</f>
        <v>100</v>
      </c>
      <c r="T23" s="714" t="s">
        <v>21</v>
      </c>
      <c r="U23" s="715">
        <f>H23</f>
        <v>100</v>
      </c>
      <c r="V23" s="714" t="s">
        <v>21</v>
      </c>
      <c r="W23" s="715">
        <f>J23</f>
        <v>100</v>
      </c>
      <c r="X23" s="1509"/>
      <c r="Y23" s="349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03"/>
      <c r="Q24" s="1506"/>
      <c r="R24" s="714"/>
      <c r="S24" s="715"/>
      <c r="T24" s="714"/>
      <c r="U24" s="715"/>
      <c r="V24" s="714"/>
      <c r="W24" s="715"/>
      <c r="X24" s="1509"/>
      <c r="Y24" s="3496"/>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0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6"/>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03"/>
      <c r="Q26" s="1506" t="str">
        <f t="shared" si="11"/>
        <v>朝向</v>
      </c>
      <c r="R26" s="714" t="s">
        <v>21</v>
      </c>
      <c r="S26" s="715">
        <f t="shared" si="12"/>
        <v>100</v>
      </c>
      <c r="T26" s="714" t="s">
        <v>21</v>
      </c>
      <c r="U26" s="715">
        <f t="shared" si="13"/>
        <v>100</v>
      </c>
      <c r="V26" s="714" t="s">
        <v>21</v>
      </c>
      <c r="W26" s="715">
        <f t="shared" si="14"/>
        <v>100</v>
      </c>
      <c r="X26" s="1509"/>
      <c r="Y26" s="349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03"/>
      <c r="Q27" s="1497">
        <f t="shared" si="11"/>
        <v>111</v>
      </c>
      <c r="R27" s="710" t="s">
        <v>21</v>
      </c>
      <c r="S27" s="711">
        <f t="shared" si="12"/>
        <v>100</v>
      </c>
      <c r="T27" s="710" t="s">
        <v>21</v>
      </c>
      <c r="U27" s="711">
        <f t="shared" si="13"/>
        <v>100</v>
      </c>
      <c r="V27" s="710" t="s">
        <v>21</v>
      </c>
      <c r="W27" s="711">
        <f t="shared" si="14"/>
        <v>100</v>
      </c>
      <c r="X27" s="712"/>
      <c r="Y27" s="349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03"/>
      <c r="Q28" s="1506">
        <f t="shared" si="11"/>
        <v>111</v>
      </c>
      <c r="R28" s="714" t="s">
        <v>21</v>
      </c>
      <c r="S28" s="715">
        <f t="shared" si="12"/>
        <v>100</v>
      </c>
      <c r="T28" s="714" t="s">
        <v>21</v>
      </c>
      <c r="U28" s="715">
        <f t="shared" si="13"/>
        <v>100</v>
      </c>
      <c r="V28" s="714" t="s">
        <v>21</v>
      </c>
      <c r="W28" s="715">
        <f t="shared" si="14"/>
        <v>100</v>
      </c>
      <c r="X28" s="1509"/>
      <c r="Y28" s="349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03"/>
      <c r="Q29" s="1506">
        <f t="shared" si="11"/>
        <v>111</v>
      </c>
      <c r="R29" s="714" t="s">
        <v>21</v>
      </c>
      <c r="S29" s="715">
        <f t="shared" si="12"/>
        <v>100</v>
      </c>
      <c r="T29" s="714" t="s">
        <v>21</v>
      </c>
      <c r="U29" s="715">
        <f t="shared" si="13"/>
        <v>100</v>
      </c>
      <c r="V29" s="714" t="s">
        <v>21</v>
      </c>
      <c r="W29" s="715">
        <f t="shared" si="14"/>
        <v>100</v>
      </c>
      <c r="X29" s="1509"/>
      <c r="Y29" s="349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03"/>
      <c r="Q30" s="1506">
        <f t="shared" si="11"/>
        <v>111</v>
      </c>
      <c r="R30" s="714" t="s">
        <v>21</v>
      </c>
      <c r="S30" s="715">
        <f t="shared" si="12"/>
        <v>100</v>
      </c>
      <c r="T30" s="714" t="s">
        <v>21</v>
      </c>
      <c r="U30" s="715">
        <f t="shared" si="13"/>
        <v>100</v>
      </c>
      <c r="V30" s="714" t="s">
        <v>21</v>
      </c>
      <c r="W30" s="715">
        <f t="shared" si="14"/>
        <v>100</v>
      </c>
      <c r="X30" s="1509"/>
      <c r="Y30" s="349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03"/>
      <c r="Q31" s="1506">
        <f t="shared" si="11"/>
        <v>111</v>
      </c>
      <c r="R31" s="714" t="s">
        <v>21</v>
      </c>
      <c r="S31" s="715">
        <f t="shared" si="12"/>
        <v>100</v>
      </c>
      <c r="T31" s="714" t="s">
        <v>21</v>
      </c>
      <c r="U31" s="715">
        <f t="shared" si="13"/>
        <v>100</v>
      </c>
      <c r="V31" s="714" t="s">
        <v>21</v>
      </c>
      <c r="W31" s="715">
        <f t="shared" si="14"/>
        <v>100</v>
      </c>
      <c r="X31" s="1509"/>
      <c r="Y31" s="3496"/>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7" t="s">
        <v>2325</v>
      </c>
      <c r="Q32" s="1506" t="str">
        <f t="shared" si="11"/>
        <v>建筑类型</v>
      </c>
      <c r="R32" s="714" t="s">
        <v>21</v>
      </c>
      <c r="S32" s="715">
        <f t="shared" si="12"/>
        <v>100</v>
      </c>
      <c r="T32" s="714" t="s">
        <v>21</v>
      </c>
      <c r="U32" s="715">
        <f t="shared" si="13"/>
        <v>100</v>
      </c>
      <c r="V32" s="714" t="s">
        <v>21</v>
      </c>
      <c r="W32" s="715">
        <f t="shared" si="14"/>
        <v>100</v>
      </c>
      <c r="X32" s="1509"/>
      <c r="Y32" s="3500"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8"/>
      <c r="Q33" s="716" t="str">
        <f t="shared" si="11"/>
        <v>项目建筑规模</v>
      </c>
      <c r="R33" s="717" t="s">
        <v>21</v>
      </c>
      <c r="S33" s="718" t="e">
        <f t="shared" si="12"/>
        <v>#N/A</v>
      </c>
      <c r="T33" s="717" t="s">
        <v>21</v>
      </c>
      <c r="U33" s="718" t="e">
        <f t="shared" si="13"/>
        <v>#N/A</v>
      </c>
      <c r="V33" s="717" t="s">
        <v>21</v>
      </c>
      <c r="W33" s="718" t="e">
        <f t="shared" si="14"/>
        <v>#N/A</v>
      </c>
      <c r="X33" s="719"/>
      <c r="Y33" s="3500"/>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8"/>
      <c r="Q34" s="1506" t="str">
        <f t="shared" si="11"/>
        <v>建筑结构</v>
      </c>
      <c r="R34" s="714" t="s">
        <v>21</v>
      </c>
      <c r="S34" s="715">
        <f t="shared" si="12"/>
        <v>100</v>
      </c>
      <c r="T34" s="714" t="s">
        <v>21</v>
      </c>
      <c r="U34" s="715">
        <f t="shared" si="13"/>
        <v>100</v>
      </c>
      <c r="V34" s="714" t="s">
        <v>21</v>
      </c>
      <c r="W34" s="715">
        <f t="shared" si="14"/>
        <v>100</v>
      </c>
      <c r="X34" s="1509"/>
      <c r="Y34" s="3500"/>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8"/>
      <c r="Q35" s="1506" t="str">
        <f t="shared" si="11"/>
        <v>建筑品质</v>
      </c>
      <c r="R35" s="714" t="s">
        <v>21</v>
      </c>
      <c r="S35" s="715">
        <f t="shared" si="12"/>
        <v>100</v>
      </c>
      <c r="T35" s="714" t="s">
        <v>21</v>
      </c>
      <c r="U35" s="715">
        <f t="shared" si="13"/>
        <v>100</v>
      </c>
      <c r="V35" s="714" t="s">
        <v>21</v>
      </c>
      <c r="W35" s="715">
        <f t="shared" si="14"/>
        <v>100</v>
      </c>
      <c r="X35" s="1509"/>
      <c r="Y35" s="3500"/>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8"/>
      <c r="Q36" s="1506" t="str">
        <f t="shared" si="11"/>
        <v>公共部分装修</v>
      </c>
      <c r="R36" s="714" t="s">
        <v>21</v>
      </c>
      <c r="S36" s="715">
        <f t="shared" si="12"/>
        <v>100</v>
      </c>
      <c r="T36" s="714" t="s">
        <v>21</v>
      </c>
      <c r="U36" s="715">
        <f t="shared" si="13"/>
        <v>100</v>
      </c>
      <c r="V36" s="714" t="s">
        <v>21</v>
      </c>
      <c r="W36" s="715">
        <f t="shared" si="14"/>
        <v>100</v>
      </c>
      <c r="X36" s="1509"/>
      <c r="Y36" s="3500"/>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8"/>
      <c r="Q37" s="1497" t="str">
        <f t="shared" si="11"/>
        <v>成新度</v>
      </c>
      <c r="R37" s="710" t="s">
        <v>21</v>
      </c>
      <c r="S37" s="711" t="e">
        <f t="shared" si="12"/>
        <v>#N/A</v>
      </c>
      <c r="T37" s="710" t="s">
        <v>21</v>
      </c>
      <c r="U37" s="711" t="e">
        <f t="shared" si="13"/>
        <v>#N/A</v>
      </c>
      <c r="V37" s="710" t="s">
        <v>21</v>
      </c>
      <c r="W37" s="711" t="e">
        <f t="shared" si="14"/>
        <v>#N/A</v>
      </c>
      <c r="X37" s="712"/>
      <c r="Y37" s="3500"/>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8" t="s">
        <v>2325</v>
      </c>
      <c r="Q38" s="1506" t="str">
        <f t="shared" si="11"/>
        <v>物业管理</v>
      </c>
      <c r="R38" s="714" t="s">
        <v>21</v>
      </c>
      <c r="S38" s="715">
        <f t="shared" si="12"/>
        <v>100</v>
      </c>
      <c r="T38" s="714" t="s">
        <v>21</v>
      </c>
      <c r="U38" s="715">
        <f t="shared" si="13"/>
        <v>100</v>
      </c>
      <c r="V38" s="714" t="s">
        <v>21</v>
      </c>
      <c r="W38" s="715">
        <f t="shared" si="14"/>
        <v>100</v>
      </c>
      <c r="X38" s="1509"/>
      <c r="Y38" s="3500"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8"/>
      <c r="Q39" s="1506" t="str">
        <f t="shared" si="11"/>
        <v>市政基础设施</v>
      </c>
      <c r="R39" s="714" t="s">
        <v>21</v>
      </c>
      <c r="S39" s="715">
        <f t="shared" si="12"/>
        <v>100</v>
      </c>
      <c r="T39" s="714" t="s">
        <v>21</v>
      </c>
      <c r="U39" s="715">
        <f t="shared" si="13"/>
        <v>100</v>
      </c>
      <c r="V39" s="714" t="s">
        <v>21</v>
      </c>
      <c r="W39" s="715">
        <f t="shared" si="14"/>
        <v>100</v>
      </c>
      <c r="X39" s="1509"/>
      <c r="Y39" s="3500"/>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8"/>
      <c r="Q40" s="1506" t="str">
        <f t="shared" si="11"/>
        <v>房型</v>
      </c>
      <c r="R40" s="714" t="s">
        <v>21</v>
      </c>
      <c r="S40" s="715">
        <f t="shared" si="12"/>
        <v>100</v>
      </c>
      <c r="T40" s="714" t="s">
        <v>21</v>
      </c>
      <c r="U40" s="715">
        <f t="shared" si="13"/>
        <v>100</v>
      </c>
      <c r="V40" s="714" t="s">
        <v>21</v>
      </c>
      <c r="W40" s="715">
        <f t="shared" si="14"/>
        <v>100</v>
      </c>
      <c r="X40" s="1509"/>
      <c r="Y40" s="3500"/>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8"/>
      <c r="Q41" s="716" t="str">
        <f t="shared" si="11"/>
        <v>单套/主力户型建筑面积</v>
      </c>
      <c r="R41" s="717" t="s">
        <v>21</v>
      </c>
      <c r="S41" s="718">
        <f t="shared" si="12"/>
        <v>100</v>
      </c>
      <c r="T41" s="717" t="s">
        <v>21</v>
      </c>
      <c r="U41" s="718">
        <f t="shared" si="13"/>
        <v>100</v>
      </c>
      <c r="V41" s="717" t="s">
        <v>21</v>
      </c>
      <c r="W41" s="718">
        <f t="shared" si="14"/>
        <v>100</v>
      </c>
      <c r="X41" s="719"/>
      <c r="Y41" s="3500"/>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8"/>
      <c r="Q42" s="1506" t="str">
        <f t="shared" si="11"/>
        <v>内部装修</v>
      </c>
      <c r="R42" s="714" t="s">
        <v>21</v>
      </c>
      <c r="S42" s="715">
        <f t="shared" si="12"/>
        <v>100</v>
      </c>
      <c r="T42" s="714" t="s">
        <v>21</v>
      </c>
      <c r="U42" s="715">
        <f t="shared" si="13"/>
        <v>100</v>
      </c>
      <c r="V42" s="714" t="s">
        <v>21</v>
      </c>
      <c r="W42" s="715">
        <f t="shared" si="14"/>
        <v>100</v>
      </c>
      <c r="X42" s="1509"/>
      <c r="Y42" s="3500"/>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8"/>
      <c r="Q43" s="1506" t="str">
        <f t="shared" si="11"/>
        <v>内部装修维护情况</v>
      </c>
      <c r="R43" s="714" t="s">
        <v>21</v>
      </c>
      <c r="S43" s="715">
        <f t="shared" si="12"/>
        <v>100</v>
      </c>
      <c r="T43" s="714" t="s">
        <v>21</v>
      </c>
      <c r="U43" s="715">
        <f t="shared" si="13"/>
        <v>100</v>
      </c>
      <c r="V43" s="714" t="s">
        <v>21</v>
      </c>
      <c r="W43" s="715">
        <f t="shared" si="14"/>
        <v>100</v>
      </c>
      <c r="X43" s="1509"/>
      <c r="Y43" s="350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8"/>
      <c r="Q44" s="1497">
        <f t="shared" si="11"/>
        <v>111</v>
      </c>
      <c r="R44" s="710" t="s">
        <v>21</v>
      </c>
      <c r="S44" s="711">
        <f t="shared" si="12"/>
        <v>100</v>
      </c>
      <c r="T44" s="710" t="s">
        <v>21</v>
      </c>
      <c r="U44" s="711">
        <f t="shared" si="13"/>
        <v>100</v>
      </c>
      <c r="V44" s="710" t="s">
        <v>21</v>
      </c>
      <c r="W44" s="711">
        <f t="shared" si="14"/>
        <v>100</v>
      </c>
      <c r="X44" s="712"/>
      <c r="Y44" s="350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8"/>
      <c r="Q45" s="1506">
        <f t="shared" si="11"/>
        <v>111</v>
      </c>
      <c r="R45" s="714" t="s">
        <v>21</v>
      </c>
      <c r="S45" s="715">
        <f t="shared" si="12"/>
        <v>100</v>
      </c>
      <c r="T45" s="714" t="s">
        <v>21</v>
      </c>
      <c r="U45" s="715">
        <f t="shared" si="13"/>
        <v>100</v>
      </c>
      <c r="V45" s="714" t="s">
        <v>21</v>
      </c>
      <c r="W45" s="715">
        <f t="shared" si="14"/>
        <v>100</v>
      </c>
      <c r="X45" s="1509"/>
      <c r="Y45" s="350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9"/>
      <c r="Q46" s="1506">
        <f t="shared" si="11"/>
        <v>111</v>
      </c>
      <c r="R46" s="714" t="s">
        <v>20</v>
      </c>
      <c r="S46" s="715">
        <f t="shared" si="12"/>
        <v>100</v>
      </c>
      <c r="T46" s="714" t="s">
        <v>20</v>
      </c>
      <c r="U46" s="715">
        <f t="shared" si="13"/>
        <v>100</v>
      </c>
      <c r="V46" s="714" t="s">
        <v>20</v>
      </c>
      <c r="W46" s="715">
        <f t="shared" si="14"/>
        <v>100</v>
      </c>
      <c r="X46" s="1509"/>
      <c r="Y46" s="3501"/>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93" t="str">
        <f>A47</f>
        <v>成交单价（元/平方米）</v>
      </c>
      <c r="Q47" s="3493"/>
      <c r="R47" s="3494">
        <f>E47</f>
        <v>0</v>
      </c>
      <c r="S47" s="3494"/>
      <c r="T47" s="3494">
        <f>G47</f>
        <v>0</v>
      </c>
      <c r="U47" s="3494"/>
      <c r="V47" s="3494">
        <f>I47</f>
        <v>0</v>
      </c>
      <c r="W47" s="3494"/>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88"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88"/>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88"/>
      <c r="AC6" s="3460"/>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5"/>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5"/>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5"/>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5"/>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02" t="s">
        <v>2320</v>
      </c>
      <c r="Q15" s="1506" t="str">
        <f t="shared" si="6"/>
        <v>商业繁华度</v>
      </c>
      <c r="R15" s="714" t="s">
        <v>17</v>
      </c>
      <c r="S15" s="715">
        <f t="shared" si="0"/>
        <v>100</v>
      </c>
      <c r="T15" s="714" t="s">
        <v>17</v>
      </c>
      <c r="U15" s="715">
        <f t="shared" si="1"/>
        <v>100</v>
      </c>
      <c r="V15" s="714" t="s">
        <v>17</v>
      </c>
      <c r="W15" s="715">
        <f t="shared" si="2"/>
        <v>100</v>
      </c>
      <c r="X15" s="1509"/>
      <c r="Y15" s="3495"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03"/>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03"/>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03"/>
      <c r="Q18" s="1506"/>
      <c r="R18" s="714"/>
      <c r="S18" s="715"/>
      <c r="T18" s="714"/>
      <c r="U18" s="715"/>
      <c r="V18" s="714"/>
      <c r="W18" s="715"/>
      <c r="X18" s="1509"/>
      <c r="Y18" s="3496"/>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03"/>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03"/>
      <c r="Q20" s="1506"/>
      <c r="R20" s="714"/>
      <c r="S20" s="715"/>
      <c r="T20" s="714"/>
      <c r="U20" s="715"/>
      <c r="V20" s="714"/>
      <c r="W20" s="715"/>
      <c r="X20" s="1509"/>
      <c r="Y20" s="3496"/>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03"/>
      <c r="Q22" s="1506"/>
      <c r="R22" s="714"/>
      <c r="S22" s="715"/>
      <c r="T22" s="714"/>
      <c r="U22" s="715"/>
      <c r="V22" s="714"/>
      <c r="W22" s="715"/>
      <c r="X22" s="1509"/>
      <c r="Y22" s="3496"/>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03"/>
      <c r="Q23" s="1506" t="str">
        <f>B23</f>
        <v>自然及人文环境</v>
      </c>
      <c r="R23" s="714" t="s">
        <v>17</v>
      </c>
      <c r="S23" s="715">
        <f>F23</f>
        <v>100</v>
      </c>
      <c r="T23" s="714" t="s">
        <v>17</v>
      </c>
      <c r="U23" s="715">
        <f>H23</f>
        <v>100</v>
      </c>
      <c r="V23" s="714" t="s">
        <v>17</v>
      </c>
      <c r="W23" s="715">
        <f>J23</f>
        <v>100</v>
      </c>
      <c r="X23" s="1509"/>
      <c r="Y23" s="349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03"/>
      <c r="Q24" s="1506"/>
      <c r="R24" s="714"/>
      <c r="S24" s="715"/>
      <c r="T24" s="714"/>
      <c r="U24" s="715"/>
      <c r="V24" s="714"/>
      <c r="W24" s="715"/>
      <c r="X24" s="1509"/>
      <c r="Y24" s="3496"/>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03"/>
      <c r="Q25" s="1506" t="str">
        <f t="shared" ref="Q25:Q46" si="11">B25</f>
        <v>临街状况</v>
      </c>
      <c r="R25" s="714" t="s">
        <v>17</v>
      </c>
      <c r="S25" s="715">
        <f>F25</f>
        <v>100</v>
      </c>
      <c r="T25" s="714" t="s">
        <v>17</v>
      </c>
      <c r="U25" s="715">
        <f>H25</f>
        <v>100</v>
      </c>
      <c r="V25" s="714" t="s">
        <v>17</v>
      </c>
      <c r="W25" s="715">
        <f>J25</f>
        <v>100</v>
      </c>
      <c r="X25" s="1509"/>
      <c r="Y25" s="3496"/>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03"/>
      <c r="Q26" s="1506" t="str">
        <f t="shared" si="11"/>
        <v>平面位置/可视性</v>
      </c>
      <c r="R26" s="714" t="s">
        <v>17</v>
      </c>
      <c r="S26" s="715">
        <f>F26</f>
        <v>100</v>
      </c>
      <c r="T26" s="714" t="s">
        <v>17</v>
      </c>
      <c r="U26" s="715">
        <f>H26</f>
        <v>100</v>
      </c>
      <c r="V26" s="714" t="s">
        <v>17</v>
      </c>
      <c r="W26" s="715">
        <f>J26</f>
        <v>100</v>
      </c>
      <c r="X26" s="1509"/>
      <c r="Y26" s="3496"/>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03"/>
      <c r="Q27" s="1497" t="str">
        <f t="shared" si="11"/>
        <v>人流量</v>
      </c>
      <c r="R27" s="710" t="s">
        <v>17</v>
      </c>
      <c r="S27" s="711">
        <f>F27</f>
        <v>100</v>
      </c>
      <c r="T27" s="710" t="s">
        <v>17</v>
      </c>
      <c r="U27" s="711">
        <f>H27</f>
        <v>100</v>
      </c>
      <c r="V27" s="710" t="s">
        <v>17</v>
      </c>
      <c r="W27" s="711">
        <f>J27</f>
        <v>100</v>
      </c>
      <c r="X27" s="712"/>
      <c r="Y27" s="3496"/>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0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03"/>
      <c r="Q29" s="1506">
        <f t="shared" si="11"/>
        <v>111</v>
      </c>
      <c r="R29" s="714" t="s">
        <v>17</v>
      </c>
      <c r="S29" s="715">
        <f t="shared" si="12"/>
        <v>100</v>
      </c>
      <c r="T29" s="714" t="s">
        <v>17</v>
      </c>
      <c r="U29" s="715">
        <f t="shared" si="13"/>
        <v>100</v>
      </c>
      <c r="V29" s="714" t="s">
        <v>17</v>
      </c>
      <c r="W29" s="715">
        <f t="shared" si="14"/>
        <v>100</v>
      </c>
      <c r="X29" s="1509"/>
      <c r="Y29" s="349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03"/>
      <c r="Q30" s="1506">
        <f t="shared" si="11"/>
        <v>111</v>
      </c>
      <c r="R30" s="714" t="s">
        <v>17</v>
      </c>
      <c r="S30" s="715">
        <f t="shared" si="12"/>
        <v>100</v>
      </c>
      <c r="T30" s="714" t="s">
        <v>17</v>
      </c>
      <c r="U30" s="715">
        <f t="shared" si="13"/>
        <v>100</v>
      </c>
      <c r="V30" s="714" t="s">
        <v>17</v>
      </c>
      <c r="W30" s="715">
        <f t="shared" si="14"/>
        <v>100</v>
      </c>
      <c r="X30" s="1509"/>
      <c r="Y30" s="349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03"/>
      <c r="Q31" s="1506">
        <f t="shared" si="11"/>
        <v>111</v>
      </c>
      <c r="R31" s="714" t="s">
        <v>17</v>
      </c>
      <c r="S31" s="715">
        <f t="shared" si="12"/>
        <v>100</v>
      </c>
      <c r="T31" s="714" t="s">
        <v>17</v>
      </c>
      <c r="U31" s="715">
        <f t="shared" si="13"/>
        <v>100</v>
      </c>
      <c r="V31" s="714" t="s">
        <v>17</v>
      </c>
      <c r="W31" s="715">
        <f t="shared" si="14"/>
        <v>100</v>
      </c>
      <c r="X31" s="1509"/>
      <c r="Y31" s="3496"/>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7" t="s">
        <v>2325</v>
      </c>
      <c r="Q32" s="1506" t="str">
        <f t="shared" si="11"/>
        <v>商业类型</v>
      </c>
      <c r="R32" s="714" t="s">
        <v>17</v>
      </c>
      <c r="S32" s="715">
        <f t="shared" si="12"/>
        <v>100</v>
      </c>
      <c r="T32" s="714" t="s">
        <v>17</v>
      </c>
      <c r="U32" s="715">
        <f t="shared" si="13"/>
        <v>100</v>
      </c>
      <c r="V32" s="714" t="s">
        <v>17</v>
      </c>
      <c r="W32" s="715">
        <f t="shared" si="14"/>
        <v>100</v>
      </c>
      <c r="X32" s="1509"/>
      <c r="Y32" s="3500"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8"/>
      <c r="Q33" s="716" t="str">
        <f t="shared" si="11"/>
        <v>项目建筑规模</v>
      </c>
      <c r="R33" s="717" t="s">
        <v>17</v>
      </c>
      <c r="S33" s="718" t="e">
        <f t="shared" si="12"/>
        <v>#N/A</v>
      </c>
      <c r="T33" s="717" t="s">
        <v>17</v>
      </c>
      <c r="U33" s="718" t="e">
        <f t="shared" si="13"/>
        <v>#N/A</v>
      </c>
      <c r="V33" s="717" t="s">
        <v>17</v>
      </c>
      <c r="W33" s="718" t="e">
        <f t="shared" si="14"/>
        <v>#N/A</v>
      </c>
      <c r="X33" s="719"/>
      <c r="Y33" s="3500"/>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8"/>
      <c r="Q34" s="1506" t="str">
        <f t="shared" si="11"/>
        <v>建筑结构</v>
      </c>
      <c r="R34" s="714" t="s">
        <v>17</v>
      </c>
      <c r="S34" s="715">
        <f t="shared" si="12"/>
        <v>100</v>
      </c>
      <c r="T34" s="714" t="s">
        <v>17</v>
      </c>
      <c r="U34" s="715">
        <f t="shared" si="13"/>
        <v>100</v>
      </c>
      <c r="V34" s="714" t="s">
        <v>17</v>
      </c>
      <c r="W34" s="715">
        <f t="shared" si="14"/>
        <v>100</v>
      </c>
      <c r="X34" s="1509"/>
      <c r="Y34" s="3500"/>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8"/>
      <c r="Q35" s="1506" t="str">
        <f t="shared" si="11"/>
        <v>公共部分装修</v>
      </c>
      <c r="R35" s="714" t="s">
        <v>17</v>
      </c>
      <c r="S35" s="715">
        <f t="shared" si="12"/>
        <v>100</v>
      </c>
      <c r="T35" s="714" t="s">
        <v>17</v>
      </c>
      <c r="U35" s="715">
        <f t="shared" si="13"/>
        <v>100</v>
      </c>
      <c r="V35" s="714" t="s">
        <v>17</v>
      </c>
      <c r="W35" s="715">
        <f t="shared" si="14"/>
        <v>100</v>
      </c>
      <c r="X35" s="1509"/>
      <c r="Y35" s="3500"/>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8"/>
      <c r="Q36" s="1506" t="str">
        <f t="shared" si="11"/>
        <v>成新度</v>
      </c>
      <c r="R36" s="714" t="s">
        <v>17</v>
      </c>
      <c r="S36" s="715" t="e">
        <f t="shared" si="12"/>
        <v>#N/A</v>
      </c>
      <c r="T36" s="714" t="s">
        <v>17</v>
      </c>
      <c r="U36" s="715" t="e">
        <f t="shared" si="13"/>
        <v>#N/A</v>
      </c>
      <c r="V36" s="714" t="s">
        <v>17</v>
      </c>
      <c r="W36" s="715" t="e">
        <f t="shared" si="14"/>
        <v>#N/A</v>
      </c>
      <c r="X36" s="1509"/>
      <c r="Y36" s="3500"/>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8"/>
      <c r="Q37" s="1497" t="str">
        <f t="shared" si="11"/>
        <v>市政基础设施</v>
      </c>
      <c r="R37" s="710" t="s">
        <v>17</v>
      </c>
      <c r="S37" s="711">
        <f t="shared" si="12"/>
        <v>100</v>
      </c>
      <c r="T37" s="710" t="s">
        <v>17</v>
      </c>
      <c r="U37" s="711">
        <f t="shared" si="13"/>
        <v>100</v>
      </c>
      <c r="V37" s="710" t="s">
        <v>17</v>
      </c>
      <c r="W37" s="711">
        <f t="shared" si="14"/>
        <v>100</v>
      </c>
      <c r="X37" s="712"/>
      <c r="Y37" s="3500"/>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8" t="s">
        <v>2325</v>
      </c>
      <c r="Q38" s="1506" t="str">
        <f t="shared" si="11"/>
        <v>业态</v>
      </c>
      <c r="R38" s="714" t="s">
        <v>17</v>
      </c>
      <c r="S38" s="715">
        <f t="shared" si="12"/>
        <v>100</v>
      </c>
      <c r="T38" s="714" t="s">
        <v>17</v>
      </c>
      <c r="U38" s="715">
        <f t="shared" si="13"/>
        <v>100</v>
      </c>
      <c r="V38" s="714" t="s">
        <v>17</v>
      </c>
      <c r="W38" s="715">
        <f t="shared" si="14"/>
        <v>100</v>
      </c>
      <c r="X38" s="1509"/>
      <c r="Y38" s="3500"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8"/>
      <c r="Q39" s="1506" t="str">
        <f t="shared" si="11"/>
        <v>层高</v>
      </c>
      <c r="R39" s="714" t="s">
        <v>17</v>
      </c>
      <c r="S39" s="715">
        <f t="shared" si="12"/>
        <v>100</v>
      </c>
      <c r="T39" s="714" t="s">
        <v>17</v>
      </c>
      <c r="U39" s="715">
        <f t="shared" si="13"/>
        <v>100</v>
      </c>
      <c r="V39" s="714" t="s">
        <v>17</v>
      </c>
      <c r="W39" s="715">
        <f t="shared" si="14"/>
        <v>100</v>
      </c>
      <c r="X39" s="1509"/>
      <c r="Y39" s="3500"/>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8"/>
      <c r="Q40" s="1506" t="str">
        <f t="shared" si="11"/>
        <v>单套建筑面积</v>
      </c>
      <c r="R40" s="714" t="s">
        <v>17</v>
      </c>
      <c r="S40" s="715">
        <f t="shared" si="12"/>
        <v>100</v>
      </c>
      <c r="T40" s="714" t="s">
        <v>17</v>
      </c>
      <c r="U40" s="715">
        <f t="shared" si="13"/>
        <v>100</v>
      </c>
      <c r="V40" s="714" t="s">
        <v>17</v>
      </c>
      <c r="W40" s="715">
        <f t="shared" si="14"/>
        <v>100</v>
      </c>
      <c r="X40" s="1509"/>
      <c r="Y40" s="3500"/>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8"/>
      <c r="Q41" s="716" t="str">
        <f t="shared" si="11"/>
        <v>进深比</v>
      </c>
      <c r="R41" s="717" t="s">
        <v>17</v>
      </c>
      <c r="S41" s="718">
        <f t="shared" si="12"/>
        <v>100</v>
      </c>
      <c r="T41" s="717" t="s">
        <v>17</v>
      </c>
      <c r="U41" s="718">
        <f t="shared" si="13"/>
        <v>100</v>
      </c>
      <c r="V41" s="717" t="s">
        <v>17</v>
      </c>
      <c r="W41" s="718">
        <f t="shared" si="14"/>
        <v>100</v>
      </c>
      <c r="X41" s="719"/>
      <c r="Y41" s="3500"/>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8"/>
      <c r="Q42" s="1506" t="str">
        <f t="shared" si="11"/>
        <v>内部装修</v>
      </c>
      <c r="R42" s="714" t="s">
        <v>17</v>
      </c>
      <c r="S42" s="715">
        <f t="shared" si="12"/>
        <v>100</v>
      </c>
      <c r="T42" s="714" t="s">
        <v>17</v>
      </c>
      <c r="U42" s="715">
        <f t="shared" si="13"/>
        <v>100</v>
      </c>
      <c r="V42" s="714" t="s">
        <v>17</v>
      </c>
      <c r="W42" s="715">
        <f t="shared" si="14"/>
        <v>100</v>
      </c>
      <c r="X42" s="1509"/>
      <c r="Y42" s="3500"/>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8"/>
      <c r="Q43" s="1506" t="str">
        <f t="shared" si="11"/>
        <v>内部装修维护情况</v>
      </c>
      <c r="R43" s="714" t="s">
        <v>17</v>
      </c>
      <c r="S43" s="715">
        <f t="shared" si="12"/>
        <v>100</v>
      </c>
      <c r="T43" s="714" t="s">
        <v>17</v>
      </c>
      <c r="U43" s="715">
        <f t="shared" si="13"/>
        <v>100</v>
      </c>
      <c r="V43" s="714" t="s">
        <v>17</v>
      </c>
      <c r="W43" s="715">
        <f t="shared" si="14"/>
        <v>100</v>
      </c>
      <c r="X43" s="1509"/>
      <c r="Y43" s="350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8"/>
      <c r="Q44" s="1497">
        <f t="shared" si="11"/>
        <v>111</v>
      </c>
      <c r="R44" s="710" t="s">
        <v>17</v>
      </c>
      <c r="S44" s="711">
        <f t="shared" si="12"/>
        <v>100</v>
      </c>
      <c r="T44" s="710" t="s">
        <v>17</v>
      </c>
      <c r="U44" s="711">
        <f t="shared" si="13"/>
        <v>100</v>
      </c>
      <c r="V44" s="710" t="s">
        <v>17</v>
      </c>
      <c r="W44" s="711">
        <f t="shared" si="14"/>
        <v>100</v>
      </c>
      <c r="X44" s="712"/>
      <c r="Y44" s="350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8"/>
      <c r="Q45" s="1506">
        <f t="shared" si="11"/>
        <v>111</v>
      </c>
      <c r="R45" s="714" t="s">
        <v>17</v>
      </c>
      <c r="S45" s="715">
        <f t="shared" si="12"/>
        <v>100</v>
      </c>
      <c r="T45" s="714" t="s">
        <v>17</v>
      </c>
      <c r="U45" s="715">
        <f t="shared" si="13"/>
        <v>100</v>
      </c>
      <c r="V45" s="714" t="s">
        <v>17</v>
      </c>
      <c r="W45" s="715">
        <f t="shared" si="14"/>
        <v>100</v>
      </c>
      <c r="X45" s="1509"/>
      <c r="Y45" s="350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9"/>
      <c r="Q46" s="1506">
        <f t="shared" si="11"/>
        <v>111</v>
      </c>
      <c r="R46" s="714" t="s">
        <v>17</v>
      </c>
      <c r="S46" s="715">
        <f t="shared" si="12"/>
        <v>100</v>
      </c>
      <c r="T46" s="714" t="s">
        <v>17</v>
      </c>
      <c r="U46" s="715">
        <f t="shared" si="13"/>
        <v>100</v>
      </c>
      <c r="V46" s="714" t="s">
        <v>17</v>
      </c>
      <c r="W46" s="715">
        <f t="shared" si="14"/>
        <v>100</v>
      </c>
      <c r="X46" s="1509"/>
      <c r="Y46" s="3501"/>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93" t="str">
        <f>A47</f>
        <v>成交单价（元/平方米）</v>
      </c>
      <c r="Q47" s="3493"/>
      <c r="R47" s="3488">
        <f>E47</f>
        <v>0</v>
      </c>
      <c r="S47" s="3488"/>
      <c r="T47" s="3488">
        <f>G47</f>
        <v>0</v>
      </c>
      <c r="U47" s="3488"/>
      <c r="V47" s="3488">
        <f>I47</f>
        <v>0</v>
      </c>
      <c r="W47" s="3488"/>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510" t="s">
        <v>2411</v>
      </c>
      <c r="Q4" s="3511"/>
      <c r="R4" s="3505" t="s">
        <v>2407</v>
      </c>
      <c r="S4" s="3506"/>
      <c r="T4" s="3505" t="s">
        <v>2408</v>
      </c>
      <c r="U4" s="3506"/>
      <c r="V4" s="3514" t="s">
        <v>2409</v>
      </c>
      <c r="W4" s="3514"/>
      <c r="X4" s="2114"/>
      <c r="Y4" s="3505" t="s">
        <v>2411</v>
      </c>
      <c r="Z4" s="3506"/>
      <c r="AA4" s="3504" t="s">
        <v>2407</v>
      </c>
      <c r="AB4" s="3504" t="s">
        <v>2408</v>
      </c>
      <c r="AC4" s="3507" t="s">
        <v>2409</v>
      </c>
    </row>
    <row r="5" spans="1:29" ht="15">
      <c r="A5" s="364"/>
      <c r="B5" s="365"/>
      <c r="C5" s="3469" t="s">
        <v>2302</v>
      </c>
      <c r="D5" s="3470"/>
      <c r="E5" s="3467" t="s">
        <v>2303</v>
      </c>
      <c r="F5" s="3468"/>
      <c r="G5" s="3469" t="s">
        <v>2304</v>
      </c>
      <c r="H5" s="3470"/>
      <c r="I5" s="3469" t="s">
        <v>2305</v>
      </c>
      <c r="J5" s="3470"/>
      <c r="K5" s="567"/>
      <c r="L5" s="2914"/>
      <c r="M5" s="2915"/>
      <c r="N5" s="2915"/>
      <c r="O5" s="2915"/>
      <c r="P5" s="3512"/>
      <c r="Q5" s="3483"/>
      <c r="R5" s="3465"/>
      <c r="S5" s="3466"/>
      <c r="T5" s="3465"/>
      <c r="U5" s="3466"/>
      <c r="V5" s="3488"/>
      <c r="W5" s="3488"/>
      <c r="X5" s="1509"/>
      <c r="Y5" s="3465"/>
      <c r="Z5" s="3466"/>
      <c r="AA5" s="3459"/>
      <c r="AB5" s="3459"/>
      <c r="AC5" s="3508"/>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513"/>
      <c r="Q6" s="3485"/>
      <c r="R6" s="3465"/>
      <c r="S6" s="3466"/>
      <c r="T6" s="3486"/>
      <c r="U6" s="3487"/>
      <c r="V6" s="3488"/>
      <c r="W6" s="3488"/>
      <c r="X6" s="1509"/>
      <c r="Y6" s="3486"/>
      <c r="Z6" s="3487"/>
      <c r="AA6" s="3460"/>
      <c r="AB6" s="3460"/>
      <c r="AC6" s="3509"/>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5"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5" t="s">
        <v>2312</v>
      </c>
      <c r="Q8" s="3462"/>
      <c r="R8" s="710" t="s">
        <v>17</v>
      </c>
      <c r="S8" s="711">
        <f t="shared" si="0"/>
        <v>0</v>
      </c>
      <c r="T8" s="710" t="s">
        <v>17</v>
      </c>
      <c r="U8" s="711">
        <f t="shared" si="1"/>
        <v>0</v>
      </c>
      <c r="V8" s="710" t="s">
        <v>17</v>
      </c>
      <c r="W8" s="711">
        <f t="shared" si="2"/>
        <v>0</v>
      </c>
      <c r="X8" s="712"/>
      <c r="Y8" s="3461" t="s">
        <v>2312</v>
      </c>
      <c r="Z8" s="3462"/>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5"/>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5"/>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5"/>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5"/>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02" t="s">
        <v>2320</v>
      </c>
      <c r="Q15" s="1506" t="str">
        <f t="shared" si="6"/>
        <v>办公集聚程度</v>
      </c>
      <c r="R15" s="714" t="s">
        <v>17</v>
      </c>
      <c r="S15" s="715">
        <f t="shared" si="0"/>
        <v>100</v>
      </c>
      <c r="T15" s="714" t="s">
        <v>17</v>
      </c>
      <c r="U15" s="715">
        <f t="shared" si="1"/>
        <v>100</v>
      </c>
      <c r="V15" s="714" t="s">
        <v>17</v>
      </c>
      <c r="W15" s="715">
        <f t="shared" si="2"/>
        <v>100</v>
      </c>
      <c r="X15" s="1509"/>
      <c r="Y15" s="3495"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03"/>
      <c r="Q16" s="1506"/>
      <c r="R16" s="714"/>
      <c r="S16" s="715"/>
      <c r="T16" s="714"/>
      <c r="U16" s="715"/>
      <c r="V16" s="714"/>
      <c r="W16" s="715"/>
      <c r="X16" s="1509"/>
      <c r="Y16" s="3496"/>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03"/>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03"/>
      <c r="Q18" s="1506"/>
      <c r="R18" s="714"/>
      <c r="S18" s="715"/>
      <c r="T18" s="714"/>
      <c r="U18" s="715"/>
      <c r="V18" s="714"/>
      <c r="W18" s="715"/>
      <c r="X18" s="1509"/>
      <c r="Y18" s="3496"/>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03"/>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03"/>
      <c r="Q20" s="1506"/>
      <c r="R20" s="714"/>
      <c r="S20" s="715"/>
      <c r="T20" s="714"/>
      <c r="U20" s="715"/>
      <c r="V20" s="714"/>
      <c r="W20" s="715"/>
      <c r="X20" s="1509"/>
      <c r="Y20" s="3496"/>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03"/>
      <c r="Q22" s="1506"/>
      <c r="R22" s="714"/>
      <c r="S22" s="715"/>
      <c r="T22" s="714"/>
      <c r="U22" s="715"/>
      <c r="V22" s="714"/>
      <c r="W22" s="715"/>
      <c r="X22" s="1509"/>
      <c r="Y22" s="3496"/>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03"/>
      <c r="Q23" s="1506" t="str">
        <f>B23</f>
        <v>环境质量</v>
      </c>
      <c r="R23" s="714" t="s">
        <v>17</v>
      </c>
      <c r="S23" s="715">
        <f>F23</f>
        <v>100</v>
      </c>
      <c r="T23" s="714" t="s">
        <v>17</v>
      </c>
      <c r="U23" s="715">
        <f>H23</f>
        <v>100</v>
      </c>
      <c r="V23" s="714" t="s">
        <v>17</v>
      </c>
      <c r="W23" s="715">
        <f>J23</f>
        <v>100</v>
      </c>
      <c r="X23" s="1509"/>
      <c r="Y23" s="349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03"/>
      <c r="Q24" s="1506"/>
      <c r="R24" s="714"/>
      <c r="S24" s="715"/>
      <c r="T24" s="714"/>
      <c r="U24" s="715"/>
      <c r="V24" s="714"/>
      <c r="W24" s="715"/>
      <c r="X24" s="1509"/>
      <c r="Y24" s="3496"/>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03"/>
      <c r="Q25" s="1506" t="str">
        <f>B25</f>
        <v>毗邻道路的类型与等级</v>
      </c>
      <c r="R25" s="714" t="s">
        <v>17</v>
      </c>
      <c r="S25" s="715">
        <f>F25</f>
        <v>100</v>
      </c>
      <c r="T25" s="714" t="s">
        <v>17</v>
      </c>
      <c r="U25" s="715">
        <f>H25</f>
        <v>100</v>
      </c>
      <c r="V25" s="714" t="s">
        <v>17</v>
      </c>
      <c r="W25" s="715">
        <f>J25</f>
        <v>100</v>
      </c>
      <c r="X25" s="1509"/>
      <c r="Y25" s="349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03"/>
      <c r="Q26" s="1506"/>
      <c r="R26" s="714"/>
      <c r="S26" s="715"/>
      <c r="T26" s="714"/>
      <c r="U26" s="715"/>
      <c r="V26" s="714"/>
      <c r="W26" s="715"/>
      <c r="X26" s="1509"/>
      <c r="Y26" s="3496"/>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03"/>
      <c r="Q27" s="1506" t="str">
        <f t="shared" ref="Q27:Q47" si="11">B27</f>
        <v>楼层</v>
      </c>
      <c r="R27" s="714" t="s">
        <v>17</v>
      </c>
      <c r="S27" s="715">
        <f>F27</f>
        <v>100</v>
      </c>
      <c r="T27" s="714" t="s">
        <v>17</v>
      </c>
      <c r="U27" s="715">
        <f>H27</f>
        <v>100</v>
      </c>
      <c r="V27" s="714" t="s">
        <v>17</v>
      </c>
      <c r="W27" s="715">
        <f>J27</f>
        <v>100</v>
      </c>
      <c r="X27" s="1509"/>
      <c r="Y27" s="3496"/>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03"/>
      <c r="Q28" s="1497" t="str">
        <f t="shared" si="11"/>
        <v>朝向</v>
      </c>
      <c r="R28" s="710" t="s">
        <v>17</v>
      </c>
      <c r="S28" s="711">
        <f>F28</f>
        <v>100</v>
      </c>
      <c r="T28" s="710" t="s">
        <v>17</v>
      </c>
      <c r="U28" s="711">
        <f>H28</f>
        <v>100</v>
      </c>
      <c r="V28" s="710" t="s">
        <v>17</v>
      </c>
      <c r="W28" s="711">
        <f>J28</f>
        <v>100</v>
      </c>
      <c r="X28" s="712"/>
      <c r="Y28" s="349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03"/>
      <c r="Q29" s="1506">
        <f t="shared" si="11"/>
        <v>111</v>
      </c>
      <c r="R29" s="714" t="s">
        <v>17</v>
      </c>
      <c r="S29" s="715">
        <f t="shared" ref="S29:S47" si="12">F29</f>
        <v>100</v>
      </c>
      <c r="T29" s="714" t="s">
        <v>17</v>
      </c>
      <c r="U29" s="715">
        <f t="shared" ref="U29:U47" si="13">H29</f>
        <v>100</v>
      </c>
      <c r="V29" s="714" t="s">
        <v>17</v>
      </c>
      <c r="W29" s="715">
        <f t="shared" ref="W29:W47" si="14">J29</f>
        <v>100</v>
      </c>
      <c r="X29" s="1509"/>
      <c r="Y29" s="349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03"/>
      <c r="Q30" s="1506">
        <f t="shared" si="11"/>
        <v>111</v>
      </c>
      <c r="R30" s="714" t="s">
        <v>17</v>
      </c>
      <c r="S30" s="715">
        <f t="shared" si="12"/>
        <v>100</v>
      </c>
      <c r="T30" s="714" t="s">
        <v>17</v>
      </c>
      <c r="U30" s="715">
        <f t="shared" si="13"/>
        <v>100</v>
      </c>
      <c r="V30" s="714" t="s">
        <v>17</v>
      </c>
      <c r="W30" s="715">
        <f t="shared" si="14"/>
        <v>100</v>
      </c>
      <c r="X30" s="1509"/>
      <c r="Y30" s="349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03"/>
      <c r="Q31" s="1506">
        <f t="shared" si="11"/>
        <v>111</v>
      </c>
      <c r="R31" s="714" t="s">
        <v>17</v>
      </c>
      <c r="S31" s="715">
        <f t="shared" si="12"/>
        <v>100</v>
      </c>
      <c r="T31" s="714" t="s">
        <v>17</v>
      </c>
      <c r="U31" s="715">
        <f t="shared" si="13"/>
        <v>100</v>
      </c>
      <c r="V31" s="714" t="s">
        <v>17</v>
      </c>
      <c r="W31" s="715">
        <f t="shared" si="14"/>
        <v>100</v>
      </c>
      <c r="X31" s="1509"/>
      <c r="Y31" s="349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03"/>
      <c r="Q32" s="1506">
        <f t="shared" si="11"/>
        <v>111</v>
      </c>
      <c r="R32" s="714" t="s">
        <v>17</v>
      </c>
      <c r="S32" s="715">
        <f t="shared" si="12"/>
        <v>100</v>
      </c>
      <c r="T32" s="714" t="s">
        <v>17</v>
      </c>
      <c r="U32" s="715">
        <f t="shared" si="13"/>
        <v>100</v>
      </c>
      <c r="V32" s="714" t="s">
        <v>17</v>
      </c>
      <c r="W32" s="715">
        <f t="shared" si="14"/>
        <v>100</v>
      </c>
      <c r="X32" s="1509"/>
      <c r="Y32" s="3496"/>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7" t="s">
        <v>2325</v>
      </c>
      <c r="Q33" s="1506" t="str">
        <f t="shared" si="11"/>
        <v>建筑类型</v>
      </c>
      <c r="R33" s="714" t="s">
        <v>17</v>
      </c>
      <c r="S33" s="715">
        <f t="shared" si="12"/>
        <v>100</v>
      </c>
      <c r="T33" s="714" t="s">
        <v>17</v>
      </c>
      <c r="U33" s="715">
        <f t="shared" si="13"/>
        <v>100</v>
      </c>
      <c r="V33" s="714" t="s">
        <v>17</v>
      </c>
      <c r="W33" s="715">
        <f t="shared" si="14"/>
        <v>100</v>
      </c>
      <c r="X33" s="1509"/>
      <c r="Y33" s="3500"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8"/>
      <c r="Q34" s="716" t="str">
        <f t="shared" si="11"/>
        <v>项目建筑规模</v>
      </c>
      <c r="R34" s="717" t="s">
        <v>17</v>
      </c>
      <c r="S34" s="718" t="e">
        <f t="shared" si="12"/>
        <v>#N/A</v>
      </c>
      <c r="T34" s="717" t="s">
        <v>17</v>
      </c>
      <c r="U34" s="718" t="e">
        <f t="shared" si="13"/>
        <v>#N/A</v>
      </c>
      <c r="V34" s="717" t="s">
        <v>17</v>
      </c>
      <c r="W34" s="718" t="e">
        <f t="shared" si="14"/>
        <v>#N/A</v>
      </c>
      <c r="X34" s="719"/>
      <c r="Y34" s="3500"/>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8"/>
      <c r="Q35" s="1506" t="str">
        <f t="shared" si="11"/>
        <v>建筑结构</v>
      </c>
      <c r="R35" s="714" t="s">
        <v>17</v>
      </c>
      <c r="S35" s="715">
        <f t="shared" si="12"/>
        <v>100</v>
      </c>
      <c r="T35" s="714" t="s">
        <v>17</v>
      </c>
      <c r="U35" s="715">
        <f t="shared" si="13"/>
        <v>100</v>
      </c>
      <c r="V35" s="714" t="s">
        <v>17</v>
      </c>
      <c r="W35" s="715">
        <f t="shared" si="14"/>
        <v>100</v>
      </c>
      <c r="X35" s="1509"/>
      <c r="Y35" s="3500"/>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8"/>
      <c r="Q36" s="1506" t="str">
        <f t="shared" si="11"/>
        <v>公共部分装修</v>
      </c>
      <c r="R36" s="714" t="s">
        <v>17</v>
      </c>
      <c r="S36" s="715">
        <f t="shared" si="12"/>
        <v>100</v>
      </c>
      <c r="T36" s="714" t="s">
        <v>17</v>
      </c>
      <c r="U36" s="715">
        <f t="shared" si="13"/>
        <v>100</v>
      </c>
      <c r="V36" s="714" t="s">
        <v>17</v>
      </c>
      <c r="W36" s="715">
        <f t="shared" si="14"/>
        <v>100</v>
      </c>
      <c r="X36" s="1509"/>
      <c r="Y36" s="3500"/>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8"/>
      <c r="Q37" s="1506" t="str">
        <f t="shared" si="11"/>
        <v>成新度</v>
      </c>
      <c r="R37" s="714" t="s">
        <v>17</v>
      </c>
      <c r="S37" s="715" t="e">
        <f t="shared" si="12"/>
        <v>#N/A</v>
      </c>
      <c r="T37" s="714" t="s">
        <v>17</v>
      </c>
      <c r="U37" s="715" t="e">
        <f t="shared" si="13"/>
        <v>#N/A</v>
      </c>
      <c r="V37" s="714" t="s">
        <v>17</v>
      </c>
      <c r="W37" s="715" t="e">
        <f t="shared" si="14"/>
        <v>#N/A</v>
      </c>
      <c r="X37" s="1509"/>
      <c r="Y37" s="3500"/>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8"/>
      <c r="Q38" s="1497" t="str">
        <f t="shared" si="11"/>
        <v>写字楼等级</v>
      </c>
      <c r="R38" s="710" t="s">
        <v>17</v>
      </c>
      <c r="S38" s="711">
        <f t="shared" si="12"/>
        <v>100</v>
      </c>
      <c r="T38" s="710" t="s">
        <v>17</v>
      </c>
      <c r="U38" s="711">
        <f t="shared" si="13"/>
        <v>100</v>
      </c>
      <c r="V38" s="710" t="s">
        <v>17</v>
      </c>
      <c r="W38" s="711">
        <f t="shared" si="14"/>
        <v>100</v>
      </c>
      <c r="X38" s="712"/>
      <c r="Y38" s="3500"/>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8" t="s">
        <v>2325</v>
      </c>
      <c r="Q39" s="1506" t="str">
        <f t="shared" si="11"/>
        <v>物业管理</v>
      </c>
      <c r="R39" s="714" t="s">
        <v>17</v>
      </c>
      <c r="S39" s="715">
        <f t="shared" si="12"/>
        <v>100</v>
      </c>
      <c r="T39" s="714" t="s">
        <v>17</v>
      </c>
      <c r="U39" s="715">
        <f t="shared" si="13"/>
        <v>100</v>
      </c>
      <c r="V39" s="714" t="s">
        <v>17</v>
      </c>
      <c r="W39" s="715">
        <f t="shared" si="14"/>
        <v>100</v>
      </c>
      <c r="X39" s="1509"/>
      <c r="Y39" s="3500"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8"/>
      <c r="Q40" s="1506" t="str">
        <f t="shared" si="11"/>
        <v>市政基础设施</v>
      </c>
      <c r="R40" s="714" t="s">
        <v>17</v>
      </c>
      <c r="S40" s="715">
        <f t="shared" si="12"/>
        <v>100</v>
      </c>
      <c r="T40" s="714" t="s">
        <v>17</v>
      </c>
      <c r="U40" s="715">
        <f t="shared" si="13"/>
        <v>100</v>
      </c>
      <c r="V40" s="714" t="s">
        <v>17</v>
      </c>
      <c r="W40" s="715">
        <f t="shared" si="14"/>
        <v>100</v>
      </c>
      <c r="X40" s="1509"/>
      <c r="Y40" s="3500"/>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8"/>
      <c r="Q41" s="1506" t="str">
        <f t="shared" si="11"/>
        <v>层高</v>
      </c>
      <c r="R41" s="714" t="s">
        <v>17</v>
      </c>
      <c r="S41" s="715">
        <f t="shared" si="12"/>
        <v>100</v>
      </c>
      <c r="T41" s="714" t="s">
        <v>17</v>
      </c>
      <c r="U41" s="715">
        <f t="shared" si="13"/>
        <v>100</v>
      </c>
      <c r="V41" s="714" t="s">
        <v>17</v>
      </c>
      <c r="W41" s="715">
        <f t="shared" si="14"/>
        <v>100</v>
      </c>
      <c r="X41" s="1509"/>
      <c r="Y41" s="3500"/>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8"/>
      <c r="Q42" s="716" t="str">
        <f t="shared" si="11"/>
        <v>单套建筑面积</v>
      </c>
      <c r="R42" s="717" t="s">
        <v>17</v>
      </c>
      <c r="S42" s="718">
        <f t="shared" si="12"/>
        <v>100</v>
      </c>
      <c r="T42" s="717" t="s">
        <v>17</v>
      </c>
      <c r="U42" s="718">
        <f t="shared" si="13"/>
        <v>100</v>
      </c>
      <c r="V42" s="717" t="s">
        <v>17</v>
      </c>
      <c r="W42" s="718">
        <f t="shared" si="14"/>
        <v>100</v>
      </c>
      <c r="X42" s="719"/>
      <c r="Y42" s="3500"/>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8"/>
      <c r="Q43" s="1506" t="str">
        <f t="shared" si="11"/>
        <v>内部装修</v>
      </c>
      <c r="R43" s="714" t="s">
        <v>17</v>
      </c>
      <c r="S43" s="715">
        <f t="shared" si="12"/>
        <v>100</v>
      </c>
      <c r="T43" s="714" t="s">
        <v>17</v>
      </c>
      <c r="U43" s="715">
        <f t="shared" si="13"/>
        <v>100</v>
      </c>
      <c r="V43" s="714" t="s">
        <v>17</v>
      </c>
      <c r="W43" s="715">
        <f t="shared" si="14"/>
        <v>100</v>
      </c>
      <c r="X43" s="1509"/>
      <c r="Y43" s="3500"/>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8"/>
      <c r="Q44" s="1506" t="str">
        <f t="shared" si="11"/>
        <v>内部装修维护情况</v>
      </c>
      <c r="R44" s="714" t="s">
        <v>17</v>
      </c>
      <c r="S44" s="715">
        <f t="shared" si="12"/>
        <v>100</v>
      </c>
      <c r="T44" s="714" t="s">
        <v>17</v>
      </c>
      <c r="U44" s="715">
        <f t="shared" si="13"/>
        <v>100</v>
      </c>
      <c r="V44" s="714" t="s">
        <v>17</v>
      </c>
      <c r="W44" s="715">
        <f t="shared" si="14"/>
        <v>100</v>
      </c>
      <c r="X44" s="1509"/>
      <c r="Y44" s="350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8"/>
      <c r="Q45" s="1497">
        <f t="shared" si="11"/>
        <v>111</v>
      </c>
      <c r="R45" s="710" t="s">
        <v>17</v>
      </c>
      <c r="S45" s="711">
        <f t="shared" si="12"/>
        <v>100</v>
      </c>
      <c r="T45" s="710" t="s">
        <v>17</v>
      </c>
      <c r="U45" s="711">
        <f t="shared" si="13"/>
        <v>100</v>
      </c>
      <c r="V45" s="710" t="s">
        <v>17</v>
      </c>
      <c r="W45" s="711">
        <f t="shared" si="14"/>
        <v>100</v>
      </c>
      <c r="X45" s="712"/>
      <c r="Y45" s="350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8"/>
      <c r="Q46" s="1506">
        <f t="shared" si="11"/>
        <v>111</v>
      </c>
      <c r="R46" s="714" t="s">
        <v>17</v>
      </c>
      <c r="S46" s="715">
        <f t="shared" si="12"/>
        <v>100</v>
      </c>
      <c r="T46" s="714" t="s">
        <v>17</v>
      </c>
      <c r="U46" s="715">
        <f t="shared" si="13"/>
        <v>100</v>
      </c>
      <c r="V46" s="714" t="s">
        <v>17</v>
      </c>
      <c r="W46" s="715">
        <f t="shared" si="14"/>
        <v>100</v>
      </c>
      <c r="X46" s="1509"/>
      <c r="Y46" s="350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9"/>
      <c r="Q47" s="1506">
        <f t="shared" si="11"/>
        <v>111</v>
      </c>
      <c r="R47" s="714" t="s">
        <v>17</v>
      </c>
      <c r="S47" s="715">
        <f t="shared" si="12"/>
        <v>100</v>
      </c>
      <c r="T47" s="714" t="s">
        <v>17</v>
      </c>
      <c r="U47" s="715">
        <f t="shared" si="13"/>
        <v>100</v>
      </c>
      <c r="V47" s="714" t="s">
        <v>17</v>
      </c>
      <c r="W47" s="715">
        <f t="shared" si="14"/>
        <v>100</v>
      </c>
      <c r="X47" s="1509"/>
      <c r="Y47" s="3501"/>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75" t="str">
        <f>A48</f>
        <v>成交单价（元/平方米）</v>
      </c>
      <c r="Q48" s="3493"/>
      <c r="R48" s="3494">
        <f>E48</f>
        <v>0</v>
      </c>
      <c r="S48" s="3494"/>
      <c r="T48" s="3494">
        <f>G48</f>
        <v>0</v>
      </c>
      <c r="U48" s="3494"/>
      <c r="V48" s="3494">
        <f>I48</f>
        <v>0</v>
      </c>
      <c r="W48" s="3494"/>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75" t="str">
        <f>A49</f>
        <v>比较价值（元/平方米）</v>
      </c>
      <c r="Q49" s="3493"/>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1044"/>
      <c r="M4" s="1045"/>
      <c r="N4" s="1045"/>
      <c r="O4" s="104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1044"/>
      <c r="M5" s="1045"/>
      <c r="N5" s="1045"/>
      <c r="O5" s="104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1044"/>
      <c r="M6" s="1045"/>
      <c r="N6" s="1045"/>
      <c r="O6" s="104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1" t="s">
        <v>2312</v>
      </c>
      <c r="Q8" s="3462"/>
      <c r="R8" s="710" t="s">
        <v>17</v>
      </c>
      <c r="S8" s="711">
        <f t="shared" si="0"/>
        <v>0</v>
      </c>
      <c r="T8" s="710" t="s">
        <v>17</v>
      </c>
      <c r="U8" s="711">
        <f t="shared" si="1"/>
        <v>0</v>
      </c>
      <c r="V8" s="710" t="s">
        <v>17</v>
      </c>
      <c r="W8" s="711">
        <f t="shared" si="2"/>
        <v>0</v>
      </c>
      <c r="X8" s="712"/>
      <c r="Y8" s="3461" t="s">
        <v>2312</v>
      </c>
      <c r="Z8" s="3462"/>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5" t="s">
        <v>2320</v>
      </c>
      <c r="Q15" s="1506" t="str">
        <f t="shared" si="6"/>
        <v>产业集聚程度</v>
      </c>
      <c r="R15" s="714" t="s">
        <v>17</v>
      </c>
      <c r="S15" s="715">
        <f t="shared" si="0"/>
        <v>100</v>
      </c>
      <c r="T15" s="714" t="s">
        <v>17</v>
      </c>
      <c r="U15" s="715">
        <f t="shared" si="1"/>
        <v>100</v>
      </c>
      <c r="V15" s="714" t="s">
        <v>17</v>
      </c>
      <c r="W15" s="715">
        <f t="shared" si="2"/>
        <v>100</v>
      </c>
      <c r="X15" s="1509"/>
      <c r="Y15" s="3495"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6"/>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6"/>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6"/>
      <c r="Q18" s="1506"/>
      <c r="R18" s="714"/>
      <c r="S18" s="715"/>
      <c r="T18" s="714"/>
      <c r="U18" s="715"/>
      <c r="V18" s="714"/>
      <c r="W18" s="715"/>
      <c r="X18" s="1509"/>
      <c r="Y18" s="3496"/>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6"/>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6"/>
      <c r="Q20" s="1506"/>
      <c r="R20" s="714"/>
      <c r="S20" s="715"/>
      <c r="T20" s="714"/>
      <c r="U20" s="715"/>
      <c r="V20" s="714"/>
      <c r="W20" s="715"/>
      <c r="X20" s="1509"/>
      <c r="Y20" s="3496"/>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6"/>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6"/>
      <c r="Q22" s="1506"/>
      <c r="R22" s="714"/>
      <c r="S22" s="715"/>
      <c r="T22" s="714"/>
      <c r="U22" s="715"/>
      <c r="V22" s="714"/>
      <c r="W22" s="715"/>
      <c r="X22" s="1509"/>
      <c r="Y22" s="3496"/>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6"/>
      <c r="Q23" s="1506" t="str">
        <f>B23</f>
        <v>环境质量</v>
      </c>
      <c r="R23" s="714" t="s">
        <v>17</v>
      </c>
      <c r="S23" s="715">
        <f>F23</f>
        <v>100</v>
      </c>
      <c r="T23" s="714" t="s">
        <v>17</v>
      </c>
      <c r="U23" s="715">
        <f>H23</f>
        <v>100</v>
      </c>
      <c r="V23" s="714" t="s">
        <v>17</v>
      </c>
      <c r="W23" s="715">
        <f>J23</f>
        <v>100</v>
      </c>
      <c r="X23" s="1509"/>
      <c r="Y23" s="349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6"/>
      <c r="Q24" s="1506"/>
      <c r="R24" s="714"/>
      <c r="S24" s="715"/>
      <c r="T24" s="714"/>
      <c r="U24" s="715"/>
      <c r="V24" s="714"/>
      <c r="W24" s="715"/>
      <c r="X24" s="1509"/>
      <c r="Y24" s="349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6"/>
      <c r="Q25" s="1506">
        <f>B25</f>
        <v>111</v>
      </c>
      <c r="R25" s="714" t="s">
        <v>17</v>
      </c>
      <c r="S25" s="715">
        <f>F25</f>
        <v>100</v>
      </c>
      <c r="T25" s="714" t="s">
        <v>17</v>
      </c>
      <c r="U25" s="715">
        <f>H25</f>
        <v>100</v>
      </c>
      <c r="V25" s="714" t="s">
        <v>17</v>
      </c>
      <c r="W25" s="715">
        <f>J25</f>
        <v>100</v>
      </c>
      <c r="X25" s="1509"/>
      <c r="Y25" s="349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6"/>
      <c r="Q26" s="1506">
        <f t="shared" ref="Q26:Q40" si="11">B26</f>
        <v>111</v>
      </c>
      <c r="R26" s="714" t="s">
        <v>17</v>
      </c>
      <c r="S26" s="715">
        <f>F26</f>
        <v>100</v>
      </c>
      <c r="T26" s="714" t="s">
        <v>17</v>
      </c>
      <c r="U26" s="715">
        <f>H26</f>
        <v>100</v>
      </c>
      <c r="V26" s="714" t="s">
        <v>17</v>
      </c>
      <c r="W26" s="715">
        <f>J26</f>
        <v>100</v>
      </c>
      <c r="X26" s="1509"/>
      <c r="Y26" s="349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6"/>
      <c r="Q27" s="1497">
        <f t="shared" si="11"/>
        <v>111</v>
      </c>
      <c r="R27" s="710" t="s">
        <v>17</v>
      </c>
      <c r="S27" s="711">
        <f>F27</f>
        <v>100</v>
      </c>
      <c r="T27" s="710" t="s">
        <v>17</v>
      </c>
      <c r="U27" s="711">
        <f>H27</f>
        <v>100</v>
      </c>
      <c r="V27" s="710" t="s">
        <v>17</v>
      </c>
      <c r="W27" s="711">
        <f>J27</f>
        <v>100</v>
      </c>
      <c r="X27" s="712"/>
      <c r="Y27" s="349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6"/>
      <c r="Q28" s="1506">
        <f t="shared" si="11"/>
        <v>111</v>
      </c>
      <c r="R28" s="714" t="s">
        <v>17</v>
      </c>
      <c r="S28" s="715">
        <f t="shared" ref="S28:S40" si="12">F28</f>
        <v>100</v>
      </c>
      <c r="T28" s="714" t="s">
        <v>17</v>
      </c>
      <c r="U28" s="715">
        <f t="shared" ref="U28:U40" si="13">H28</f>
        <v>100</v>
      </c>
      <c r="V28" s="714" t="s">
        <v>17</v>
      </c>
      <c r="W28" s="715">
        <f t="shared" ref="W28:W40" si="14">J28</f>
        <v>100</v>
      </c>
      <c r="X28" s="1509"/>
      <c r="Y28" s="3496"/>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9" t="s">
        <v>2325</v>
      </c>
      <c r="Q29" s="1506" t="str">
        <f t="shared" si="11"/>
        <v>建筑类型</v>
      </c>
      <c r="R29" s="714" t="s">
        <v>17</v>
      </c>
      <c r="S29" s="715">
        <f t="shared" si="12"/>
        <v>100</v>
      </c>
      <c r="T29" s="714" t="s">
        <v>17</v>
      </c>
      <c r="U29" s="715">
        <f t="shared" si="13"/>
        <v>100</v>
      </c>
      <c r="V29" s="714" t="s">
        <v>17</v>
      </c>
      <c r="W29" s="715">
        <f t="shared" si="14"/>
        <v>100</v>
      </c>
      <c r="X29" s="1509"/>
      <c r="Y29" s="3500"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0"/>
      <c r="Q30" s="716" t="str">
        <f t="shared" si="11"/>
        <v>项目建筑规模</v>
      </c>
      <c r="R30" s="717" t="s">
        <v>17</v>
      </c>
      <c r="S30" s="718" t="e">
        <f t="shared" si="12"/>
        <v>#N/A</v>
      </c>
      <c r="T30" s="717" t="s">
        <v>17</v>
      </c>
      <c r="U30" s="718" t="e">
        <f t="shared" si="13"/>
        <v>#N/A</v>
      </c>
      <c r="V30" s="717" t="s">
        <v>17</v>
      </c>
      <c r="W30" s="718" t="e">
        <f t="shared" si="14"/>
        <v>#N/A</v>
      </c>
      <c r="X30" s="719"/>
      <c r="Y30" s="3500"/>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0"/>
      <c r="Q31" s="1506" t="str">
        <f t="shared" si="11"/>
        <v>建筑结构</v>
      </c>
      <c r="R31" s="714" t="s">
        <v>17</v>
      </c>
      <c r="S31" s="715">
        <f t="shared" si="12"/>
        <v>100</v>
      </c>
      <c r="T31" s="714" t="s">
        <v>17</v>
      </c>
      <c r="U31" s="715">
        <f t="shared" si="13"/>
        <v>100</v>
      </c>
      <c r="V31" s="714" t="s">
        <v>17</v>
      </c>
      <c r="W31" s="715">
        <f t="shared" si="14"/>
        <v>100</v>
      </c>
      <c r="X31" s="1509"/>
      <c r="Y31" s="3500"/>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0"/>
      <c r="Q32" s="1506" t="str">
        <f t="shared" si="11"/>
        <v>公共部分装修</v>
      </c>
      <c r="R32" s="714" t="s">
        <v>17</v>
      </c>
      <c r="S32" s="715">
        <f t="shared" si="12"/>
        <v>100</v>
      </c>
      <c r="T32" s="714" t="s">
        <v>17</v>
      </c>
      <c r="U32" s="715">
        <f t="shared" si="13"/>
        <v>100</v>
      </c>
      <c r="V32" s="714" t="s">
        <v>17</v>
      </c>
      <c r="W32" s="715">
        <f t="shared" si="14"/>
        <v>100</v>
      </c>
      <c r="X32" s="1509"/>
      <c r="Y32" s="3500"/>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0"/>
      <c r="Q33" s="1506" t="str">
        <f t="shared" si="11"/>
        <v>成新度</v>
      </c>
      <c r="R33" s="714" t="s">
        <v>17</v>
      </c>
      <c r="S33" s="715" t="e">
        <f t="shared" si="12"/>
        <v>#N/A</v>
      </c>
      <c r="T33" s="714" t="s">
        <v>17</v>
      </c>
      <c r="U33" s="715" t="e">
        <f t="shared" si="13"/>
        <v>#N/A</v>
      </c>
      <c r="V33" s="714" t="s">
        <v>17</v>
      </c>
      <c r="W33" s="715" t="e">
        <f t="shared" si="14"/>
        <v>#N/A</v>
      </c>
      <c r="X33" s="1509"/>
      <c r="Y33" s="3500"/>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0"/>
      <c r="Q34" s="1497" t="str">
        <f t="shared" si="11"/>
        <v>物业管理</v>
      </c>
      <c r="R34" s="710" t="s">
        <v>17</v>
      </c>
      <c r="S34" s="711">
        <f t="shared" si="12"/>
        <v>100</v>
      </c>
      <c r="T34" s="710" t="s">
        <v>17</v>
      </c>
      <c r="U34" s="711">
        <f t="shared" si="13"/>
        <v>100</v>
      </c>
      <c r="V34" s="710" t="s">
        <v>17</v>
      </c>
      <c r="W34" s="711">
        <f t="shared" si="14"/>
        <v>100</v>
      </c>
      <c r="X34" s="712"/>
      <c r="Y34" s="350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0" t="s">
        <v>2325</v>
      </c>
      <c r="Q35" s="1506" t="str">
        <f t="shared" si="11"/>
        <v>市政基础设施</v>
      </c>
      <c r="R35" s="714" t="s">
        <v>17</v>
      </c>
      <c r="S35" s="715">
        <f t="shared" si="12"/>
        <v>100</v>
      </c>
      <c r="T35" s="714" t="s">
        <v>17</v>
      </c>
      <c r="U35" s="715">
        <f t="shared" si="13"/>
        <v>100</v>
      </c>
      <c r="V35" s="714" t="s">
        <v>17</v>
      </c>
      <c r="W35" s="715">
        <f t="shared" si="14"/>
        <v>100</v>
      </c>
      <c r="X35" s="1509"/>
      <c r="Y35" s="3500"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0"/>
      <c r="Q36" s="1506" t="str">
        <f t="shared" si="11"/>
        <v>内部装修</v>
      </c>
      <c r="R36" s="714" t="s">
        <v>17</v>
      </c>
      <c r="S36" s="715">
        <f t="shared" si="12"/>
        <v>100</v>
      </c>
      <c r="T36" s="714" t="s">
        <v>17</v>
      </c>
      <c r="U36" s="715">
        <f t="shared" si="13"/>
        <v>100</v>
      </c>
      <c r="V36" s="714" t="s">
        <v>17</v>
      </c>
      <c r="W36" s="715">
        <f t="shared" si="14"/>
        <v>100</v>
      </c>
      <c r="X36" s="1509"/>
      <c r="Y36" s="3500"/>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0"/>
      <c r="Q37" s="1506" t="str">
        <f t="shared" si="11"/>
        <v>内部装修状况</v>
      </c>
      <c r="R37" s="714" t="s">
        <v>17</v>
      </c>
      <c r="S37" s="715">
        <f t="shared" si="12"/>
        <v>100</v>
      </c>
      <c r="T37" s="714" t="s">
        <v>17</v>
      </c>
      <c r="U37" s="715">
        <f t="shared" si="13"/>
        <v>100</v>
      </c>
      <c r="V37" s="714" t="s">
        <v>17</v>
      </c>
      <c r="W37" s="715">
        <f t="shared" si="14"/>
        <v>100</v>
      </c>
      <c r="X37" s="1509"/>
      <c r="Y37" s="350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0"/>
      <c r="Q38" s="716">
        <f t="shared" si="11"/>
        <v>111</v>
      </c>
      <c r="R38" s="717" t="s">
        <v>17</v>
      </c>
      <c r="S38" s="718">
        <f t="shared" si="12"/>
        <v>100</v>
      </c>
      <c r="T38" s="717" t="s">
        <v>17</v>
      </c>
      <c r="U38" s="718">
        <f t="shared" si="13"/>
        <v>100</v>
      </c>
      <c r="V38" s="717" t="s">
        <v>17</v>
      </c>
      <c r="W38" s="718">
        <f t="shared" si="14"/>
        <v>100</v>
      </c>
      <c r="X38" s="719"/>
      <c r="Y38" s="350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0"/>
      <c r="Q39" s="1506">
        <f t="shared" si="11"/>
        <v>111</v>
      </c>
      <c r="R39" s="714" t="s">
        <v>17</v>
      </c>
      <c r="S39" s="715">
        <f t="shared" si="12"/>
        <v>100</v>
      </c>
      <c r="T39" s="714" t="s">
        <v>17</v>
      </c>
      <c r="U39" s="715">
        <f t="shared" si="13"/>
        <v>100</v>
      </c>
      <c r="V39" s="714" t="s">
        <v>17</v>
      </c>
      <c r="W39" s="715">
        <f t="shared" si="14"/>
        <v>100</v>
      </c>
      <c r="X39" s="1509"/>
      <c r="Y39" s="350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1"/>
      <c r="Q40" s="1506">
        <f t="shared" si="11"/>
        <v>111</v>
      </c>
      <c r="R40" s="714" t="s">
        <v>17</v>
      </c>
      <c r="S40" s="715">
        <f t="shared" si="12"/>
        <v>100</v>
      </c>
      <c r="T40" s="714" t="s">
        <v>17</v>
      </c>
      <c r="U40" s="715">
        <f t="shared" si="13"/>
        <v>100</v>
      </c>
      <c r="V40" s="714" t="s">
        <v>17</v>
      </c>
      <c r="W40" s="715">
        <f t="shared" si="14"/>
        <v>100</v>
      </c>
      <c r="X40" s="1509"/>
      <c r="Y40" s="3501"/>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93" t="str">
        <f>A41</f>
        <v>成交单价（元/平方米）</v>
      </c>
      <c r="Q41" s="3493"/>
      <c r="R41" s="3494">
        <f>E41</f>
        <v>0</v>
      </c>
      <c r="S41" s="3494"/>
      <c r="T41" s="3494">
        <f>G41</f>
        <v>0</v>
      </c>
      <c r="U41" s="3494"/>
      <c r="V41" s="3494">
        <f>I41</f>
        <v>0</v>
      </c>
      <c r="W41" s="3494"/>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1" t="s">
        <v>2309</v>
      </c>
      <c r="Q7" s="3489"/>
      <c r="R7" s="710" t="s">
        <v>17</v>
      </c>
      <c r="S7" s="711">
        <f t="shared" ref="S7:S14" si="0">F7</f>
        <v>0</v>
      </c>
      <c r="T7" s="710" t="s">
        <v>17</v>
      </c>
      <c r="U7" s="711">
        <f t="shared" ref="U7:U14" si="1">H7</f>
        <v>0</v>
      </c>
      <c r="V7" s="710" t="s">
        <v>17</v>
      </c>
      <c r="W7" s="711">
        <f t="shared" ref="W7:W14"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93"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93"/>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5" t="s">
        <v>2320</v>
      </c>
      <c r="Q14" s="1506" t="str">
        <f t="shared" si="6"/>
        <v>交通便捷度</v>
      </c>
      <c r="R14" s="714" t="s">
        <v>17</v>
      </c>
      <c r="S14" s="715">
        <f t="shared" si="0"/>
        <v>100</v>
      </c>
      <c r="T14" s="714" t="s">
        <v>17</v>
      </c>
      <c r="U14" s="715">
        <f t="shared" si="1"/>
        <v>100</v>
      </c>
      <c r="V14" s="714" t="s">
        <v>17</v>
      </c>
      <c r="W14" s="715">
        <f t="shared" si="2"/>
        <v>100</v>
      </c>
      <c r="X14" s="1509"/>
      <c r="Y14" s="3495"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6"/>
      <c r="Q15" s="1506"/>
      <c r="R15" s="714"/>
      <c r="S15" s="715"/>
      <c r="T15" s="714"/>
      <c r="U15" s="715"/>
      <c r="V15" s="714"/>
      <c r="W15" s="715"/>
      <c r="X15" s="1509"/>
      <c r="Y15" s="3496"/>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6"/>
      <c r="Q16" s="1506" t="str">
        <f>B16</f>
        <v>公共配套设施</v>
      </c>
      <c r="R16" s="714" t="s">
        <v>17</v>
      </c>
      <c r="S16" s="715">
        <f>F16</f>
        <v>100</v>
      </c>
      <c r="T16" s="714" t="s">
        <v>17</v>
      </c>
      <c r="U16" s="715">
        <f>H16</f>
        <v>100</v>
      </c>
      <c r="V16" s="714" t="s">
        <v>17</v>
      </c>
      <c r="W16" s="715">
        <f>J16</f>
        <v>100</v>
      </c>
      <c r="X16" s="1509"/>
      <c r="Y16" s="349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6"/>
      <c r="Q17" s="1506"/>
      <c r="R17" s="714"/>
      <c r="S17" s="715"/>
      <c r="T17" s="714"/>
      <c r="U17" s="715"/>
      <c r="V17" s="714"/>
      <c r="W17" s="715"/>
      <c r="X17" s="1509"/>
      <c r="Y17" s="3496"/>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6"/>
      <c r="Q18" s="1506" t="str">
        <f>B18</f>
        <v>基础设施水平</v>
      </c>
      <c r="R18" s="714" t="s">
        <v>17</v>
      </c>
      <c r="S18" s="715">
        <f>F18</f>
        <v>100</v>
      </c>
      <c r="T18" s="714" t="s">
        <v>17</v>
      </c>
      <c r="U18" s="715">
        <f>H18</f>
        <v>100</v>
      </c>
      <c r="V18" s="714" t="s">
        <v>17</v>
      </c>
      <c r="W18" s="715">
        <f>J18</f>
        <v>100</v>
      </c>
      <c r="X18" s="1509"/>
      <c r="Y18" s="349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6"/>
      <c r="Q19" s="1506"/>
      <c r="R19" s="714"/>
      <c r="S19" s="715"/>
      <c r="T19" s="714"/>
      <c r="U19" s="715"/>
      <c r="V19" s="714"/>
      <c r="W19" s="715"/>
      <c r="X19" s="1509"/>
      <c r="Y19" s="3496"/>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6"/>
      <c r="Q20" s="1506" t="str">
        <f>B20</f>
        <v>自然及人文环境</v>
      </c>
      <c r="R20" s="714" t="s">
        <v>17</v>
      </c>
      <c r="S20" s="715">
        <f>F20</f>
        <v>100</v>
      </c>
      <c r="T20" s="714" t="s">
        <v>17</v>
      </c>
      <c r="U20" s="715">
        <f>H20</f>
        <v>100</v>
      </c>
      <c r="V20" s="714" t="s">
        <v>17</v>
      </c>
      <c r="W20" s="715">
        <f>J20</f>
        <v>100</v>
      </c>
      <c r="X20" s="1509"/>
      <c r="Y20" s="349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6"/>
      <c r="Q21" s="1506"/>
      <c r="R21" s="714"/>
      <c r="S21" s="715"/>
      <c r="T21" s="714"/>
      <c r="U21" s="715"/>
      <c r="V21" s="714"/>
      <c r="W21" s="715"/>
      <c r="X21" s="1509"/>
      <c r="Y21" s="3496"/>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6"/>
      <c r="Q22" s="1506" t="str">
        <f>B22</f>
        <v>楼层</v>
      </c>
      <c r="R22" s="714" t="s">
        <v>17</v>
      </c>
      <c r="S22" s="715">
        <f>F22</f>
        <v>100</v>
      </c>
      <c r="T22" s="714" t="s">
        <v>17</v>
      </c>
      <c r="U22" s="715">
        <f>H22</f>
        <v>100</v>
      </c>
      <c r="V22" s="714" t="s">
        <v>17</v>
      </c>
      <c r="W22" s="715">
        <f>J22</f>
        <v>100</v>
      </c>
      <c r="X22" s="1509"/>
      <c r="Y22" s="349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6"/>
      <c r="Q23" s="1506">
        <f>B23</f>
        <v>111</v>
      </c>
      <c r="R23" s="714" t="s">
        <v>17</v>
      </c>
      <c r="S23" s="715">
        <f>F23</f>
        <v>100</v>
      </c>
      <c r="T23" s="714" t="s">
        <v>17</v>
      </c>
      <c r="U23" s="715">
        <f>H23</f>
        <v>100</v>
      </c>
      <c r="V23" s="714" t="s">
        <v>17</v>
      </c>
      <c r="W23" s="715">
        <f>J23</f>
        <v>100</v>
      </c>
      <c r="X23" s="1509"/>
      <c r="Y23" s="349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6"/>
      <c r="Q24" s="1506">
        <f t="shared" ref="Q24:Q36" si="11">B24</f>
        <v>111</v>
      </c>
      <c r="R24" s="714" t="s">
        <v>17</v>
      </c>
      <c r="S24" s="715">
        <f>F24</f>
        <v>100</v>
      </c>
      <c r="T24" s="714" t="s">
        <v>17</v>
      </c>
      <c r="U24" s="715">
        <f>H24</f>
        <v>100</v>
      </c>
      <c r="V24" s="714" t="s">
        <v>17</v>
      </c>
      <c r="W24" s="715">
        <f>J24</f>
        <v>100</v>
      </c>
      <c r="X24" s="1509"/>
      <c r="Y24" s="349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6"/>
      <c r="Q25" s="1497">
        <f t="shared" si="11"/>
        <v>111</v>
      </c>
      <c r="R25" s="710" t="s">
        <v>17</v>
      </c>
      <c r="S25" s="711">
        <f>F25</f>
        <v>100</v>
      </c>
      <c r="T25" s="710" t="s">
        <v>17</v>
      </c>
      <c r="U25" s="711">
        <f>H25</f>
        <v>100</v>
      </c>
      <c r="V25" s="710" t="s">
        <v>17</v>
      </c>
      <c r="W25" s="711">
        <f>J25</f>
        <v>100</v>
      </c>
      <c r="X25" s="712"/>
      <c r="Y25" s="3496"/>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00"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00"/>
      <c r="Q27" s="716" t="str">
        <f t="shared" si="11"/>
        <v>项目停车位配比</v>
      </c>
      <c r="R27" s="717" t="s">
        <v>17</v>
      </c>
      <c r="S27" s="718">
        <f t="shared" si="12"/>
        <v>100</v>
      </c>
      <c r="T27" s="717" t="s">
        <v>17</v>
      </c>
      <c r="U27" s="718">
        <f t="shared" si="13"/>
        <v>100</v>
      </c>
      <c r="V27" s="717" t="s">
        <v>17</v>
      </c>
      <c r="W27" s="718">
        <f t="shared" si="14"/>
        <v>100</v>
      </c>
      <c r="X27" s="719"/>
      <c r="Y27" s="3500"/>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00"/>
      <c r="Q28" s="1506" t="str">
        <f t="shared" si="11"/>
        <v>公共部分装修</v>
      </c>
      <c r="R28" s="714" t="s">
        <v>17</v>
      </c>
      <c r="S28" s="715">
        <f t="shared" si="12"/>
        <v>100</v>
      </c>
      <c r="T28" s="714" t="s">
        <v>17</v>
      </c>
      <c r="U28" s="715">
        <f t="shared" si="13"/>
        <v>100</v>
      </c>
      <c r="V28" s="714" t="s">
        <v>17</v>
      </c>
      <c r="W28" s="715">
        <f t="shared" si="14"/>
        <v>100</v>
      </c>
      <c r="X28" s="1509"/>
      <c r="Y28" s="3500"/>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00"/>
      <c r="Q29" s="1506" t="str">
        <f t="shared" si="11"/>
        <v>成新率</v>
      </c>
      <c r="R29" s="714" t="s">
        <v>17</v>
      </c>
      <c r="S29" s="715" t="e">
        <f t="shared" si="12"/>
        <v>#N/A</v>
      </c>
      <c r="T29" s="714" t="s">
        <v>17</v>
      </c>
      <c r="U29" s="715" t="e">
        <f t="shared" si="13"/>
        <v>#N/A</v>
      </c>
      <c r="V29" s="714" t="s">
        <v>17</v>
      </c>
      <c r="W29" s="715" t="e">
        <f t="shared" si="14"/>
        <v>#N/A</v>
      </c>
      <c r="X29" s="1509"/>
      <c r="Y29" s="3500"/>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00"/>
      <c r="Q30" s="1506" t="str">
        <f t="shared" si="11"/>
        <v>物业等级</v>
      </c>
      <c r="R30" s="714" t="s">
        <v>17</v>
      </c>
      <c r="S30" s="715">
        <f t="shared" si="12"/>
        <v>100</v>
      </c>
      <c r="T30" s="714" t="s">
        <v>17</v>
      </c>
      <c r="U30" s="715">
        <f t="shared" si="13"/>
        <v>100</v>
      </c>
      <c r="V30" s="714" t="s">
        <v>17</v>
      </c>
      <c r="W30" s="715">
        <f t="shared" si="14"/>
        <v>100</v>
      </c>
      <c r="X30" s="1509"/>
      <c r="Y30" s="3500"/>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00"/>
      <c r="Q31" s="1497" t="str">
        <f t="shared" si="11"/>
        <v>停车位面积</v>
      </c>
      <c r="R31" s="710" t="s">
        <v>17</v>
      </c>
      <c r="S31" s="711" t="e">
        <f t="shared" si="12"/>
        <v>#N/A</v>
      </c>
      <c r="T31" s="710" t="s">
        <v>17</v>
      </c>
      <c r="U31" s="711" t="e">
        <f t="shared" si="13"/>
        <v>#N/A</v>
      </c>
      <c r="V31" s="710" t="s">
        <v>17</v>
      </c>
      <c r="W31" s="711" t="e">
        <f t="shared" si="14"/>
        <v>#N/A</v>
      </c>
      <c r="X31" s="712"/>
      <c r="Y31" s="350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00" t="s">
        <v>2325</v>
      </c>
      <c r="Q32" s="1506" t="str">
        <f t="shared" si="11"/>
        <v>车位类型</v>
      </c>
      <c r="R32" s="714" t="s">
        <v>17</v>
      </c>
      <c r="S32" s="715">
        <f t="shared" si="12"/>
        <v>100</v>
      </c>
      <c r="T32" s="714" t="s">
        <v>17</v>
      </c>
      <c r="U32" s="715">
        <f t="shared" si="13"/>
        <v>100</v>
      </c>
      <c r="V32" s="714" t="s">
        <v>17</v>
      </c>
      <c r="W32" s="715">
        <f t="shared" si="14"/>
        <v>100</v>
      </c>
      <c r="X32" s="1509"/>
      <c r="Y32" s="3500"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00"/>
      <c r="Q33" s="1506" t="str">
        <f t="shared" si="11"/>
        <v>是否直接入户</v>
      </c>
      <c r="R33" s="714" t="s">
        <v>17</v>
      </c>
      <c r="S33" s="715">
        <f t="shared" si="12"/>
        <v>100</v>
      </c>
      <c r="T33" s="714" t="s">
        <v>17</v>
      </c>
      <c r="U33" s="715">
        <f t="shared" si="13"/>
        <v>100</v>
      </c>
      <c r="V33" s="714" t="s">
        <v>17</v>
      </c>
      <c r="W33" s="715">
        <f t="shared" si="14"/>
        <v>100</v>
      </c>
      <c r="X33" s="1509"/>
      <c r="Y33" s="350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00"/>
      <c r="Q34" s="1506">
        <f t="shared" si="11"/>
        <v>111</v>
      </c>
      <c r="R34" s="714" t="s">
        <v>17</v>
      </c>
      <c r="S34" s="715">
        <f t="shared" si="12"/>
        <v>100</v>
      </c>
      <c r="T34" s="714" t="s">
        <v>17</v>
      </c>
      <c r="U34" s="715">
        <f t="shared" si="13"/>
        <v>100</v>
      </c>
      <c r="V34" s="714" t="s">
        <v>17</v>
      </c>
      <c r="W34" s="715">
        <f t="shared" si="14"/>
        <v>100</v>
      </c>
      <c r="X34" s="1509"/>
      <c r="Y34" s="350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00"/>
      <c r="Q35" s="716">
        <f t="shared" si="11"/>
        <v>111</v>
      </c>
      <c r="R35" s="717" t="s">
        <v>17</v>
      </c>
      <c r="S35" s="718">
        <f t="shared" si="12"/>
        <v>100</v>
      </c>
      <c r="T35" s="717" t="s">
        <v>17</v>
      </c>
      <c r="U35" s="718">
        <f t="shared" si="13"/>
        <v>100</v>
      </c>
      <c r="V35" s="717" t="s">
        <v>17</v>
      </c>
      <c r="W35" s="718">
        <f t="shared" si="14"/>
        <v>100</v>
      </c>
      <c r="X35" s="719"/>
      <c r="Y35" s="350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00"/>
      <c r="Q36" s="1506">
        <f t="shared" si="11"/>
        <v>111</v>
      </c>
      <c r="R36" s="714" t="s">
        <v>17</v>
      </c>
      <c r="S36" s="715">
        <f t="shared" si="12"/>
        <v>100</v>
      </c>
      <c r="T36" s="714" t="s">
        <v>17</v>
      </c>
      <c r="U36" s="715">
        <f t="shared" si="13"/>
        <v>100</v>
      </c>
      <c r="V36" s="714" t="s">
        <v>17</v>
      </c>
      <c r="W36" s="715">
        <f t="shared" si="14"/>
        <v>100</v>
      </c>
      <c r="X36" s="1509"/>
      <c r="Y36" s="3500"/>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93" t="str">
        <f>A37</f>
        <v>成交单价</v>
      </c>
      <c r="Q37" s="3493"/>
      <c r="R37" s="3494">
        <f>E37</f>
        <v>0</v>
      </c>
      <c r="S37" s="3494"/>
      <c r="T37" s="3494">
        <f>G37</f>
        <v>0</v>
      </c>
      <c r="U37" s="3494"/>
      <c r="V37" s="3494">
        <f>I37</f>
        <v>0</v>
      </c>
      <c r="W37" s="3494"/>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90" t="str">
        <f>A39</f>
        <v>估价对象XX用房的比较价值（楼面单价，元/平方米）</v>
      </c>
      <c r="Q39" s="3491"/>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1" t="s">
        <v>2309</v>
      </c>
      <c r="Q7" s="3489"/>
      <c r="R7" s="710" t="s">
        <v>17</v>
      </c>
      <c r="S7" s="711">
        <f t="shared" ref="S7:S14" si="0">F7</f>
        <v>0</v>
      </c>
      <c r="T7" s="710" t="s">
        <v>17</v>
      </c>
      <c r="U7" s="711">
        <f t="shared" ref="U7:U14" si="1">H7</f>
        <v>0</v>
      </c>
      <c r="V7" s="710" t="s">
        <v>17</v>
      </c>
      <c r="W7" s="711">
        <f t="shared" ref="W7:W14"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93"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93"/>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5" t="s">
        <v>2320</v>
      </c>
      <c r="Q14" s="1506" t="str">
        <f t="shared" si="6"/>
        <v>交通便捷度</v>
      </c>
      <c r="R14" s="714" t="s">
        <v>17</v>
      </c>
      <c r="S14" s="715">
        <f t="shared" si="0"/>
        <v>100</v>
      </c>
      <c r="T14" s="714" t="s">
        <v>17</v>
      </c>
      <c r="U14" s="715">
        <f t="shared" si="1"/>
        <v>100</v>
      </c>
      <c r="V14" s="714" t="s">
        <v>17</v>
      </c>
      <c r="W14" s="715">
        <f t="shared" si="2"/>
        <v>100</v>
      </c>
      <c r="X14" s="1509"/>
      <c r="Y14" s="3495"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6"/>
      <c r="Q15" s="1506"/>
      <c r="R15" s="714"/>
      <c r="S15" s="715"/>
      <c r="T15" s="714"/>
      <c r="U15" s="715"/>
      <c r="V15" s="714"/>
      <c r="W15" s="715"/>
      <c r="X15" s="1509"/>
      <c r="Y15" s="3496"/>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6"/>
      <c r="Q16" s="1506" t="str">
        <f>B16</f>
        <v>公共配套设施</v>
      </c>
      <c r="R16" s="714" t="s">
        <v>17</v>
      </c>
      <c r="S16" s="715">
        <f>F16</f>
        <v>100</v>
      </c>
      <c r="T16" s="714" t="s">
        <v>17</v>
      </c>
      <c r="U16" s="715">
        <f>H16</f>
        <v>100</v>
      </c>
      <c r="V16" s="714" t="s">
        <v>17</v>
      </c>
      <c r="W16" s="715">
        <f>J16</f>
        <v>100</v>
      </c>
      <c r="X16" s="1509"/>
      <c r="Y16" s="349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6"/>
      <c r="Q17" s="1506"/>
      <c r="R17" s="714"/>
      <c r="S17" s="715"/>
      <c r="T17" s="714"/>
      <c r="U17" s="715"/>
      <c r="V17" s="714"/>
      <c r="W17" s="715"/>
      <c r="X17" s="1509"/>
      <c r="Y17" s="3496"/>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6"/>
      <c r="Q18" s="1506" t="str">
        <f>B18</f>
        <v>基础设施水平</v>
      </c>
      <c r="R18" s="714" t="s">
        <v>17</v>
      </c>
      <c r="S18" s="715">
        <f>F18</f>
        <v>100</v>
      </c>
      <c r="T18" s="714" t="s">
        <v>17</v>
      </c>
      <c r="U18" s="715">
        <f>H18</f>
        <v>100</v>
      </c>
      <c r="V18" s="714" t="s">
        <v>17</v>
      </c>
      <c r="W18" s="715">
        <f>J18</f>
        <v>100</v>
      </c>
      <c r="X18" s="1509"/>
      <c r="Y18" s="349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6"/>
      <c r="Q19" s="1506"/>
      <c r="R19" s="714"/>
      <c r="S19" s="715"/>
      <c r="T19" s="714"/>
      <c r="U19" s="715"/>
      <c r="V19" s="714"/>
      <c r="W19" s="715"/>
      <c r="X19" s="1509"/>
      <c r="Y19" s="3496"/>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6"/>
      <c r="Q20" s="1506" t="str">
        <f>B20</f>
        <v>自然及人文环境</v>
      </c>
      <c r="R20" s="714" t="s">
        <v>17</v>
      </c>
      <c r="S20" s="715">
        <f>F20</f>
        <v>100</v>
      </c>
      <c r="T20" s="714" t="s">
        <v>17</v>
      </c>
      <c r="U20" s="715">
        <f>H20</f>
        <v>100</v>
      </c>
      <c r="V20" s="714" t="s">
        <v>17</v>
      </c>
      <c r="W20" s="715">
        <f>J20</f>
        <v>100</v>
      </c>
      <c r="X20" s="1509"/>
      <c r="Y20" s="349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6"/>
      <c r="Q21" s="1506"/>
      <c r="R21" s="714"/>
      <c r="S21" s="715"/>
      <c r="T21" s="714"/>
      <c r="U21" s="715"/>
      <c r="V21" s="714"/>
      <c r="W21" s="715"/>
      <c r="X21" s="1509"/>
      <c r="Y21" s="3496"/>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6"/>
      <c r="Q22" s="1506" t="str">
        <f>B22</f>
        <v>楼层</v>
      </c>
      <c r="R22" s="714" t="s">
        <v>17</v>
      </c>
      <c r="S22" s="715">
        <f>F22</f>
        <v>100</v>
      </c>
      <c r="T22" s="714" t="s">
        <v>17</v>
      </c>
      <c r="U22" s="715">
        <f>H22</f>
        <v>100</v>
      </c>
      <c r="V22" s="714" t="s">
        <v>17</v>
      </c>
      <c r="W22" s="715">
        <f>J22</f>
        <v>100</v>
      </c>
      <c r="X22" s="1509"/>
      <c r="Y22" s="349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6"/>
      <c r="Q23" s="1506">
        <f>B23</f>
        <v>111</v>
      </c>
      <c r="R23" s="714" t="s">
        <v>17</v>
      </c>
      <c r="S23" s="715">
        <f>F23</f>
        <v>100</v>
      </c>
      <c r="T23" s="714" t="s">
        <v>17</v>
      </c>
      <c r="U23" s="715">
        <f>H23</f>
        <v>100</v>
      </c>
      <c r="V23" s="714" t="s">
        <v>17</v>
      </c>
      <c r="W23" s="715">
        <f>J23</f>
        <v>100</v>
      </c>
      <c r="X23" s="1509"/>
      <c r="Y23" s="349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6"/>
      <c r="Q24" s="1506">
        <f t="shared" ref="Q24:Q34" si="11">B24</f>
        <v>111</v>
      </c>
      <c r="R24" s="714" t="s">
        <v>17</v>
      </c>
      <c r="S24" s="715">
        <f>F24</f>
        <v>100</v>
      </c>
      <c r="T24" s="714" t="s">
        <v>17</v>
      </c>
      <c r="U24" s="715">
        <f>H24</f>
        <v>100</v>
      </c>
      <c r="V24" s="714" t="s">
        <v>17</v>
      </c>
      <c r="W24" s="715">
        <f>J24</f>
        <v>100</v>
      </c>
      <c r="X24" s="1509"/>
      <c r="Y24" s="349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6"/>
      <c r="Q25" s="1497">
        <f t="shared" si="11"/>
        <v>111</v>
      </c>
      <c r="R25" s="710" t="s">
        <v>17</v>
      </c>
      <c r="S25" s="711">
        <f>F25</f>
        <v>100</v>
      </c>
      <c r="T25" s="710" t="s">
        <v>17</v>
      </c>
      <c r="U25" s="711">
        <f>H25</f>
        <v>100</v>
      </c>
      <c r="V25" s="710" t="s">
        <v>17</v>
      </c>
      <c r="W25" s="711">
        <f>J25</f>
        <v>100</v>
      </c>
      <c r="X25" s="712"/>
      <c r="Y25" s="3496"/>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00"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00"/>
      <c r="Q27" s="716" t="str">
        <f t="shared" si="11"/>
        <v>成新率</v>
      </c>
      <c r="R27" s="717" t="s">
        <v>17</v>
      </c>
      <c r="S27" s="718" t="e">
        <f t="shared" si="12"/>
        <v>#N/A</v>
      </c>
      <c r="T27" s="717" t="s">
        <v>17</v>
      </c>
      <c r="U27" s="718" t="e">
        <f t="shared" si="13"/>
        <v>#N/A</v>
      </c>
      <c r="V27" s="717" t="s">
        <v>17</v>
      </c>
      <c r="W27" s="718" t="e">
        <f t="shared" si="14"/>
        <v>#N/A</v>
      </c>
      <c r="X27" s="719"/>
      <c r="Y27" s="3500"/>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00"/>
      <c r="Q28" s="1506" t="str">
        <f t="shared" si="11"/>
        <v>物业等级</v>
      </c>
      <c r="R28" s="714" t="s">
        <v>17</v>
      </c>
      <c r="S28" s="715">
        <f t="shared" si="12"/>
        <v>100</v>
      </c>
      <c r="T28" s="714" t="s">
        <v>17</v>
      </c>
      <c r="U28" s="715">
        <f t="shared" si="13"/>
        <v>100</v>
      </c>
      <c r="V28" s="714" t="s">
        <v>17</v>
      </c>
      <c r="W28" s="715">
        <f t="shared" si="14"/>
        <v>100</v>
      </c>
      <c r="X28" s="1509"/>
      <c r="Y28" s="3500"/>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00"/>
      <c r="Q29" s="1506" t="str">
        <f t="shared" si="11"/>
        <v>有无电梯</v>
      </c>
      <c r="R29" s="714" t="s">
        <v>17</v>
      </c>
      <c r="S29" s="715">
        <f t="shared" si="12"/>
        <v>100</v>
      </c>
      <c r="T29" s="714" t="s">
        <v>17</v>
      </c>
      <c r="U29" s="715">
        <f t="shared" si="13"/>
        <v>100</v>
      </c>
      <c r="V29" s="714" t="s">
        <v>17</v>
      </c>
      <c r="W29" s="715">
        <f t="shared" si="14"/>
        <v>100</v>
      </c>
      <c r="X29" s="1509"/>
      <c r="Y29" s="3500"/>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00"/>
      <c r="Q30" s="1506" t="str">
        <f t="shared" si="11"/>
        <v>建筑面积</v>
      </c>
      <c r="R30" s="714" t="s">
        <v>17</v>
      </c>
      <c r="S30" s="715" t="e">
        <f t="shared" si="12"/>
        <v>#N/A</v>
      </c>
      <c r="T30" s="714" t="s">
        <v>17</v>
      </c>
      <c r="U30" s="715" t="e">
        <f t="shared" si="13"/>
        <v>#N/A</v>
      </c>
      <c r="V30" s="714" t="s">
        <v>17</v>
      </c>
      <c r="W30" s="715" t="e">
        <f t="shared" si="14"/>
        <v>#N/A</v>
      </c>
      <c r="X30" s="1509"/>
      <c r="Y30" s="3500"/>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00"/>
      <c r="Q31" s="1497" t="str">
        <f t="shared" si="11"/>
        <v>是否封闭</v>
      </c>
      <c r="R31" s="710" t="s">
        <v>17</v>
      </c>
      <c r="S31" s="711">
        <f t="shared" si="12"/>
        <v>100</v>
      </c>
      <c r="T31" s="710" t="s">
        <v>17</v>
      </c>
      <c r="U31" s="711">
        <f t="shared" si="13"/>
        <v>100</v>
      </c>
      <c r="V31" s="710" t="s">
        <v>17</v>
      </c>
      <c r="W31" s="711">
        <f t="shared" si="14"/>
        <v>100</v>
      </c>
      <c r="X31" s="712"/>
      <c r="Y31" s="350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00" t="s">
        <v>2325</v>
      </c>
      <c r="Q32" s="1506">
        <f t="shared" si="11"/>
        <v>111</v>
      </c>
      <c r="R32" s="714" t="s">
        <v>17</v>
      </c>
      <c r="S32" s="715">
        <f t="shared" si="12"/>
        <v>100</v>
      </c>
      <c r="T32" s="714" t="s">
        <v>17</v>
      </c>
      <c r="U32" s="715">
        <f t="shared" si="13"/>
        <v>100</v>
      </c>
      <c r="V32" s="714" t="s">
        <v>17</v>
      </c>
      <c r="W32" s="715">
        <f t="shared" si="14"/>
        <v>100</v>
      </c>
      <c r="X32" s="1509"/>
      <c r="Y32" s="3500"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00"/>
      <c r="Q33" s="1506">
        <f t="shared" si="11"/>
        <v>111</v>
      </c>
      <c r="R33" s="714" t="s">
        <v>17</v>
      </c>
      <c r="S33" s="715">
        <f t="shared" si="12"/>
        <v>100</v>
      </c>
      <c r="T33" s="714" t="s">
        <v>17</v>
      </c>
      <c r="U33" s="715">
        <f t="shared" si="13"/>
        <v>100</v>
      </c>
      <c r="V33" s="714" t="s">
        <v>17</v>
      </c>
      <c r="W33" s="715">
        <f t="shared" si="14"/>
        <v>100</v>
      </c>
      <c r="X33" s="1509"/>
      <c r="Y33" s="350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00"/>
      <c r="Q34" s="1506">
        <f t="shared" si="11"/>
        <v>111</v>
      </c>
      <c r="R34" s="714" t="s">
        <v>17</v>
      </c>
      <c r="S34" s="715">
        <f t="shared" si="12"/>
        <v>100</v>
      </c>
      <c r="T34" s="714" t="s">
        <v>17</v>
      </c>
      <c r="U34" s="715">
        <f t="shared" si="13"/>
        <v>100</v>
      </c>
      <c r="V34" s="714" t="s">
        <v>17</v>
      </c>
      <c r="W34" s="715">
        <f t="shared" si="14"/>
        <v>100</v>
      </c>
      <c r="X34" s="1509"/>
      <c r="Y34" s="3500"/>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93" t="str">
        <f>A35</f>
        <v>成交单价（元/平方米）</v>
      </c>
      <c r="Q35" s="3493"/>
      <c r="R35" s="3494">
        <f>E35</f>
        <v>0</v>
      </c>
      <c r="S35" s="3494"/>
      <c r="T35" s="3494">
        <f>G35</f>
        <v>0</v>
      </c>
      <c r="U35" s="3494"/>
      <c r="V35" s="3494">
        <f>I35</f>
        <v>0</v>
      </c>
      <c r="W35" s="3494"/>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90" t="str">
        <f>A37</f>
        <v>估价对象XX用房的比较价值（楼面单价，元/平方米）</v>
      </c>
      <c r="Q37" s="3491"/>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30"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30"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93"/>
      <c r="Q10" s="1497" t="str">
        <f t="shared" si="6"/>
        <v>土地使用年限（年）</v>
      </c>
      <c r="R10" s="710" t="s">
        <v>17</v>
      </c>
      <c r="S10" s="711">
        <f t="shared" si="0"/>
        <v>117</v>
      </c>
      <c r="T10" s="710" t="s">
        <v>17</v>
      </c>
      <c r="U10" s="711">
        <f t="shared" si="1"/>
        <v>117</v>
      </c>
      <c r="V10" s="710" t="s">
        <v>17</v>
      </c>
      <c r="W10" s="711">
        <f t="shared" si="2"/>
        <v>117</v>
      </c>
      <c r="X10" s="712"/>
      <c r="Y10" s="3379"/>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93"/>
      <c r="Q12" s="1497" t="str">
        <f t="shared" si="6"/>
        <v>配建</v>
      </c>
      <c r="R12" s="710" t="s">
        <v>17</v>
      </c>
      <c r="S12" s="711">
        <f t="shared" si="0"/>
        <v>100</v>
      </c>
      <c r="T12" s="710" t="s">
        <v>17</v>
      </c>
      <c r="U12" s="711">
        <f t="shared" si="1"/>
        <v>100</v>
      </c>
      <c r="V12" s="710" t="s">
        <v>17</v>
      </c>
      <c r="W12" s="711">
        <f t="shared" si="2"/>
        <v>100</v>
      </c>
      <c r="X12" s="712"/>
      <c r="Y12" s="337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5" t="s">
        <v>2320</v>
      </c>
      <c r="Q15" s="1506" t="str">
        <f t="shared" si="6"/>
        <v>居住社区成熟度</v>
      </c>
      <c r="R15" s="714" t="s">
        <v>17</v>
      </c>
      <c r="S15" s="715">
        <f t="shared" si="0"/>
        <v>100</v>
      </c>
      <c r="T15" s="714" t="s">
        <v>17</v>
      </c>
      <c r="U15" s="715">
        <f t="shared" si="1"/>
        <v>100</v>
      </c>
      <c r="V15" s="714" t="s">
        <v>17</v>
      </c>
      <c r="W15" s="715">
        <f t="shared" si="2"/>
        <v>100</v>
      </c>
      <c r="X15" s="1509"/>
      <c r="Y15" s="3495"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6"/>
      <c r="Q16" s="1506"/>
      <c r="R16" s="714"/>
      <c r="S16" s="715"/>
      <c r="T16" s="714"/>
      <c r="U16" s="715"/>
      <c r="V16" s="714"/>
      <c r="W16" s="715"/>
      <c r="X16" s="1509"/>
      <c r="Y16" s="3496"/>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6"/>
      <c r="Q17" s="1506" t="str">
        <f>B17</f>
        <v>商业繁华度</v>
      </c>
      <c r="R17" s="714" t="s">
        <v>17</v>
      </c>
      <c r="S17" s="715">
        <f>F17</f>
        <v>100</v>
      </c>
      <c r="T17" s="714" t="s">
        <v>17</v>
      </c>
      <c r="U17" s="715">
        <f>H17</f>
        <v>100</v>
      </c>
      <c r="V17" s="714" t="s">
        <v>17</v>
      </c>
      <c r="W17" s="715">
        <f>J17</f>
        <v>100</v>
      </c>
      <c r="X17" s="1509"/>
      <c r="Y17" s="349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6"/>
      <c r="Q18" s="1506"/>
      <c r="R18" s="714"/>
      <c r="S18" s="715"/>
      <c r="T18" s="714"/>
      <c r="U18" s="715"/>
      <c r="V18" s="714"/>
      <c r="W18" s="715"/>
      <c r="X18" s="1509"/>
      <c r="Y18" s="3496"/>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6"/>
      <c r="Q19" s="1506" t="str">
        <f>B19</f>
        <v>办公集聚程度</v>
      </c>
      <c r="R19" s="714" t="s">
        <v>17</v>
      </c>
      <c r="S19" s="715">
        <f>F19</f>
        <v>100</v>
      </c>
      <c r="T19" s="714" t="s">
        <v>17</v>
      </c>
      <c r="U19" s="715">
        <f>H19</f>
        <v>100</v>
      </c>
      <c r="V19" s="714" t="s">
        <v>17</v>
      </c>
      <c r="W19" s="715">
        <f>J19</f>
        <v>100</v>
      </c>
      <c r="X19" s="1509"/>
      <c r="Y19" s="349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6"/>
      <c r="Q20" s="1506"/>
      <c r="R20" s="714"/>
      <c r="S20" s="715"/>
      <c r="T20" s="714"/>
      <c r="U20" s="715"/>
      <c r="V20" s="714"/>
      <c r="W20" s="715"/>
      <c r="X20" s="1509"/>
      <c r="Y20" s="3496"/>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6"/>
      <c r="Q21" s="1506" t="str">
        <f>B21</f>
        <v>交通便捷度</v>
      </c>
      <c r="R21" s="714" t="s">
        <v>17</v>
      </c>
      <c r="S21" s="715">
        <f>F21</f>
        <v>100</v>
      </c>
      <c r="T21" s="714" t="s">
        <v>17</v>
      </c>
      <c r="U21" s="715">
        <f>H21</f>
        <v>100</v>
      </c>
      <c r="V21" s="714" t="s">
        <v>17</v>
      </c>
      <c r="W21" s="715">
        <f>J21</f>
        <v>100</v>
      </c>
      <c r="X21" s="1509"/>
      <c r="Y21" s="349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6"/>
      <c r="Q22" s="1506"/>
      <c r="R22" s="714"/>
      <c r="S22" s="715"/>
      <c r="T22" s="714"/>
      <c r="U22" s="715"/>
      <c r="V22" s="714"/>
      <c r="W22" s="715"/>
      <c r="X22" s="1509"/>
      <c r="Y22" s="3496"/>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6"/>
      <c r="Q23" s="1506" t="str">
        <f t="shared" ref="Q23:Q37" si="8">B23</f>
        <v>区域土地利用方向</v>
      </c>
      <c r="R23" s="714" t="s">
        <v>17</v>
      </c>
      <c r="S23" s="715">
        <f>F23</f>
        <v>100</v>
      </c>
      <c r="T23" s="714" t="s">
        <v>17</v>
      </c>
      <c r="U23" s="715">
        <f>H23</f>
        <v>100</v>
      </c>
      <c r="V23" s="714" t="s">
        <v>17</v>
      </c>
      <c r="W23" s="715">
        <f>J23</f>
        <v>100</v>
      </c>
      <c r="X23" s="1509"/>
      <c r="Y23" s="349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6"/>
      <c r="Q24" s="1506"/>
      <c r="R24" s="714"/>
      <c r="S24" s="715"/>
      <c r="T24" s="714"/>
      <c r="U24" s="715"/>
      <c r="V24" s="714"/>
      <c r="W24" s="715"/>
      <c r="X24" s="1509"/>
      <c r="Y24" s="3496"/>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6"/>
      <c r="Q25" s="1506" t="str">
        <f t="shared" si="8"/>
        <v>自然及人文环境状况</v>
      </c>
      <c r="R25" s="714" t="s">
        <v>17</v>
      </c>
      <c r="S25" s="715">
        <f>F25</f>
        <v>100</v>
      </c>
      <c r="T25" s="714" t="s">
        <v>17</v>
      </c>
      <c r="U25" s="715">
        <f>H25</f>
        <v>100</v>
      </c>
      <c r="V25" s="714" t="s">
        <v>17</v>
      </c>
      <c r="W25" s="715">
        <f>J25</f>
        <v>100</v>
      </c>
      <c r="X25" s="1509"/>
      <c r="Y25" s="349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6"/>
      <c r="Q26" s="1506"/>
      <c r="R26" s="714"/>
      <c r="S26" s="715"/>
      <c r="T26" s="714"/>
      <c r="U26" s="715"/>
      <c r="V26" s="714"/>
      <c r="W26" s="715"/>
      <c r="X26" s="1509"/>
      <c r="Y26" s="3496"/>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6"/>
      <c r="Q27" s="1497" t="str">
        <f t="shared" si="8"/>
        <v>公共配套设施</v>
      </c>
      <c r="R27" s="710" t="s">
        <v>17</v>
      </c>
      <c r="S27" s="711">
        <f>F27</f>
        <v>100</v>
      </c>
      <c r="T27" s="710" t="s">
        <v>17</v>
      </c>
      <c r="U27" s="711">
        <f>H27</f>
        <v>100</v>
      </c>
      <c r="V27" s="710" t="s">
        <v>17</v>
      </c>
      <c r="W27" s="711">
        <f>J27</f>
        <v>100</v>
      </c>
      <c r="X27" s="712"/>
      <c r="Y27" s="349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6"/>
      <c r="Q28" s="1497"/>
      <c r="R28" s="710"/>
      <c r="S28" s="711"/>
      <c r="T28" s="710"/>
      <c r="U28" s="711"/>
      <c r="V28" s="710"/>
      <c r="W28" s="711"/>
      <c r="X28" s="712"/>
      <c r="Y28" s="3496"/>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6"/>
      <c r="Q29" s="1497" t="str">
        <f t="shared" ref="Q29" si="9">B29</f>
        <v>基础设施水平</v>
      </c>
      <c r="R29" s="710" t="s">
        <v>17</v>
      </c>
      <c r="S29" s="711">
        <f>F29</f>
        <v>100</v>
      </c>
      <c r="T29" s="710" t="s">
        <v>17</v>
      </c>
      <c r="U29" s="711">
        <f>H29</f>
        <v>100</v>
      </c>
      <c r="V29" s="710" t="s">
        <v>17</v>
      </c>
      <c r="W29" s="711">
        <f>J29</f>
        <v>100</v>
      </c>
      <c r="X29" s="712"/>
      <c r="Y29" s="349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6"/>
      <c r="Q30" s="1497"/>
      <c r="R30" s="710"/>
      <c r="S30" s="711"/>
      <c r="T30" s="710"/>
      <c r="U30" s="711"/>
      <c r="V30" s="710"/>
      <c r="W30" s="711"/>
      <c r="X30" s="712"/>
      <c r="Y30" s="3496"/>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6"/>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6"/>
      <c r="Q32" s="1506" t="str">
        <f t="shared" si="8"/>
        <v>毗邻道路的类型与等级</v>
      </c>
      <c r="R32" s="714" t="s">
        <v>17</v>
      </c>
      <c r="S32" s="715">
        <f t="shared" si="10"/>
        <v>100</v>
      </c>
      <c r="T32" s="714" t="s">
        <v>17</v>
      </c>
      <c r="U32" s="715">
        <f t="shared" si="11"/>
        <v>100</v>
      </c>
      <c r="V32" s="714" t="s">
        <v>17</v>
      </c>
      <c r="W32" s="715">
        <f t="shared" si="12"/>
        <v>100</v>
      </c>
      <c r="X32" s="1509"/>
      <c r="Y32" s="349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6"/>
      <c r="Q33" s="1506"/>
      <c r="R33" s="714"/>
      <c r="S33" s="715"/>
      <c r="T33" s="714"/>
      <c r="U33" s="715"/>
      <c r="V33" s="714"/>
      <c r="W33" s="715"/>
      <c r="X33" s="1509"/>
      <c r="Y33" s="3496"/>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6"/>
      <c r="Q34" s="1506" t="str">
        <f t="shared" si="8"/>
        <v>土地级别</v>
      </c>
      <c r="R34" s="714" t="s">
        <v>17</v>
      </c>
      <c r="S34" s="715">
        <f t="shared" si="10"/>
        <v>100</v>
      </c>
      <c r="T34" s="714" t="s">
        <v>17</v>
      </c>
      <c r="U34" s="715">
        <f t="shared" si="11"/>
        <v>100</v>
      </c>
      <c r="V34" s="714" t="s">
        <v>17</v>
      </c>
      <c r="W34" s="715">
        <f t="shared" si="12"/>
        <v>100</v>
      </c>
      <c r="X34" s="1509"/>
      <c r="Y34" s="349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6"/>
      <c r="Q35" s="1506">
        <f t="shared" si="8"/>
        <v>111</v>
      </c>
      <c r="R35" s="714" t="s">
        <v>17</v>
      </c>
      <c r="S35" s="715">
        <f t="shared" si="10"/>
        <v>100</v>
      </c>
      <c r="T35" s="714" t="s">
        <v>17</v>
      </c>
      <c r="U35" s="715">
        <f t="shared" si="11"/>
        <v>100</v>
      </c>
      <c r="V35" s="714" t="s">
        <v>17</v>
      </c>
      <c r="W35" s="715">
        <f t="shared" si="12"/>
        <v>100</v>
      </c>
      <c r="X35" s="1509"/>
      <c r="Y35" s="349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9" t="s">
        <v>2325</v>
      </c>
      <c r="Q36" s="1506">
        <f t="shared" si="8"/>
        <v>111</v>
      </c>
      <c r="R36" s="714" t="s">
        <v>17</v>
      </c>
      <c r="S36" s="715">
        <f t="shared" si="10"/>
        <v>100</v>
      </c>
      <c r="T36" s="714" t="s">
        <v>17</v>
      </c>
      <c r="U36" s="715">
        <f t="shared" si="11"/>
        <v>100</v>
      </c>
      <c r="V36" s="714" t="s">
        <v>17</v>
      </c>
      <c r="W36" s="715">
        <f t="shared" si="12"/>
        <v>100</v>
      </c>
      <c r="X36" s="1509"/>
      <c r="Y36" s="3500"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00"/>
      <c r="Q37" s="1506">
        <f t="shared" si="8"/>
        <v>111</v>
      </c>
      <c r="R37" s="717" t="s">
        <v>17</v>
      </c>
      <c r="S37" s="718">
        <f t="shared" si="10"/>
        <v>100</v>
      </c>
      <c r="T37" s="717" t="s">
        <v>17</v>
      </c>
      <c r="U37" s="718">
        <f t="shared" si="11"/>
        <v>100</v>
      </c>
      <c r="V37" s="717" t="s">
        <v>17</v>
      </c>
      <c r="W37" s="718">
        <f t="shared" si="12"/>
        <v>100</v>
      </c>
      <c r="X37" s="719"/>
      <c r="Y37" s="3500"/>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00"/>
      <c r="Q38" s="1506" t="str">
        <f>B38</f>
        <v>宗地面积</v>
      </c>
      <c r="R38" s="714" t="s">
        <v>17</v>
      </c>
      <c r="S38" s="715" t="e">
        <f t="shared" si="10"/>
        <v>#N/A</v>
      </c>
      <c r="T38" s="714" t="s">
        <v>17</v>
      </c>
      <c r="U38" s="715" t="e">
        <f t="shared" si="11"/>
        <v>#N/A</v>
      </c>
      <c r="V38" s="714" t="s">
        <v>17</v>
      </c>
      <c r="W38" s="715" t="e">
        <f t="shared" si="12"/>
        <v>#N/A</v>
      </c>
      <c r="X38" s="1509"/>
      <c r="Y38" s="3500"/>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00"/>
      <c r="Q39" s="1506" t="str">
        <f t="shared" ref="Q39:Q45" si="14">B39</f>
        <v>宗地形状</v>
      </c>
      <c r="R39" s="714" t="s">
        <v>17</v>
      </c>
      <c r="S39" s="715">
        <f t="shared" si="10"/>
        <v>100</v>
      </c>
      <c r="T39" s="714" t="s">
        <v>17</v>
      </c>
      <c r="U39" s="715">
        <f t="shared" si="11"/>
        <v>100</v>
      </c>
      <c r="V39" s="714" t="s">
        <v>17</v>
      </c>
      <c r="W39" s="715">
        <f t="shared" si="12"/>
        <v>100</v>
      </c>
      <c r="X39" s="1509"/>
      <c r="Y39" s="3500"/>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00"/>
      <c r="Q40" s="1506" t="str">
        <f t="shared" si="14"/>
        <v>临街宽度及深度</v>
      </c>
      <c r="R40" s="714" t="s">
        <v>17</v>
      </c>
      <c r="S40" s="715">
        <f t="shared" si="10"/>
        <v>100</v>
      </c>
      <c r="T40" s="714" t="s">
        <v>17</v>
      </c>
      <c r="U40" s="715">
        <f t="shared" si="11"/>
        <v>100</v>
      </c>
      <c r="V40" s="714" t="s">
        <v>17</v>
      </c>
      <c r="W40" s="715">
        <f t="shared" si="12"/>
        <v>100</v>
      </c>
      <c r="X40" s="1509"/>
      <c r="Y40" s="3500"/>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00"/>
      <c r="Q41" s="1506" t="str">
        <f t="shared" si="14"/>
        <v>宗地开发程度</v>
      </c>
      <c r="R41" s="710" t="s">
        <v>17</v>
      </c>
      <c r="S41" s="711">
        <f t="shared" si="10"/>
        <v>100</v>
      </c>
      <c r="T41" s="710" t="s">
        <v>17</v>
      </c>
      <c r="U41" s="711">
        <f t="shared" si="11"/>
        <v>100</v>
      </c>
      <c r="V41" s="710" t="s">
        <v>17</v>
      </c>
      <c r="W41" s="711">
        <f t="shared" si="12"/>
        <v>100</v>
      </c>
      <c r="X41" s="712"/>
      <c r="Y41" s="3500"/>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00" t="s">
        <v>2325</v>
      </c>
      <c r="Q42" s="1506" t="str">
        <f t="shared" si="14"/>
        <v>工程地质条件</v>
      </c>
      <c r="R42" s="714" t="s">
        <v>17</v>
      </c>
      <c r="S42" s="715">
        <f t="shared" si="10"/>
        <v>100</v>
      </c>
      <c r="T42" s="714" t="s">
        <v>17</v>
      </c>
      <c r="U42" s="715">
        <f t="shared" si="11"/>
        <v>100</v>
      </c>
      <c r="V42" s="714" t="s">
        <v>17</v>
      </c>
      <c r="W42" s="715">
        <f t="shared" si="12"/>
        <v>100</v>
      </c>
      <c r="X42" s="1509"/>
      <c r="Y42" s="3500"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00"/>
      <c r="Q43" s="1506">
        <f t="shared" si="14"/>
        <v>111</v>
      </c>
      <c r="R43" s="714" t="s">
        <v>17</v>
      </c>
      <c r="S43" s="715">
        <f t="shared" si="10"/>
        <v>100</v>
      </c>
      <c r="T43" s="714" t="s">
        <v>17</v>
      </c>
      <c r="U43" s="715">
        <f t="shared" si="11"/>
        <v>100</v>
      </c>
      <c r="V43" s="714" t="s">
        <v>17</v>
      </c>
      <c r="W43" s="715">
        <f t="shared" si="12"/>
        <v>100</v>
      </c>
      <c r="X43" s="1509"/>
      <c r="Y43" s="350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00"/>
      <c r="Q44" s="1506">
        <f t="shared" si="14"/>
        <v>111</v>
      </c>
      <c r="R44" s="714" t="s">
        <v>17</v>
      </c>
      <c r="S44" s="715">
        <f t="shared" si="10"/>
        <v>100</v>
      </c>
      <c r="T44" s="714" t="s">
        <v>17</v>
      </c>
      <c r="U44" s="715">
        <f t="shared" si="11"/>
        <v>100</v>
      </c>
      <c r="V44" s="714" t="s">
        <v>17</v>
      </c>
      <c r="W44" s="715">
        <f t="shared" si="12"/>
        <v>100</v>
      </c>
      <c r="X44" s="1509"/>
      <c r="Y44" s="350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00"/>
      <c r="Q45" s="1506">
        <f t="shared" si="14"/>
        <v>111</v>
      </c>
      <c r="R45" s="717" t="s">
        <v>17</v>
      </c>
      <c r="S45" s="718">
        <f t="shared" si="10"/>
        <v>100</v>
      </c>
      <c r="T45" s="717" t="s">
        <v>17</v>
      </c>
      <c r="U45" s="718">
        <f t="shared" si="11"/>
        <v>100</v>
      </c>
      <c r="V45" s="717" t="s">
        <v>17</v>
      </c>
      <c r="W45" s="718">
        <f t="shared" si="12"/>
        <v>100</v>
      </c>
      <c r="X45" s="719"/>
      <c r="Y45" s="3500"/>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93" t="str">
        <f>A46</f>
        <v>成交单价</v>
      </c>
      <c r="Q46" s="3493"/>
      <c r="R46" s="3488">
        <f>E46</f>
        <v>0</v>
      </c>
      <c r="S46" s="3488"/>
      <c r="T46" s="3488">
        <f>G46</f>
        <v>0</v>
      </c>
      <c r="U46" s="3488"/>
      <c r="V46" s="3488">
        <f>I46</f>
        <v>0</v>
      </c>
      <c r="W46" s="3488"/>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93" t="str">
        <f>A47</f>
        <v>比较价值（元/平方米）</v>
      </c>
      <c r="Q47" s="3493"/>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90" t="str">
        <f>A48</f>
        <v>估价对象XX用房的比较价值（楼面单价，元/平方米）</v>
      </c>
      <c r="Q48" s="3491"/>
      <c r="R48" s="3522" t="e">
        <f>ROUND(IF(D47="简单平均",AVERAGE(R47:W47),R47*F47+T47*H47+V47*J47),0)</f>
        <v>#DIV/0!</v>
      </c>
      <c r="S48" s="3522"/>
      <c r="T48" s="3522"/>
      <c r="U48" s="3522"/>
      <c r="V48" s="3522"/>
      <c r="W48" s="352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6" t="s">
        <v>2524</v>
      </c>
      <c r="H55" s="352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43965.43</v>
      </c>
      <c r="F56" s="1017" t="e">
        <f t="shared" ref="F56:F65" si="15">ROUND(B56*E56/10000,0)</f>
        <v>#DIV/0!</v>
      </c>
      <c r="G56" s="3475"/>
      <c r="H56" s="3493"/>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4"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4"/>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4"/>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4"/>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49840.84</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525" t="s">
        <v>2557</v>
      </c>
      <c r="D6" s="3526"/>
      <c r="E6" s="3527" t="s">
        <v>2557</v>
      </c>
      <c r="F6" s="3528"/>
      <c r="G6" s="3525" t="s">
        <v>2557</v>
      </c>
      <c r="H6" s="3526"/>
      <c r="I6" s="3525" t="s">
        <v>2557</v>
      </c>
      <c r="J6" s="3526"/>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93"/>
      <c r="Q10" s="1497" t="str">
        <f t="shared" si="6"/>
        <v>土地使用年限（年）</v>
      </c>
      <c r="R10" s="710" t="s">
        <v>17</v>
      </c>
      <c r="S10" s="711">
        <f t="shared" si="0"/>
        <v>117</v>
      </c>
      <c r="T10" s="710" t="s">
        <v>17</v>
      </c>
      <c r="U10" s="711">
        <f t="shared" si="1"/>
        <v>117</v>
      </c>
      <c r="V10" s="710" t="s">
        <v>17</v>
      </c>
      <c r="W10" s="711">
        <f t="shared" si="2"/>
        <v>117</v>
      </c>
      <c r="X10" s="712"/>
      <c r="Y10" s="3379"/>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5" t="s">
        <v>2320</v>
      </c>
      <c r="Q15" s="1506" t="str">
        <f t="shared" si="6"/>
        <v>产业集聚程度</v>
      </c>
      <c r="R15" s="714" t="s">
        <v>17</v>
      </c>
      <c r="S15" s="715">
        <f t="shared" si="0"/>
        <v>100</v>
      </c>
      <c r="T15" s="714" t="s">
        <v>17</v>
      </c>
      <c r="U15" s="715">
        <f t="shared" si="1"/>
        <v>100</v>
      </c>
      <c r="V15" s="714" t="s">
        <v>17</v>
      </c>
      <c r="W15" s="715">
        <f t="shared" si="2"/>
        <v>100</v>
      </c>
      <c r="X15" s="1509"/>
      <c r="Y15" s="3495"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6"/>
      <c r="Q16" s="1506"/>
      <c r="R16" s="714"/>
      <c r="S16" s="715"/>
      <c r="T16" s="714"/>
      <c r="U16" s="715"/>
      <c r="V16" s="714"/>
      <c r="W16" s="715"/>
      <c r="X16" s="1509"/>
      <c r="Y16" s="3496"/>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6"/>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6"/>
      <c r="Q18" s="1506"/>
      <c r="R18" s="714"/>
      <c r="S18" s="715"/>
      <c r="T18" s="714"/>
      <c r="U18" s="715"/>
      <c r="V18" s="714"/>
      <c r="W18" s="715"/>
      <c r="X18" s="1509"/>
      <c r="Y18" s="3496"/>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6"/>
      <c r="Q19" s="1506" t="str">
        <f t="shared" ref="Q19:Q33" si="8">B19</f>
        <v>区域土地利用方向</v>
      </c>
      <c r="R19" s="714" t="s">
        <v>17</v>
      </c>
      <c r="S19" s="715">
        <f>F19</f>
        <v>100</v>
      </c>
      <c r="T19" s="714" t="s">
        <v>17</v>
      </c>
      <c r="U19" s="715">
        <f>H19</f>
        <v>100</v>
      </c>
      <c r="V19" s="714" t="s">
        <v>17</v>
      </c>
      <c r="W19" s="715">
        <f>J19</f>
        <v>100</v>
      </c>
      <c r="X19" s="1509"/>
      <c r="Y19" s="349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6"/>
      <c r="Q20" s="1506"/>
      <c r="R20" s="714"/>
      <c r="S20" s="715"/>
      <c r="T20" s="714"/>
      <c r="U20" s="715"/>
      <c r="V20" s="714"/>
      <c r="W20" s="715"/>
      <c r="X20" s="1509"/>
      <c r="Y20" s="3496"/>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6"/>
      <c r="Q21" s="1506" t="str">
        <f t="shared" si="8"/>
        <v>环境状况</v>
      </c>
      <c r="R21" s="714" t="s">
        <v>17</v>
      </c>
      <c r="S21" s="715">
        <f>F21</f>
        <v>100</v>
      </c>
      <c r="T21" s="714" t="s">
        <v>17</v>
      </c>
      <c r="U21" s="715">
        <f>H21</f>
        <v>100</v>
      </c>
      <c r="V21" s="714" t="s">
        <v>17</v>
      </c>
      <c r="W21" s="715">
        <f>J21</f>
        <v>100</v>
      </c>
      <c r="X21" s="1509"/>
      <c r="Y21" s="349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6"/>
      <c r="Q22" s="1506"/>
      <c r="R22" s="714"/>
      <c r="S22" s="715"/>
      <c r="T22" s="714"/>
      <c r="U22" s="715"/>
      <c r="V22" s="714"/>
      <c r="W22" s="715"/>
      <c r="X22" s="1509"/>
      <c r="Y22" s="3496"/>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6"/>
      <c r="Q23" s="1497" t="str">
        <f t="shared" si="8"/>
        <v>公共配套设施</v>
      </c>
      <c r="R23" s="710" t="s">
        <v>17</v>
      </c>
      <c r="S23" s="711">
        <f>F23</f>
        <v>100</v>
      </c>
      <c r="T23" s="710" t="s">
        <v>17</v>
      </c>
      <c r="U23" s="711">
        <f>H23</f>
        <v>100</v>
      </c>
      <c r="V23" s="710" t="s">
        <v>17</v>
      </c>
      <c r="W23" s="711">
        <f>J23</f>
        <v>100</v>
      </c>
      <c r="X23" s="712"/>
      <c r="Y23" s="349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6"/>
      <c r="Q24" s="1497"/>
      <c r="R24" s="710"/>
      <c r="S24" s="711"/>
      <c r="T24" s="710"/>
      <c r="U24" s="711"/>
      <c r="V24" s="710"/>
      <c r="W24" s="711"/>
      <c r="X24" s="712"/>
      <c r="Y24" s="3496"/>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6"/>
      <c r="Q25" s="1497" t="str">
        <f t="shared" ref="Q25" si="9">B25</f>
        <v>基础设施水平</v>
      </c>
      <c r="R25" s="710" t="s">
        <v>17</v>
      </c>
      <c r="S25" s="711">
        <f>F25</f>
        <v>100</v>
      </c>
      <c r="T25" s="710" t="s">
        <v>17</v>
      </c>
      <c r="U25" s="711">
        <f>H25</f>
        <v>100</v>
      </c>
      <c r="V25" s="710" t="s">
        <v>17</v>
      </c>
      <c r="W25" s="711">
        <f>J25</f>
        <v>100</v>
      </c>
      <c r="X25" s="712"/>
      <c r="Y25" s="349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6"/>
      <c r="Q26" s="1497"/>
      <c r="R26" s="710"/>
      <c r="S26" s="711"/>
      <c r="T26" s="710"/>
      <c r="U26" s="711"/>
      <c r="V26" s="710"/>
      <c r="W26" s="711"/>
      <c r="X26" s="712"/>
      <c r="Y26" s="3496"/>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6"/>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6"/>
      <c r="Q28" s="1506" t="str">
        <f t="shared" si="8"/>
        <v>毗邻道路的类型与等级</v>
      </c>
      <c r="R28" s="714" t="s">
        <v>17</v>
      </c>
      <c r="S28" s="715">
        <f t="shared" si="10"/>
        <v>100</v>
      </c>
      <c r="T28" s="714" t="s">
        <v>17</v>
      </c>
      <c r="U28" s="715">
        <f t="shared" si="11"/>
        <v>100</v>
      </c>
      <c r="V28" s="714" t="s">
        <v>17</v>
      </c>
      <c r="W28" s="715">
        <f t="shared" si="12"/>
        <v>100</v>
      </c>
      <c r="X28" s="1509"/>
      <c r="Y28" s="349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6"/>
      <c r="Q29" s="1506"/>
      <c r="R29" s="714"/>
      <c r="S29" s="715"/>
      <c r="T29" s="714"/>
      <c r="U29" s="715"/>
      <c r="V29" s="714"/>
      <c r="W29" s="715"/>
      <c r="X29" s="1509"/>
      <c r="Y29" s="3496"/>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6"/>
      <c r="Q30" s="1506" t="str">
        <f t="shared" si="8"/>
        <v>土地级别</v>
      </c>
      <c r="R30" s="714" t="s">
        <v>17</v>
      </c>
      <c r="S30" s="715">
        <f t="shared" si="10"/>
        <v>100</v>
      </c>
      <c r="T30" s="714" t="s">
        <v>17</v>
      </c>
      <c r="U30" s="715">
        <f t="shared" si="11"/>
        <v>100</v>
      </c>
      <c r="V30" s="714" t="s">
        <v>17</v>
      </c>
      <c r="W30" s="715">
        <f t="shared" si="12"/>
        <v>100</v>
      </c>
      <c r="X30" s="1509"/>
      <c r="Y30" s="349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6"/>
      <c r="Q31" s="1506">
        <f t="shared" si="8"/>
        <v>111</v>
      </c>
      <c r="R31" s="714" t="s">
        <v>17</v>
      </c>
      <c r="S31" s="715">
        <f t="shared" si="10"/>
        <v>100</v>
      </c>
      <c r="T31" s="714" t="s">
        <v>17</v>
      </c>
      <c r="U31" s="715">
        <f t="shared" si="11"/>
        <v>100</v>
      </c>
      <c r="V31" s="714" t="s">
        <v>17</v>
      </c>
      <c r="W31" s="715">
        <f t="shared" si="12"/>
        <v>100</v>
      </c>
      <c r="X31" s="1509"/>
      <c r="Y31" s="349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9" t="s">
        <v>2325</v>
      </c>
      <c r="Q32" s="1506">
        <f t="shared" si="8"/>
        <v>111</v>
      </c>
      <c r="R32" s="714" t="s">
        <v>17</v>
      </c>
      <c r="S32" s="715">
        <f t="shared" si="10"/>
        <v>100</v>
      </c>
      <c r="T32" s="714" t="s">
        <v>17</v>
      </c>
      <c r="U32" s="715">
        <f t="shared" si="11"/>
        <v>100</v>
      </c>
      <c r="V32" s="714" t="s">
        <v>17</v>
      </c>
      <c r="W32" s="715">
        <f t="shared" si="12"/>
        <v>100</v>
      </c>
      <c r="X32" s="1509"/>
      <c r="Y32" s="3500"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00"/>
      <c r="Q33" s="1506">
        <f t="shared" si="8"/>
        <v>111</v>
      </c>
      <c r="R33" s="717" t="s">
        <v>17</v>
      </c>
      <c r="S33" s="718">
        <f t="shared" si="10"/>
        <v>100</v>
      </c>
      <c r="T33" s="717" t="s">
        <v>17</v>
      </c>
      <c r="U33" s="718">
        <f t="shared" si="11"/>
        <v>100</v>
      </c>
      <c r="V33" s="717" t="s">
        <v>17</v>
      </c>
      <c r="W33" s="718">
        <f t="shared" si="12"/>
        <v>100</v>
      </c>
      <c r="X33" s="719"/>
      <c r="Y33" s="3500"/>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00"/>
      <c r="Q34" s="1506" t="str">
        <f>B34</f>
        <v>宗地面积</v>
      </c>
      <c r="R34" s="714" t="s">
        <v>17</v>
      </c>
      <c r="S34" s="715" t="e">
        <f t="shared" si="10"/>
        <v>#N/A</v>
      </c>
      <c r="T34" s="714" t="s">
        <v>17</v>
      </c>
      <c r="U34" s="715" t="e">
        <f t="shared" si="11"/>
        <v>#N/A</v>
      </c>
      <c r="V34" s="714" t="s">
        <v>17</v>
      </c>
      <c r="W34" s="715" t="e">
        <f t="shared" si="12"/>
        <v>#N/A</v>
      </c>
      <c r="X34" s="1509"/>
      <c r="Y34" s="3500"/>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00"/>
      <c r="Q35" s="1506" t="str">
        <f t="shared" ref="Q35:Q40" si="14">B35</f>
        <v>宗地形状</v>
      </c>
      <c r="R35" s="714" t="s">
        <v>17</v>
      </c>
      <c r="S35" s="715">
        <f t="shared" si="10"/>
        <v>100</v>
      </c>
      <c r="T35" s="714" t="s">
        <v>17</v>
      </c>
      <c r="U35" s="715">
        <f t="shared" si="11"/>
        <v>100</v>
      </c>
      <c r="V35" s="714" t="s">
        <v>17</v>
      </c>
      <c r="W35" s="715">
        <f t="shared" si="12"/>
        <v>100</v>
      </c>
      <c r="X35" s="1509"/>
      <c r="Y35" s="3500"/>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00"/>
      <c r="Q36" s="1506" t="str">
        <f t="shared" si="14"/>
        <v>宗地开发程度</v>
      </c>
      <c r="R36" s="710" t="s">
        <v>17</v>
      </c>
      <c r="S36" s="711">
        <f t="shared" si="10"/>
        <v>100</v>
      </c>
      <c r="T36" s="710" t="s">
        <v>17</v>
      </c>
      <c r="U36" s="711">
        <f t="shared" si="11"/>
        <v>100</v>
      </c>
      <c r="V36" s="710" t="s">
        <v>17</v>
      </c>
      <c r="W36" s="711">
        <f t="shared" si="12"/>
        <v>100</v>
      </c>
      <c r="X36" s="712"/>
      <c r="Y36" s="3500"/>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00" t="s">
        <v>2325</v>
      </c>
      <c r="Q37" s="1506" t="str">
        <f t="shared" si="14"/>
        <v>工程地质条件</v>
      </c>
      <c r="R37" s="714" t="s">
        <v>17</v>
      </c>
      <c r="S37" s="715">
        <f t="shared" si="10"/>
        <v>100</v>
      </c>
      <c r="T37" s="714" t="s">
        <v>17</v>
      </c>
      <c r="U37" s="715">
        <f t="shared" si="11"/>
        <v>100</v>
      </c>
      <c r="V37" s="714" t="s">
        <v>17</v>
      </c>
      <c r="W37" s="715">
        <f t="shared" si="12"/>
        <v>100</v>
      </c>
      <c r="X37" s="1509"/>
      <c r="Y37" s="3500"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00"/>
      <c r="Q38" s="1506">
        <f t="shared" si="14"/>
        <v>111</v>
      </c>
      <c r="R38" s="714" t="s">
        <v>17</v>
      </c>
      <c r="S38" s="715">
        <f t="shared" si="10"/>
        <v>100</v>
      </c>
      <c r="T38" s="714" t="s">
        <v>17</v>
      </c>
      <c r="U38" s="715">
        <f t="shared" si="11"/>
        <v>100</v>
      </c>
      <c r="V38" s="714" t="s">
        <v>17</v>
      </c>
      <c r="W38" s="715">
        <f t="shared" si="12"/>
        <v>100</v>
      </c>
      <c r="X38" s="1509"/>
      <c r="Y38" s="350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00"/>
      <c r="Q39" s="1506">
        <f t="shared" si="14"/>
        <v>111</v>
      </c>
      <c r="R39" s="714" t="s">
        <v>17</v>
      </c>
      <c r="S39" s="715">
        <f t="shared" si="10"/>
        <v>100</v>
      </c>
      <c r="T39" s="714" t="s">
        <v>17</v>
      </c>
      <c r="U39" s="715">
        <f t="shared" si="11"/>
        <v>100</v>
      </c>
      <c r="V39" s="714" t="s">
        <v>17</v>
      </c>
      <c r="W39" s="715">
        <f t="shared" si="12"/>
        <v>100</v>
      </c>
      <c r="X39" s="1509"/>
      <c r="Y39" s="350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00"/>
      <c r="Q40" s="1506">
        <f t="shared" si="14"/>
        <v>111</v>
      </c>
      <c r="R40" s="717" t="s">
        <v>17</v>
      </c>
      <c r="S40" s="718">
        <f t="shared" si="10"/>
        <v>100</v>
      </c>
      <c r="T40" s="717" t="s">
        <v>17</v>
      </c>
      <c r="U40" s="718">
        <f t="shared" si="11"/>
        <v>100</v>
      </c>
      <c r="V40" s="717" t="s">
        <v>17</v>
      </c>
      <c r="W40" s="718">
        <f t="shared" si="12"/>
        <v>100</v>
      </c>
      <c r="X40" s="719"/>
      <c r="Y40" s="3500"/>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93" t="str">
        <f>A41</f>
        <v>成交单价</v>
      </c>
      <c r="Q41" s="3493"/>
      <c r="R41" s="3488">
        <f>E41</f>
        <v>0</v>
      </c>
      <c r="S41" s="3488"/>
      <c r="T41" s="3488">
        <f>G41</f>
        <v>0</v>
      </c>
      <c r="U41" s="3488"/>
      <c r="V41" s="3488">
        <f>I41</f>
        <v>0</v>
      </c>
      <c r="W41" s="3488"/>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93" t="str">
        <f>A42</f>
        <v>比较价值（元/平方米）</v>
      </c>
      <c r="Q42" s="3493"/>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90" t="str">
        <f>A43</f>
        <v>估价对象XX用房的比较价值（楼面单价，元/平方米）</v>
      </c>
      <c r="Q43" s="3491"/>
      <c r="R43" s="3522" t="e">
        <f>ROUND(IF(D42="简单平均",AVERAGE(R42:W42),R42*F42+T42*H42+V42*J42),0)</f>
        <v>#DIV/0!</v>
      </c>
      <c r="S43" s="3522"/>
      <c r="T43" s="3522"/>
      <c r="U43" s="3522"/>
      <c r="V43" s="3522"/>
      <c r="W43" s="352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6" t="s">
        <v>2524</v>
      </c>
      <c r="H50" s="352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43965.43</v>
      </c>
      <c r="F51" s="647" t="e">
        <f t="shared" ref="F51:F60" si="15">ROUND(B51*E51/10000,0)</f>
        <v>#DIV/0!</v>
      </c>
      <c r="G51" s="3475"/>
      <c r="H51" s="3493"/>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4"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4"/>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4"/>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4"/>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9" t="s">
        <v>183</v>
      </c>
      <c r="B18" s="821" t="s">
        <v>560</v>
      </c>
      <c r="C18" s="822" t="s">
        <v>561</v>
      </c>
      <c r="D18" s="823"/>
      <c r="E18" s="821">
        <v>1</v>
      </c>
      <c r="F18" s="824" t="s">
        <v>562</v>
      </c>
      <c r="G18" s="825"/>
      <c r="H18" s="817"/>
      <c r="I18" s="817"/>
    </row>
    <row r="19" spans="1:9" s="826" customFormat="1" ht="19.5" customHeight="1">
      <c r="A19" s="3529"/>
      <c r="B19" s="3529" t="s">
        <v>563</v>
      </c>
      <c r="C19" s="822" t="s">
        <v>564</v>
      </c>
      <c r="D19" s="823"/>
      <c r="E19" s="821">
        <v>0.9</v>
      </c>
      <c r="F19" s="824" t="s">
        <v>565</v>
      </c>
      <c r="G19" s="825"/>
      <c r="H19" s="817"/>
      <c r="I19" s="817"/>
    </row>
    <row r="20" spans="1:9" s="826" customFormat="1" ht="19.5" customHeight="1">
      <c r="A20" s="3529"/>
      <c r="B20" s="3529"/>
      <c r="C20" s="822" t="s">
        <v>566</v>
      </c>
      <c r="D20" s="823"/>
      <c r="E20" s="821">
        <v>1.1000000000000001</v>
      </c>
      <c r="F20" s="824" t="s">
        <v>567</v>
      </c>
      <c r="G20" s="825"/>
      <c r="H20" s="817"/>
      <c r="I20" s="817"/>
    </row>
    <row r="21" spans="1:9" s="826" customFormat="1" ht="19.5" customHeight="1">
      <c r="A21" s="3529"/>
      <c r="B21" s="3529"/>
      <c r="C21" s="822" t="s">
        <v>568</v>
      </c>
      <c r="D21" s="823"/>
      <c r="E21" s="821">
        <v>0.8</v>
      </c>
      <c r="F21" s="824" t="s">
        <v>569</v>
      </c>
      <c r="G21" s="825"/>
      <c r="H21" s="817"/>
      <c r="I21" s="817"/>
    </row>
    <row r="22" spans="1:9" s="826" customFormat="1" ht="19.5" customHeight="1">
      <c r="A22" s="3529"/>
      <c r="B22" s="3529"/>
      <c r="C22" s="822" t="s">
        <v>570</v>
      </c>
      <c r="D22" s="823"/>
      <c r="E22" s="821">
        <v>0.5</v>
      </c>
      <c r="F22" s="824"/>
      <c r="G22" s="825"/>
      <c r="H22" s="817"/>
      <c r="I22" s="817"/>
    </row>
    <row r="23" spans="1:9" s="826" customFormat="1" ht="19.5" customHeight="1">
      <c r="A23" s="3529" t="s">
        <v>184</v>
      </c>
      <c r="B23" s="821" t="s">
        <v>560</v>
      </c>
      <c r="C23" s="822" t="s">
        <v>571</v>
      </c>
      <c r="D23" s="823"/>
      <c r="E23" s="821">
        <v>1</v>
      </c>
      <c r="F23" s="824" t="s">
        <v>572</v>
      </c>
      <c r="G23" s="825"/>
      <c r="H23" s="817"/>
      <c r="I23" s="817"/>
    </row>
    <row r="24" spans="1:9" s="826" customFormat="1" ht="19.5" customHeight="1">
      <c r="A24" s="3529"/>
      <c r="B24" s="3529" t="s">
        <v>563</v>
      </c>
      <c r="C24" s="822" t="s">
        <v>573</v>
      </c>
      <c r="D24" s="823"/>
      <c r="E24" s="821">
        <v>0.5</v>
      </c>
      <c r="F24" s="824"/>
      <c r="G24" s="825"/>
      <c r="H24" s="817"/>
      <c r="I24" s="817"/>
    </row>
    <row r="25" spans="1:9" s="826" customFormat="1" ht="19.5" customHeight="1">
      <c r="A25" s="3529"/>
      <c r="B25" s="3529"/>
      <c r="C25" s="822" t="s">
        <v>574</v>
      </c>
      <c r="D25" s="823"/>
      <c r="E25" s="821">
        <v>1.1000000000000001</v>
      </c>
      <c r="F25" s="824"/>
      <c r="G25" s="825"/>
      <c r="H25" s="817"/>
      <c r="I25" s="817"/>
    </row>
    <row r="26" spans="1:9" s="826" customFormat="1" ht="19.5" customHeight="1">
      <c r="A26" s="3529"/>
      <c r="B26" s="3529"/>
      <c r="C26" s="822" t="s">
        <v>575</v>
      </c>
      <c r="D26" s="823"/>
      <c r="E26" s="821">
        <v>1.1000000000000001</v>
      </c>
      <c r="F26" s="824"/>
      <c r="G26" s="825"/>
      <c r="H26" s="817"/>
      <c r="I26" s="817"/>
    </row>
    <row r="27" spans="1:9" s="826" customFormat="1" ht="19.5" customHeight="1">
      <c r="A27" s="3529"/>
      <c r="B27" s="3529"/>
      <c r="C27" s="822" t="s">
        <v>576</v>
      </c>
      <c r="D27" s="823"/>
      <c r="E27" s="821">
        <v>0.9</v>
      </c>
      <c r="F27" s="824" t="s">
        <v>577</v>
      </c>
      <c r="G27" s="825"/>
      <c r="H27" s="817"/>
      <c r="I27" s="817"/>
    </row>
    <row r="28" spans="1:9" s="826" customFormat="1" ht="19.5" customHeight="1">
      <c r="A28" s="3529"/>
      <c r="B28" s="3529"/>
      <c r="C28" s="822" t="s">
        <v>578</v>
      </c>
      <c r="D28" s="823"/>
      <c r="E28" s="821">
        <v>0.9</v>
      </c>
      <c r="F28" s="824" t="s">
        <v>579</v>
      </c>
      <c r="G28" s="825"/>
      <c r="H28" s="817"/>
      <c r="I28" s="817"/>
    </row>
    <row r="29" spans="1:9" s="826" customFormat="1" ht="19.5" customHeight="1">
      <c r="A29" s="3529"/>
      <c r="B29" s="3529"/>
      <c r="C29" s="822" t="s">
        <v>580</v>
      </c>
      <c r="D29" s="823"/>
      <c r="E29" s="821">
        <v>0.9</v>
      </c>
      <c r="F29" s="824" t="s">
        <v>581</v>
      </c>
      <c r="G29" s="825"/>
      <c r="H29" s="817"/>
      <c r="I29" s="817"/>
    </row>
    <row r="30" spans="1:9" s="826" customFormat="1" ht="19.5" customHeight="1">
      <c r="A30" s="3529"/>
      <c r="B30" s="3529"/>
      <c r="C30" s="822" t="s">
        <v>582</v>
      </c>
      <c r="D30" s="823"/>
      <c r="E30" s="821">
        <v>0.9</v>
      </c>
      <c r="F30" s="824" t="s">
        <v>583</v>
      </c>
      <c r="G30" s="825"/>
      <c r="H30" s="817"/>
      <c r="I30" s="817"/>
    </row>
    <row r="31" spans="1:9" s="826" customFormat="1" ht="19.5" customHeight="1">
      <c r="A31" s="3529"/>
      <c r="B31" s="3529"/>
      <c r="C31" s="822" t="s">
        <v>584</v>
      </c>
      <c r="D31" s="823"/>
      <c r="E31" s="821">
        <v>0.8</v>
      </c>
      <c r="F31" s="824" t="s">
        <v>585</v>
      </c>
      <c r="G31" s="825"/>
      <c r="H31" s="817"/>
      <c r="I31" s="817"/>
    </row>
    <row r="32" spans="1:9" s="826" customFormat="1" ht="19.5" customHeight="1">
      <c r="A32" s="3529"/>
      <c r="B32" s="3529"/>
      <c r="C32" s="822" t="s">
        <v>586</v>
      </c>
      <c r="D32" s="823"/>
      <c r="E32" s="821">
        <v>0.8</v>
      </c>
      <c r="F32" s="824" t="s">
        <v>587</v>
      </c>
      <c r="G32" s="825"/>
      <c r="H32" s="817"/>
      <c r="I32" s="817"/>
    </row>
    <row r="33" spans="1:9" s="826" customFormat="1" ht="19.5" customHeight="1">
      <c r="A33" s="3529" t="s">
        <v>185</v>
      </c>
      <c r="B33" s="821" t="s">
        <v>560</v>
      </c>
      <c r="C33" s="822" t="s">
        <v>588</v>
      </c>
      <c r="D33" s="823"/>
      <c r="E33" s="821">
        <v>1</v>
      </c>
      <c r="F33" s="824" t="s">
        <v>589</v>
      </c>
      <c r="G33" s="825"/>
      <c r="H33" s="817"/>
      <c r="I33" s="817"/>
    </row>
    <row r="34" spans="1:9" s="826" customFormat="1" ht="19.5" customHeight="1">
      <c r="A34" s="3529"/>
      <c r="B34" s="821" t="s">
        <v>563</v>
      </c>
      <c r="C34" s="822" t="s">
        <v>590</v>
      </c>
      <c r="D34" s="823"/>
      <c r="E34" s="821">
        <v>1.5</v>
      </c>
      <c r="F34" s="824" t="s">
        <v>591</v>
      </c>
      <c r="G34" s="825"/>
      <c r="H34" s="817"/>
      <c r="I34" s="817"/>
    </row>
    <row r="35" spans="1:9" s="826" customFormat="1" ht="19.5" customHeight="1">
      <c r="A35" s="3529" t="s">
        <v>186</v>
      </c>
      <c r="B35" s="821" t="s">
        <v>560</v>
      </c>
      <c r="C35" s="822" t="s">
        <v>592</v>
      </c>
      <c r="D35" s="823"/>
      <c r="E35" s="821">
        <v>1</v>
      </c>
      <c r="F35" s="824" t="s">
        <v>593</v>
      </c>
      <c r="G35" s="825"/>
      <c r="H35" s="817"/>
      <c r="I35" s="817"/>
    </row>
    <row r="36" spans="1:9" s="826" customFormat="1" ht="19.5" customHeight="1">
      <c r="A36" s="3529"/>
      <c r="B36" s="3529" t="s">
        <v>563</v>
      </c>
      <c r="C36" s="822" t="s">
        <v>594</v>
      </c>
      <c r="D36" s="823"/>
      <c r="E36" s="821">
        <v>1</v>
      </c>
      <c r="F36" s="824" t="s">
        <v>595</v>
      </c>
      <c r="G36" s="825"/>
      <c r="H36" s="817"/>
      <c r="I36" s="817"/>
    </row>
    <row r="37" spans="1:9" s="826" customFormat="1" ht="19.5" customHeight="1">
      <c r="A37" s="3529"/>
      <c r="B37" s="3529"/>
      <c r="C37" s="822" t="s">
        <v>596</v>
      </c>
      <c r="D37" s="823"/>
      <c r="E37" s="821">
        <v>1.5</v>
      </c>
      <c r="F37" s="824" t="s">
        <v>597</v>
      </c>
      <c r="G37" s="825"/>
      <c r="H37" s="817"/>
      <c r="I37" s="817"/>
    </row>
    <row r="38" spans="1:9" s="826" customFormat="1" ht="19.5" customHeight="1">
      <c r="A38" s="3529"/>
      <c r="B38" s="3529"/>
      <c r="C38" s="822" t="s">
        <v>598</v>
      </c>
      <c r="D38" s="823"/>
      <c r="E38" s="821">
        <v>1</v>
      </c>
      <c r="F38" s="824" t="s">
        <v>599</v>
      </c>
      <c r="G38" s="825"/>
      <c r="H38" s="817"/>
      <c r="I38" s="817"/>
    </row>
    <row r="39" spans="1:9" s="826" customFormat="1" ht="19.5" customHeight="1">
      <c r="A39" s="3529"/>
      <c r="B39" s="352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9" t="s">
        <v>614</v>
      </c>
      <c r="C61" s="757" t="s">
        <v>615</v>
      </c>
      <c r="D61" s="757" t="s">
        <v>616</v>
      </c>
      <c r="E61" s="834">
        <v>0.5</v>
      </c>
      <c r="F61" s="821">
        <v>80</v>
      </c>
    </row>
    <row r="62" spans="1:8" s="817" customFormat="1" ht="24">
      <c r="A62" s="821">
        <v>2</v>
      </c>
      <c r="B62" s="3529"/>
      <c r="C62" s="757" t="s">
        <v>617</v>
      </c>
      <c r="D62" s="757" t="s">
        <v>618</v>
      </c>
      <c r="E62" s="834">
        <v>0.5</v>
      </c>
      <c r="F62" s="821">
        <v>80</v>
      </c>
    </row>
    <row r="63" spans="1:8" s="817" customFormat="1" ht="36">
      <c r="A63" s="821">
        <v>3</v>
      </c>
      <c r="B63" s="3529"/>
      <c r="C63" s="757" t="s">
        <v>619</v>
      </c>
      <c r="D63" s="757" t="s">
        <v>620</v>
      </c>
      <c r="E63" s="834">
        <v>0.5</v>
      </c>
      <c r="F63" s="821">
        <v>80</v>
      </c>
    </row>
    <row r="64" spans="1:8" s="817" customFormat="1" ht="36">
      <c r="A64" s="821">
        <v>4</v>
      </c>
      <c r="B64" s="3529"/>
      <c r="C64" s="757" t="s">
        <v>621</v>
      </c>
      <c r="D64" s="757" t="s">
        <v>622</v>
      </c>
      <c r="E64" s="834">
        <v>0.4</v>
      </c>
      <c r="F64" s="821">
        <v>60</v>
      </c>
    </row>
    <row r="65" spans="1:6" s="817" customFormat="1" ht="36">
      <c r="A65" s="821">
        <v>5</v>
      </c>
      <c r="B65" s="3529"/>
      <c r="C65" s="757" t="s">
        <v>623</v>
      </c>
      <c r="D65" s="757" t="s">
        <v>624</v>
      </c>
      <c r="E65" s="834">
        <v>0.2</v>
      </c>
      <c r="F65" s="821">
        <v>30</v>
      </c>
    </row>
    <row r="66" spans="1:6" s="817" customFormat="1" ht="36">
      <c r="A66" s="821">
        <v>6</v>
      </c>
      <c r="B66" s="3529"/>
      <c r="C66" s="757" t="s">
        <v>625</v>
      </c>
      <c r="D66" s="757" t="s">
        <v>626</v>
      </c>
      <c r="E66" s="834">
        <v>0.3</v>
      </c>
      <c r="F66" s="821">
        <v>50</v>
      </c>
    </row>
    <row r="67" spans="1:6" s="817" customFormat="1" ht="36">
      <c r="A67" s="821">
        <v>7</v>
      </c>
      <c r="B67" s="3529"/>
      <c r="C67" s="757" t="s">
        <v>627</v>
      </c>
      <c r="D67" s="757" t="s">
        <v>628</v>
      </c>
      <c r="E67" s="834">
        <v>0.2</v>
      </c>
      <c r="F67" s="821">
        <v>30</v>
      </c>
    </row>
    <row r="68" spans="1:6" s="817" customFormat="1" ht="36">
      <c r="A68" s="821">
        <v>8</v>
      </c>
      <c r="B68" s="3529"/>
      <c r="C68" s="757" t="s">
        <v>629</v>
      </c>
      <c r="D68" s="757" t="s">
        <v>630</v>
      </c>
      <c r="E68" s="834">
        <v>0.2</v>
      </c>
      <c r="F68" s="821">
        <v>30</v>
      </c>
    </row>
    <row r="69" spans="1:6" s="817" customFormat="1" ht="36">
      <c r="A69" s="821">
        <v>9</v>
      </c>
      <c r="B69" s="3529"/>
      <c r="C69" s="757" t="s">
        <v>631</v>
      </c>
      <c r="D69" s="757" t="s">
        <v>632</v>
      </c>
      <c r="E69" s="834">
        <v>0.2</v>
      </c>
      <c r="F69" s="821">
        <v>30</v>
      </c>
    </row>
    <row r="70" spans="1:6" s="817" customFormat="1" ht="48">
      <c r="A70" s="821">
        <v>10</v>
      </c>
      <c r="B70" s="3529"/>
      <c r="C70" s="757" t="s">
        <v>633</v>
      </c>
      <c r="D70" s="757" t="s">
        <v>634</v>
      </c>
      <c r="E70" s="834">
        <v>0.2</v>
      </c>
      <c r="F70" s="821">
        <v>30</v>
      </c>
    </row>
    <row r="71" spans="1:6" s="817" customFormat="1" ht="48">
      <c r="A71" s="821">
        <v>11</v>
      </c>
      <c r="B71" s="3529"/>
      <c r="C71" s="757" t="s">
        <v>635</v>
      </c>
      <c r="D71" s="757" t="s">
        <v>636</v>
      </c>
      <c r="E71" s="834">
        <v>0.2</v>
      </c>
      <c r="F71" s="821">
        <v>30</v>
      </c>
    </row>
    <row r="72" spans="1:6" s="817" customFormat="1" ht="36">
      <c r="A72" s="821">
        <v>12</v>
      </c>
      <c r="B72" s="3529"/>
      <c r="C72" s="757" t="s">
        <v>637</v>
      </c>
      <c r="D72" s="757" t="s">
        <v>638</v>
      </c>
      <c r="E72" s="834">
        <v>0.5</v>
      </c>
      <c r="F72" s="821">
        <v>80</v>
      </c>
    </row>
    <row r="73" spans="1:6" s="817" customFormat="1" ht="24">
      <c r="A73" s="821">
        <v>13</v>
      </c>
      <c r="B73" s="3529"/>
      <c r="C73" s="757" t="s">
        <v>639</v>
      </c>
      <c r="D73" s="757" t="s">
        <v>640</v>
      </c>
      <c r="E73" s="834">
        <v>0.4</v>
      </c>
      <c r="F73" s="821">
        <v>60</v>
      </c>
    </row>
    <row r="74" spans="1:6" s="817" customFormat="1" ht="24">
      <c r="A74" s="821">
        <v>14</v>
      </c>
      <c r="B74" s="3529"/>
      <c r="C74" s="757" t="s">
        <v>641</v>
      </c>
      <c r="D74" s="757" t="s">
        <v>642</v>
      </c>
      <c r="E74" s="834">
        <v>0.2</v>
      </c>
      <c r="F74" s="821">
        <v>30</v>
      </c>
    </row>
    <row r="75" spans="1:6" s="817" customFormat="1" ht="24">
      <c r="A75" s="821">
        <v>15</v>
      </c>
      <c r="B75" s="3529"/>
      <c r="C75" s="757" t="s">
        <v>643</v>
      </c>
      <c r="D75" s="757" t="s">
        <v>644</v>
      </c>
      <c r="E75" s="834">
        <v>0.2</v>
      </c>
      <c r="F75" s="821">
        <v>30</v>
      </c>
    </row>
    <row r="76" spans="1:6" s="817" customFormat="1" ht="24">
      <c r="A76" s="821">
        <v>16</v>
      </c>
      <c r="B76" s="3529" t="s">
        <v>645</v>
      </c>
      <c r="C76" s="757" t="s">
        <v>646</v>
      </c>
      <c r="D76" s="757" t="s">
        <v>647</v>
      </c>
      <c r="E76" s="834">
        <v>0.5</v>
      </c>
      <c r="F76" s="821">
        <v>80</v>
      </c>
    </row>
    <row r="77" spans="1:6" s="817" customFormat="1" ht="24">
      <c r="A77" s="821">
        <v>17</v>
      </c>
      <c r="B77" s="3529"/>
      <c r="C77" s="757" t="s">
        <v>648</v>
      </c>
      <c r="D77" s="757" t="s">
        <v>649</v>
      </c>
      <c r="E77" s="834">
        <v>0.5</v>
      </c>
      <c r="F77" s="821">
        <v>80</v>
      </c>
    </row>
    <row r="78" spans="1:6" s="817" customFormat="1" ht="24">
      <c r="A78" s="821">
        <v>18</v>
      </c>
      <c r="B78" s="3529"/>
      <c r="C78" s="757" t="s">
        <v>650</v>
      </c>
      <c r="D78" s="757" t="s">
        <v>651</v>
      </c>
      <c r="E78" s="834">
        <v>0.2</v>
      </c>
      <c r="F78" s="821">
        <v>30</v>
      </c>
    </row>
    <row r="79" spans="1:6" s="817" customFormat="1" ht="24">
      <c r="A79" s="821">
        <v>19</v>
      </c>
      <c r="B79" s="3529"/>
      <c r="C79" s="757" t="s">
        <v>652</v>
      </c>
      <c r="D79" s="757" t="s">
        <v>653</v>
      </c>
      <c r="E79" s="834">
        <v>0.5</v>
      </c>
      <c r="F79" s="821">
        <v>80</v>
      </c>
    </row>
    <row r="80" spans="1:6" s="817" customFormat="1" ht="36">
      <c r="A80" s="821">
        <v>20</v>
      </c>
      <c r="B80" s="3529"/>
      <c r="C80" s="757" t="s">
        <v>654</v>
      </c>
      <c r="D80" s="757" t="s">
        <v>655</v>
      </c>
      <c r="E80" s="834">
        <v>0.2</v>
      </c>
      <c r="F80" s="821">
        <v>30</v>
      </c>
    </row>
    <row r="81" spans="1:6" s="817" customFormat="1" ht="36">
      <c r="A81" s="821">
        <v>21</v>
      </c>
      <c r="B81" s="3529"/>
      <c r="C81" s="757" t="s">
        <v>656</v>
      </c>
      <c r="D81" s="757" t="s">
        <v>657</v>
      </c>
      <c r="E81" s="834">
        <v>0.2</v>
      </c>
      <c r="F81" s="821">
        <v>30</v>
      </c>
    </row>
    <row r="82" spans="1:6" s="817" customFormat="1" ht="48">
      <c r="A82" s="821">
        <v>22</v>
      </c>
      <c r="B82" s="3529"/>
      <c r="C82" s="757" t="s">
        <v>658</v>
      </c>
      <c r="D82" s="757" t="s">
        <v>659</v>
      </c>
      <c r="E82" s="834">
        <v>0.2</v>
      </c>
      <c r="F82" s="821">
        <v>30</v>
      </c>
    </row>
    <row r="83" spans="1:6" s="817" customFormat="1" ht="48">
      <c r="A83" s="821">
        <v>23</v>
      </c>
      <c r="B83" s="3529"/>
      <c r="C83" s="757" t="s">
        <v>660</v>
      </c>
      <c r="D83" s="757" t="s">
        <v>661</v>
      </c>
      <c r="E83" s="834">
        <v>0.2</v>
      </c>
      <c r="F83" s="821">
        <v>30</v>
      </c>
    </row>
    <row r="84" spans="1:6" s="817" customFormat="1" ht="36">
      <c r="A84" s="821">
        <v>24</v>
      </c>
      <c r="B84" s="3529"/>
      <c r="C84" s="757" t="s">
        <v>662</v>
      </c>
      <c r="D84" s="757" t="s">
        <v>663</v>
      </c>
      <c r="E84" s="834">
        <v>0.2</v>
      </c>
      <c r="F84" s="821">
        <v>30</v>
      </c>
    </row>
    <row r="85" spans="1:6" s="817" customFormat="1" ht="36">
      <c r="A85" s="821">
        <v>25</v>
      </c>
      <c r="B85" s="3529"/>
      <c r="C85" s="757" t="s">
        <v>664</v>
      </c>
      <c r="D85" s="757" t="s">
        <v>665</v>
      </c>
      <c r="E85" s="834">
        <v>0.5</v>
      </c>
      <c r="F85" s="821">
        <v>80</v>
      </c>
    </row>
    <row r="86" spans="1:6" s="817" customFormat="1" ht="36">
      <c r="A86" s="821">
        <v>26</v>
      </c>
      <c r="B86" s="3529"/>
      <c r="C86" s="757" t="s">
        <v>666</v>
      </c>
      <c r="D86" s="757" t="s">
        <v>667</v>
      </c>
      <c r="E86" s="834">
        <v>0.2</v>
      </c>
      <c r="F86" s="821">
        <v>30</v>
      </c>
    </row>
    <row r="87" spans="1:6" s="817" customFormat="1" ht="36">
      <c r="A87" s="821">
        <v>27</v>
      </c>
      <c r="B87" s="3529"/>
      <c r="C87" s="757" t="s">
        <v>668</v>
      </c>
      <c r="D87" s="757" t="s">
        <v>669</v>
      </c>
      <c r="E87" s="834">
        <v>0.2</v>
      </c>
      <c r="F87" s="821">
        <v>30</v>
      </c>
    </row>
    <row r="88" spans="1:6" s="817" customFormat="1" ht="36">
      <c r="A88" s="821">
        <v>28</v>
      </c>
      <c r="B88" s="3529"/>
      <c r="C88" s="757" t="s">
        <v>670</v>
      </c>
      <c r="D88" s="757" t="s">
        <v>671</v>
      </c>
      <c r="E88" s="834">
        <v>0.2</v>
      </c>
      <c r="F88" s="821">
        <v>30</v>
      </c>
    </row>
    <row r="89" spans="1:6" s="817" customFormat="1" ht="24">
      <c r="A89" s="821">
        <v>29</v>
      </c>
      <c r="B89" s="3529"/>
      <c r="C89" s="757" t="s">
        <v>672</v>
      </c>
      <c r="D89" s="757" t="s">
        <v>673</v>
      </c>
      <c r="E89" s="834">
        <v>0.2</v>
      </c>
      <c r="F89" s="821">
        <v>30</v>
      </c>
    </row>
    <row r="90" spans="1:6" s="817" customFormat="1" ht="24">
      <c r="A90" s="821">
        <v>30</v>
      </c>
      <c r="B90" s="3529"/>
      <c r="C90" s="757" t="s">
        <v>674</v>
      </c>
      <c r="D90" s="757" t="s">
        <v>675</v>
      </c>
      <c r="E90" s="834">
        <v>0.2</v>
      </c>
      <c r="F90" s="821">
        <v>30</v>
      </c>
    </row>
    <row r="91" spans="1:6" s="817" customFormat="1" ht="36">
      <c r="A91" s="821">
        <v>31</v>
      </c>
      <c r="B91" s="3529"/>
      <c r="C91" s="757" t="s">
        <v>676</v>
      </c>
      <c r="D91" s="757" t="s">
        <v>677</v>
      </c>
      <c r="E91" s="834">
        <v>0.2</v>
      </c>
      <c r="F91" s="821">
        <v>30</v>
      </c>
    </row>
    <row r="92" spans="1:6" s="817" customFormat="1" ht="24">
      <c r="A92" s="821">
        <v>32</v>
      </c>
      <c r="B92" s="3529" t="s">
        <v>678</v>
      </c>
      <c r="C92" s="821" t="s">
        <v>679</v>
      </c>
      <c r="D92" s="757" t="s">
        <v>680</v>
      </c>
      <c r="E92" s="834">
        <v>0.2</v>
      </c>
      <c r="F92" s="821">
        <v>30</v>
      </c>
    </row>
    <row r="93" spans="1:6" s="817" customFormat="1" ht="36">
      <c r="A93" s="821">
        <v>33</v>
      </c>
      <c r="B93" s="3529"/>
      <c r="C93" s="821" t="s">
        <v>681</v>
      </c>
      <c r="D93" s="757" t="s">
        <v>682</v>
      </c>
      <c r="E93" s="834">
        <v>0.2</v>
      </c>
      <c r="F93" s="821">
        <v>30</v>
      </c>
    </row>
    <row r="94" spans="1:6" s="817" customFormat="1" ht="48">
      <c r="A94" s="821">
        <v>34</v>
      </c>
      <c r="B94" s="3529"/>
      <c r="C94" s="821" t="s">
        <v>683</v>
      </c>
      <c r="D94" s="757" t="s">
        <v>684</v>
      </c>
      <c r="E94" s="834">
        <v>0.2</v>
      </c>
      <c r="F94" s="821">
        <v>30</v>
      </c>
    </row>
    <row r="95" spans="1:6" s="817" customFormat="1" ht="36">
      <c r="A95" s="821">
        <v>35</v>
      </c>
      <c r="B95" s="3529"/>
      <c r="C95" s="821" t="s">
        <v>685</v>
      </c>
      <c r="D95" s="757" t="s">
        <v>686</v>
      </c>
      <c r="E95" s="834">
        <v>0.2</v>
      </c>
      <c r="F95" s="821">
        <v>30</v>
      </c>
    </row>
    <row r="96" spans="1:6" s="817" customFormat="1" ht="48">
      <c r="A96" s="821">
        <v>36</v>
      </c>
      <c r="B96" s="3529"/>
      <c r="C96" s="757" t="s">
        <v>687</v>
      </c>
      <c r="D96" s="757" t="s">
        <v>688</v>
      </c>
      <c r="E96" s="834">
        <v>0.2</v>
      </c>
      <c r="F96" s="821">
        <v>30</v>
      </c>
    </row>
    <row r="97" spans="1:6" s="817" customFormat="1" ht="36">
      <c r="A97" s="821">
        <v>37</v>
      </c>
      <c r="B97" s="3529"/>
      <c r="C97" s="821" t="s">
        <v>689</v>
      </c>
      <c r="D97" s="757" t="s">
        <v>690</v>
      </c>
      <c r="E97" s="834">
        <v>0.2</v>
      </c>
      <c r="F97" s="821">
        <v>30</v>
      </c>
    </row>
    <row r="98" spans="1:6" s="817" customFormat="1" ht="36">
      <c r="A98" s="821">
        <v>38</v>
      </c>
      <c r="B98" s="3529"/>
      <c r="C98" s="821" t="s">
        <v>691</v>
      </c>
      <c r="D98" s="757" t="s">
        <v>692</v>
      </c>
      <c r="E98" s="834">
        <v>0.2</v>
      </c>
      <c r="F98" s="821">
        <v>30</v>
      </c>
    </row>
    <row r="99" spans="1:6" s="817" customFormat="1" ht="36">
      <c r="A99" s="821">
        <v>39</v>
      </c>
      <c r="B99" s="3529" t="s">
        <v>693</v>
      </c>
      <c r="C99" s="821" t="s">
        <v>694</v>
      </c>
      <c r="D99" s="757" t="s">
        <v>695</v>
      </c>
      <c r="E99" s="834">
        <v>0.3</v>
      </c>
      <c r="F99" s="821">
        <v>50</v>
      </c>
    </row>
    <row r="100" spans="1:6" s="817" customFormat="1" ht="24">
      <c r="A100" s="821">
        <v>40</v>
      </c>
      <c r="B100" s="3529"/>
      <c r="C100" s="821" t="s">
        <v>696</v>
      </c>
      <c r="D100" s="757" t="s">
        <v>697</v>
      </c>
      <c r="E100" s="834">
        <v>0.2</v>
      </c>
      <c r="F100" s="821">
        <v>30</v>
      </c>
    </row>
    <row r="101" spans="1:6" s="817" customFormat="1" ht="36">
      <c r="A101" s="821">
        <v>41</v>
      </c>
      <c r="B101" s="352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9" t="s">
        <v>708</v>
      </c>
      <c r="C105" s="821" t="s">
        <v>709</v>
      </c>
      <c r="D105" s="757" t="s">
        <v>710</v>
      </c>
      <c r="E105" s="834">
        <v>0.2</v>
      </c>
      <c r="F105" s="821">
        <v>30</v>
      </c>
    </row>
    <row r="106" spans="1:6" s="817" customFormat="1" ht="36">
      <c r="A106" s="821">
        <v>46</v>
      </c>
      <c r="B106" s="3529"/>
      <c r="C106" s="821" t="s">
        <v>711</v>
      </c>
      <c r="D106" s="757" t="s">
        <v>712</v>
      </c>
      <c r="E106" s="834">
        <v>0.2</v>
      </c>
      <c r="F106" s="821">
        <v>30</v>
      </c>
    </row>
    <row r="107" spans="1:6" s="817" customFormat="1" ht="36">
      <c r="A107" s="821">
        <v>47</v>
      </c>
      <c r="B107" s="3529" t="s">
        <v>713</v>
      </c>
      <c r="C107" s="821" t="s">
        <v>714</v>
      </c>
      <c r="D107" s="757" t="s">
        <v>715</v>
      </c>
      <c r="E107" s="834">
        <v>0.3</v>
      </c>
      <c r="F107" s="821">
        <v>50</v>
      </c>
    </row>
    <row r="108" spans="1:6" s="817" customFormat="1" ht="36">
      <c r="A108" s="821">
        <v>48</v>
      </c>
      <c r="B108" s="352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9" t="s">
        <v>724</v>
      </c>
      <c r="C111" s="821" t="s">
        <v>725</v>
      </c>
      <c r="D111" s="757" t="s">
        <v>726</v>
      </c>
      <c r="E111" s="834">
        <v>0.2</v>
      </c>
      <c r="F111" s="821">
        <v>30</v>
      </c>
    </row>
    <row r="112" spans="1:6" s="817" customFormat="1" ht="24">
      <c r="A112" s="821">
        <v>52</v>
      </c>
      <c r="B112" s="3529"/>
      <c r="C112" s="821" t="s">
        <v>727</v>
      </c>
      <c r="D112" s="757" t="s">
        <v>728</v>
      </c>
      <c r="E112" s="834">
        <v>0.2</v>
      </c>
      <c r="F112" s="821">
        <v>30</v>
      </c>
    </row>
    <row r="113" spans="1:6" s="817" customFormat="1" ht="24">
      <c r="A113" s="821">
        <v>53</v>
      </c>
      <c r="B113" s="352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9" t="s">
        <v>737</v>
      </c>
      <c r="C116" s="821" t="s">
        <v>738</v>
      </c>
      <c r="D116" s="757" t="s">
        <v>739</v>
      </c>
      <c r="E116" s="834">
        <v>0.2</v>
      </c>
      <c r="F116" s="821">
        <v>30</v>
      </c>
    </row>
    <row r="117" spans="1:6" ht="36">
      <c r="A117" s="821">
        <v>57</v>
      </c>
      <c r="B117" s="352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1.0732999999999999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67402</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13181</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67402</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25" sqref="I2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5" t="s">
        <v>1058</v>
      </c>
      <c r="C1" s="3535"/>
      <c r="D1" s="3535"/>
      <c r="E1" s="3535"/>
      <c r="F1" s="3535"/>
      <c r="G1" s="3531" t="s">
        <v>1059</v>
      </c>
      <c r="H1" s="3531"/>
      <c r="I1" s="3531"/>
      <c r="J1" s="3531"/>
      <c r="K1" s="3531"/>
      <c r="L1" s="3531"/>
      <c r="N1" s="3531" t="s">
        <v>1060</v>
      </c>
      <c r="O1" s="3531"/>
      <c r="P1" s="3531"/>
      <c r="Q1" s="3531"/>
      <c r="S1" s="3531" t="s">
        <v>1061</v>
      </c>
      <c r="T1" s="3531"/>
      <c r="U1" s="3531"/>
      <c r="V1" s="3531"/>
      <c r="X1" s="3530" t="s">
        <v>1062</v>
      </c>
      <c r="Y1" s="3531"/>
      <c r="Z1" s="3531"/>
      <c r="AA1" s="3531"/>
      <c r="AB1" s="3531"/>
      <c r="AD1" s="3530" t="s">
        <v>1063</v>
      </c>
      <c r="AE1" s="3531"/>
      <c r="AF1" s="3531"/>
      <c r="AG1" s="3531"/>
      <c r="AH1" s="353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4" t="s">
        <v>2763</v>
      </c>
      <c r="D1" s="3545"/>
      <c r="E1" s="3545"/>
      <c r="F1" s="3545"/>
      <c r="G1" s="3545"/>
      <c r="H1" s="3545"/>
      <c r="I1" s="3545"/>
      <c r="J1" s="3545"/>
      <c r="K1" s="3545"/>
      <c r="L1" s="3545"/>
      <c r="M1" s="3545"/>
      <c r="N1" s="3545"/>
      <c r="O1" s="3545"/>
      <c r="P1" s="3545"/>
      <c r="Q1" s="3545"/>
      <c r="R1" s="3545"/>
      <c r="S1" s="3546"/>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1" t="s">
        <v>33</v>
      </c>
      <c r="D22" s="3542"/>
      <c r="E22" s="3542"/>
      <c r="F22" s="3542"/>
      <c r="G22" s="3542"/>
      <c r="H22" s="3542"/>
      <c r="I22" s="3542"/>
      <c r="J22" s="3542"/>
      <c r="K22" s="3542"/>
      <c r="L22" s="3542"/>
      <c r="M22" s="3542"/>
      <c r="N22" s="3542"/>
      <c r="O22" s="3542"/>
      <c r="P22" s="3542"/>
      <c r="Q22" s="3543"/>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1534</v>
      </c>
      <c r="C4" s="3218"/>
      <c r="D4" s="3218"/>
      <c r="E4" s="1648"/>
    </row>
    <row r="5" spans="1:5" ht="16.5" thickTop="1">
      <c r="A5" s="1646"/>
      <c r="B5" s="3216" t="s">
        <v>1526</v>
      </c>
      <c r="C5" s="1649" t="s">
        <v>1527</v>
      </c>
      <c r="D5" s="959">
        <f ca="1">结果表!H101</f>
        <v>65651</v>
      </c>
      <c r="E5" s="1646"/>
    </row>
    <row r="6" spans="1:5" ht="15.75">
      <c r="A6" s="1646"/>
      <c r="B6" s="3216"/>
      <c r="C6" s="1649" t="s">
        <v>1528</v>
      </c>
      <c r="D6" s="959" t="str">
        <f ca="1">NUMBERSTRING(INT(D5*10000),2)&amp;"元整"</f>
        <v>陆亿伍仟陆佰伍拾壹万元整</v>
      </c>
      <c r="E6" s="1646"/>
    </row>
    <row r="7" spans="1:5" ht="15.75">
      <c r="A7" s="1646"/>
      <c r="B7" s="3221"/>
      <c r="C7" s="1650" t="s">
        <v>1529</v>
      </c>
      <c r="D7" s="960">
        <f ca="1">结果表!H102</f>
        <v>12839</v>
      </c>
      <c r="E7" s="1646"/>
    </row>
    <row r="8" spans="1:5" ht="15.75">
      <c r="A8" s="1646"/>
      <c r="B8" s="3222" t="str">
        <f>结果表!E103</f>
        <v>2.估价师知悉的法定优先受偿款</v>
      </c>
      <c r="C8" s="1651" t="s">
        <v>1530</v>
      </c>
      <c r="D8" s="960">
        <f>结果表!H103</f>
        <v>0</v>
      </c>
      <c r="E8" s="1646"/>
    </row>
    <row r="9" spans="1:5" ht="15.75">
      <c r="A9" s="1646"/>
      <c r="B9" s="3224"/>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5" t="str">
        <f>结果表!E107</f>
        <v>3.房地产抵押价值</v>
      </c>
      <c r="C13" s="1654" t="s">
        <v>1527</v>
      </c>
      <c r="D13" s="962">
        <f ca="1">结果表!H107</f>
        <v>65651</v>
      </c>
      <c r="E13" s="1646"/>
    </row>
    <row r="14" spans="1:5" ht="15.75">
      <c r="A14" s="1646"/>
      <c r="B14" s="3216"/>
      <c r="C14" s="1649" t="s">
        <v>1528</v>
      </c>
      <c r="D14" s="959" t="str">
        <f ca="1">NUMBERSTRING(INT(D13*10000),2)&amp;"元整"</f>
        <v>陆亿伍仟陆佰伍拾壹万元整</v>
      </c>
      <c r="E14" s="1646"/>
    </row>
    <row r="15" spans="1:5" ht="15">
      <c r="A15" s="1646"/>
      <c r="B15" s="3221"/>
      <c r="C15" s="1650" t="s">
        <v>1538</v>
      </c>
      <c r="D15" s="968">
        <f ca="1">结果表!H108</f>
        <v>12839</v>
      </c>
      <c r="E15" s="1646"/>
    </row>
    <row r="16" spans="1:5" ht="15">
      <c r="A16" s="1646"/>
      <c r="B16" s="3222" t="str">
        <f>结果表!E109</f>
        <v>——</v>
      </c>
      <c r="C16" s="1654" t="s">
        <v>1539</v>
      </c>
      <c r="D16" s="1655" t="str">
        <f>结果表!H109</f>
        <v>——</v>
      </c>
      <c r="E16" s="1646"/>
    </row>
    <row r="17" spans="1:5" ht="15.75">
      <c r="A17" s="1646"/>
      <c r="B17" s="3223"/>
      <c r="C17" s="1649" t="s">
        <v>1540</v>
      </c>
      <c r="D17" s="959" t="e">
        <f>NUMBERSTRING(INT(D16*10000),2)&amp;"元整"</f>
        <v>#VALUE!</v>
      </c>
      <c r="E17" s="1646"/>
    </row>
    <row r="18" spans="1:5" ht="15">
      <c r="A18" s="1646"/>
      <c r="B18" s="3224"/>
      <c r="C18" s="1650" t="s">
        <v>1529</v>
      </c>
      <c r="D18" s="968" t="str">
        <f>结果表!H110</f>
        <v>——</v>
      </c>
      <c r="E18" s="1646"/>
    </row>
    <row r="19" spans="1:5" ht="15.75">
      <c r="A19" s="1646"/>
      <c r="B19" s="3215" t="str">
        <f>结果表!E111</f>
        <v>——</v>
      </c>
      <c r="C19" s="1654" t="s">
        <v>1527</v>
      </c>
      <c r="D19" s="960" t="str">
        <f>结果表!H111</f>
        <v>——</v>
      </c>
      <c r="E19" s="1646"/>
    </row>
    <row r="20" spans="1:5" ht="15.75">
      <c r="A20" s="1646"/>
      <c r="B20" s="3216"/>
      <c r="C20" s="1649" t="s">
        <v>1540</v>
      </c>
      <c r="D20" s="959" t="e">
        <f>NUMBERSTRING(INT(D19*10000),2)&amp;"元整"</f>
        <v>#VALUE!</v>
      </c>
      <c r="E20" s="1646"/>
    </row>
    <row r="21" spans="1:5" ht="15.75" thickBot="1">
      <c r="A21" s="1646"/>
      <c r="B21" s="3217"/>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50929</v>
      </c>
      <c r="C2" s="2" t="s">
        <v>133</v>
      </c>
      <c r="D2" s="205"/>
      <c r="E2" s="205"/>
      <c r="F2" s="205"/>
      <c r="G2" s="205"/>
    </row>
    <row r="3" spans="1:7" s="206" customFormat="1" ht="18" customHeight="1" thickBot="1">
      <c r="A3" s="209" t="s">
        <v>85</v>
      </c>
      <c r="B3" s="210">
        <f ca="1">ROUND(B2*10000/'数据-汇总表'!E3,0)</f>
        <v>9960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17310</v>
      </c>
      <c r="D34" s="223"/>
      <c r="E34" s="226"/>
      <c r="F34" s="263">
        <f>IF('数据-取费表'!B24=0,1,'数据-取费表'!N16)</f>
        <v>1</v>
      </c>
      <c r="G34" s="225" t="s">
        <v>116</v>
      </c>
    </row>
    <row r="35" spans="1:7" ht="13.5" customHeight="1">
      <c r="A35" s="888" t="s">
        <v>796</v>
      </c>
      <c r="B35" s="221" t="s">
        <v>60</v>
      </c>
      <c r="C35" s="226">
        <f>ROUND(C34*F35,0)</f>
        <v>519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599</v>
      </c>
      <c r="D42" s="244"/>
      <c r="E42" s="244"/>
      <c r="F42" s="245"/>
      <c r="G42" s="3403" t="s">
        <v>121</v>
      </c>
    </row>
    <row r="43" spans="1:7" ht="13.5" customHeight="1">
      <c r="A43" s="888" t="s">
        <v>792</v>
      </c>
      <c r="B43" s="221" t="s">
        <v>1032</v>
      </c>
      <c r="C43" s="244">
        <f ca="1">ROUND(IF('数据-取费表'!B22&lt;=1,C39*F22*'数据-取费表'!B21/2,C39*(POWER((1+F22),'数据-取费表'!B21/2)-1)),0)</f>
        <v>12</v>
      </c>
      <c r="D43" s="244"/>
      <c r="E43" s="244"/>
      <c r="F43" s="245"/>
      <c r="G43" s="3404"/>
    </row>
    <row r="44" spans="1:7" ht="13.5" customHeight="1">
      <c r="A44" s="888" t="s">
        <v>793</v>
      </c>
      <c r="B44" s="221" t="s">
        <v>1034</v>
      </c>
      <c r="C44" s="244">
        <f ca="1">ROUND(IF('数据-取费表'!B22&lt;=1,C40*F22*'数据-取费表'!B21/2,C40*(POWER((1+F22),'数据-取费表'!B21/2)-1)),4)</f>
        <v>5.9999999999999995E-4</v>
      </c>
      <c r="D44" s="244"/>
      <c r="E44" s="244"/>
      <c r="F44" s="245"/>
      <c r="G44" s="3405"/>
    </row>
    <row r="45" spans="1:7" s="220" customFormat="1" ht="13.5" customHeight="1">
      <c r="A45" s="885" t="s">
        <v>786</v>
      </c>
      <c r="B45" s="250" t="s">
        <v>112</v>
      </c>
      <c r="C45" s="251">
        <f>C46</f>
        <v>3509</v>
      </c>
      <c r="D45" s="241">
        <f>C47</f>
        <v>3.5999999999999999E-3</v>
      </c>
      <c r="E45" s="242" t="s">
        <v>129</v>
      </c>
      <c r="F45" s="252"/>
      <c r="G45" s="253" t="s">
        <v>1040</v>
      </c>
    </row>
    <row r="46" spans="1:7" s="220" customFormat="1" ht="13.5" customHeight="1">
      <c r="A46" s="888" t="s">
        <v>794</v>
      </c>
      <c r="B46" s="254" t="s">
        <v>1033</v>
      </c>
      <c r="C46" s="255">
        <f>ROUND((C33+C39)*F27,0)</f>
        <v>3509</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25572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21225</v>
      </c>
      <c r="D51" s="238"/>
      <c r="E51" s="238"/>
      <c r="F51" s="270"/>
      <c r="G51" s="240" t="s">
        <v>64</v>
      </c>
    </row>
    <row r="52" spans="1:7" s="214" customFormat="1" ht="16.5" thickBot="1">
      <c r="A52" s="271" t="s">
        <v>65</v>
      </c>
      <c r="B52" s="272"/>
      <c r="C52" s="273">
        <f ca="1">C31+C51</f>
        <v>50929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workbookViewId="0">
      <selection activeCell="K22" sqref="K22"/>
    </sheetView>
  </sheetViews>
  <sheetFormatPr defaultRowHeight="13.5"/>
  <cols>
    <col min="4" max="4" width="14.875" customWidth="1"/>
    <col min="5" max="5" width="13.75" customWidth="1"/>
    <col min="6" max="6" width="10.5" bestFit="1" customWidth="1"/>
    <col min="8" max="8"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'数据-基础表'!I13+'数据-基础表'!M13</f>
        <v>45260.62</v>
      </c>
      <c r="L3">
        <f>ROUND(K3/(K3+K4),2)</f>
        <v>0.89</v>
      </c>
      <c r="M3">
        <f>L12</f>
        <v>2.5</v>
      </c>
      <c r="N3">
        <f>ROUND(M3*L3+M4*L4,2)</f>
        <v>2.2999999999999998</v>
      </c>
      <c r="O3">
        <v>0.2</v>
      </c>
      <c r="P3">
        <v>3500</v>
      </c>
    </row>
    <row r="4" spans="3:16">
      <c r="C4">
        <v>2018</v>
      </c>
      <c r="D4">
        <v>35852854</v>
      </c>
      <c r="E4">
        <v>1000000</v>
      </c>
      <c r="J4" s="3209" t="s">
        <v>3144</v>
      </c>
      <c r="K4">
        <f>'数据-基础表'!K13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ROUND('数据-基础表'!I13/5,2)</f>
        <v>8793.09</v>
      </c>
      <c r="N7">
        <f>ROUND(M7/$M$14,2)</f>
        <v>0.17</v>
      </c>
    </row>
    <row r="8" spans="3:16">
      <c r="C8">
        <v>2022</v>
      </c>
      <c r="D8">
        <v>28631480</v>
      </c>
      <c r="E8">
        <v>1000000</v>
      </c>
      <c r="G8">
        <v>0.8</v>
      </c>
      <c r="H8">
        <f>(E8+D8)*G8+F25-D8-E8</f>
        <v>469444681</v>
      </c>
      <c r="J8">
        <v>2</v>
      </c>
      <c r="K8">
        <v>0.7</v>
      </c>
      <c r="L8">
        <f>$L$7*K8</f>
        <v>3.5</v>
      </c>
      <c r="M8">
        <f>M7</f>
        <v>8793.09</v>
      </c>
      <c r="N8">
        <f t="shared" ref="N8:N13" si="0">ROUND(M8/$M$14,2)</f>
        <v>0.17</v>
      </c>
    </row>
    <row r="9" spans="3:16">
      <c r="C9">
        <v>2023</v>
      </c>
      <c r="D9">
        <v>28631480</v>
      </c>
      <c r="E9">
        <v>1000000</v>
      </c>
      <c r="J9">
        <v>3</v>
      </c>
      <c r="K9">
        <v>0.6</v>
      </c>
      <c r="L9">
        <f t="shared" ref="L9:L12" si="1">$L$7*K9</f>
        <v>3</v>
      </c>
      <c r="M9">
        <f>M7</f>
        <v>8793.09</v>
      </c>
      <c r="N9">
        <f t="shared" si="0"/>
        <v>0.17</v>
      </c>
    </row>
    <row r="10" spans="3:16">
      <c r="C10">
        <v>2024</v>
      </c>
      <c r="D10">
        <v>28631480</v>
      </c>
      <c r="E10">
        <v>1000000</v>
      </c>
      <c r="H10" s="3213">
        <f ca="1">H8/365/14.8/收益法!F7</f>
        <v>1.6994282554586271</v>
      </c>
      <c r="J10">
        <v>4</v>
      </c>
      <c r="K10">
        <v>0.55000000000000004</v>
      </c>
      <c r="L10">
        <f t="shared" si="1"/>
        <v>2.75</v>
      </c>
      <c r="M10">
        <f>M7</f>
        <v>8793.09</v>
      </c>
      <c r="N10">
        <f t="shared" si="0"/>
        <v>0.17</v>
      </c>
    </row>
    <row r="11" spans="3:16">
      <c r="C11">
        <v>2025</v>
      </c>
      <c r="D11">
        <v>28631480</v>
      </c>
      <c r="E11">
        <v>1000000</v>
      </c>
      <c r="H11" s="3209">
        <f>2613*14.8</f>
        <v>38672.400000000001</v>
      </c>
      <c r="J11">
        <v>5</v>
      </c>
      <c r="K11">
        <v>0.5</v>
      </c>
      <c r="L11">
        <f t="shared" si="1"/>
        <v>2.5</v>
      </c>
      <c r="M11">
        <f>'数据-基础表'!I13-M7-M8-M9-M10</f>
        <v>8793.0699999999961</v>
      </c>
      <c r="N11">
        <f t="shared" si="0"/>
        <v>0.17</v>
      </c>
    </row>
    <row r="12" spans="3:16">
      <c r="C12">
        <v>2026</v>
      </c>
      <c r="D12">
        <v>28631480</v>
      </c>
      <c r="E12">
        <v>1000000</v>
      </c>
      <c r="J12">
        <v>-1</v>
      </c>
      <c r="K12">
        <v>0.5</v>
      </c>
      <c r="L12">
        <f t="shared" si="1"/>
        <v>2.5</v>
      </c>
      <c r="M12">
        <f>'数据-基础表'!M13</f>
        <v>1295.19</v>
      </c>
      <c r="N12">
        <f t="shared" si="0"/>
        <v>0.03</v>
      </c>
    </row>
    <row r="13" spans="3:16">
      <c r="C13">
        <v>2027</v>
      </c>
      <c r="D13">
        <v>30635683</v>
      </c>
      <c r="E13">
        <v>1000000</v>
      </c>
      <c r="J13" s="3209" t="s">
        <v>3150</v>
      </c>
      <c r="L13">
        <v>0.7</v>
      </c>
      <c r="M13">
        <f>'数据-基础表'!K13</f>
        <v>5875.41</v>
      </c>
      <c r="N13">
        <f t="shared" si="0"/>
        <v>0.11</v>
      </c>
    </row>
    <row r="14" spans="3:16">
      <c r="C14">
        <v>2028</v>
      </c>
      <c r="D14">
        <v>30635683</v>
      </c>
      <c r="E14">
        <v>1000000</v>
      </c>
      <c r="L14">
        <f>ROUND(L7*N7+L8*N8+L9*N9+L10*N10+L11*N11+L12*N12+L13*N13,0)</f>
        <v>3</v>
      </c>
      <c r="M14">
        <f>SUM(M7:M13)</f>
        <v>51136.03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ROUND(F25/F1/14.86/365,2)</f>
        <v>1.7</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1545</v>
      </c>
      <c r="B2" s="3226" t="s">
        <v>1546</v>
      </c>
      <c r="C2" s="3226" t="s">
        <v>1547</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7"/>
      <c r="B3" s="3227"/>
      <c r="C3" s="3227"/>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53834</v>
      </c>
      <c r="E4" s="963">
        <f ca="1">结果表!E118</f>
        <v>10528</v>
      </c>
      <c r="F4" s="963">
        <f ca="1">结果表!F118</f>
        <v>11817</v>
      </c>
      <c r="G4" s="963">
        <f ca="1">结果表!G118</f>
        <v>2311</v>
      </c>
      <c r="H4" s="963">
        <f ca="1">结果表!H118</f>
        <v>65651</v>
      </c>
      <c r="I4" s="963">
        <f ca="1">结果表!I118</f>
        <v>12839</v>
      </c>
    </row>
    <row r="5" spans="1:9" ht="30" customHeight="1">
      <c r="A5" s="3227" t="s">
        <v>1544</v>
      </c>
      <c r="B5" s="3227"/>
      <c r="C5" s="3227"/>
      <c r="D5" s="3228" t="str">
        <f ca="1">结果表!D119</f>
        <v>伍亿叁仟捌佰叁拾肆万元整</v>
      </c>
      <c r="E5" s="3228"/>
      <c r="F5" s="3228" t="str">
        <f ca="1">结果表!F119</f>
        <v>壹亿壹仟捌佰壹拾柒万元整</v>
      </c>
      <c r="G5" s="3228"/>
      <c r="H5" s="3228" t="str">
        <f ca="1">结果表!H119</f>
        <v>陆亿伍仟陆佰伍拾壹万元整</v>
      </c>
      <c r="I5" s="3228"/>
    </row>
    <row r="6" spans="1:9" ht="15.75">
      <c r="A6" s="3229" t="str">
        <f>结果表!A120</f>
        <v>估价师知悉的法定优先受偿款</v>
      </c>
      <c r="B6" s="3229"/>
      <c r="C6" s="3229"/>
      <c r="D6" s="3229">
        <f>结果表!D120</f>
        <v>0</v>
      </c>
      <c r="E6" s="3229"/>
      <c r="F6" s="3229"/>
      <c r="G6" s="3229"/>
      <c r="H6" s="3229"/>
      <c r="I6" s="3229"/>
    </row>
    <row r="7" spans="1:9" ht="15">
      <c r="A7" s="3227" t="s">
        <v>1544</v>
      </c>
      <c r="B7" s="3227"/>
      <c r="C7" s="3227"/>
      <c r="D7" s="3230" t="str">
        <f>结果表!D121</f>
        <v>零元整</v>
      </c>
      <c r="E7" s="3231"/>
      <c r="F7" s="3231"/>
      <c r="G7" s="3231"/>
      <c r="H7" s="3231"/>
      <c r="I7" s="3232"/>
    </row>
    <row r="8" spans="1:9" ht="15.75">
      <c r="A8" s="3229" t="str">
        <f>结果表!A122</f>
        <v>房地产抵押价值</v>
      </c>
      <c r="B8" s="3229"/>
      <c r="C8" s="3229"/>
      <c r="D8" s="3229">
        <f ca="1">结果表!D122</f>
        <v>65651</v>
      </c>
      <c r="E8" s="3229"/>
      <c r="F8" s="3229"/>
      <c r="G8" s="3229"/>
      <c r="H8" s="3229"/>
      <c r="I8" s="3229"/>
    </row>
    <row r="9" spans="1:9" ht="15">
      <c r="A9" s="3227" t="s">
        <v>1544</v>
      </c>
      <c r="B9" s="3227"/>
      <c r="C9" s="3227"/>
      <c r="D9" s="3228" t="str">
        <f ca="1">结果表!D123</f>
        <v>陆亿伍仟陆佰伍拾壹万元整</v>
      </c>
      <c r="E9" s="3228"/>
      <c r="F9" s="3228"/>
      <c r="G9" s="3228"/>
      <c r="H9" s="3228"/>
      <c r="I9" s="3228"/>
    </row>
    <row r="10" spans="1:9" ht="15.75">
      <c r="A10" s="3229" t="str">
        <f>结果表!A124</f>
        <v/>
      </c>
      <c r="B10" s="3229"/>
      <c r="C10" s="3229"/>
      <c r="D10" s="3229" t="str">
        <f>结果表!D124</f>
        <v>——</v>
      </c>
      <c r="E10" s="3229"/>
      <c r="F10" s="3229"/>
      <c r="G10" s="3229"/>
      <c r="H10" s="3229"/>
      <c r="I10" s="3229"/>
    </row>
    <row r="11" spans="1:9" ht="15">
      <c r="A11" s="3227" t="s">
        <v>1544</v>
      </c>
      <c r="B11" s="3227"/>
      <c r="C11" s="3227"/>
      <c r="D11" s="3228" t="e">
        <f>结果表!D125</f>
        <v>#VALUE!</v>
      </c>
      <c r="E11" s="3228"/>
      <c r="F11" s="3228"/>
      <c r="G11" s="3228"/>
      <c r="H11" s="3228"/>
      <c r="I11" s="3228"/>
    </row>
    <row r="12" spans="1:9" ht="15.75">
      <c r="A12" s="3229" t="str">
        <f>结果表!A126</f>
        <v/>
      </c>
      <c r="B12" s="3229"/>
      <c r="C12" s="3229"/>
      <c r="D12" s="3229" t="str">
        <f>结果表!D126</f>
        <v>——</v>
      </c>
      <c r="E12" s="3229"/>
      <c r="F12" s="3229"/>
      <c r="G12" s="3229"/>
      <c r="H12" s="3229"/>
      <c r="I12" s="3229"/>
    </row>
    <row r="13" spans="1:9" ht="15.75" thickBot="1">
      <c r="A13" s="3233" t="s">
        <v>1544</v>
      </c>
      <c r="B13" s="3233"/>
      <c r="C13" s="3233"/>
      <c r="D13" s="3234" t="e">
        <f>结果表!D127</f>
        <v>#VALUE!</v>
      </c>
      <c r="E13" s="3234"/>
      <c r="F13" s="3234"/>
      <c r="G13" s="3234"/>
      <c r="H13" s="3234"/>
      <c r="I13" s="3234"/>
    </row>
    <row r="14" spans="1:9" ht="15" thickTop="1">
      <c r="A14" s="3235" t="s">
        <v>1549</v>
      </c>
      <c r="B14" s="3235"/>
      <c r="C14" s="3235"/>
      <c r="D14" s="3235"/>
      <c r="E14" s="3235"/>
      <c r="F14" s="3235"/>
      <c r="G14" s="3235"/>
      <c r="H14" s="3235"/>
      <c r="I14" s="3235"/>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1566</v>
      </c>
      <c r="B1" s="3236"/>
      <c r="C1" s="3236"/>
      <c r="D1" s="3236"/>
    </row>
    <row r="2" spans="1:4" ht="18">
      <c r="A2" s="3237" t="s">
        <v>1550</v>
      </c>
      <c r="B2" s="3237"/>
      <c r="C2" s="3237"/>
      <c r="D2" s="3237"/>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37" t="s">
        <v>1556</v>
      </c>
      <c r="B6" s="3237"/>
      <c r="C6" s="3237"/>
      <c r="D6" s="3237"/>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8" t="s">
        <v>1559</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1560</v>
      </c>
      <c r="B16" s="3242"/>
      <c r="C16" s="3242"/>
      <c r="D16" s="3242"/>
    </row>
    <row r="17" spans="1:4" ht="144" customHeight="1">
      <c r="A17" s="3242" t="s">
        <v>1561</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1562</v>
      </c>
      <c r="B22" s="3244"/>
      <c r="C22" s="3244"/>
      <c r="D22" s="3244"/>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0" t="s">
        <v>1573</v>
      </c>
      <c r="B15" s="3245" t="s">
        <v>136</v>
      </c>
      <c r="C15" s="3246"/>
    </row>
    <row r="16" spans="1:7" ht="13.5">
      <c r="A16" s="3251"/>
      <c r="B16" s="3245" t="s">
        <v>69</v>
      </c>
      <c r="C16" s="3246"/>
    </row>
    <row r="17" spans="1:3" ht="13.5">
      <c r="A17" s="3251"/>
      <c r="B17" s="3248" t="s">
        <v>1574</v>
      </c>
      <c r="C17" s="1687" t="s">
        <v>1573</v>
      </c>
    </row>
    <row r="18" spans="1:3" ht="13.5">
      <c r="A18" s="3251"/>
      <c r="B18" s="3248"/>
      <c r="C18" s="1687" t="s">
        <v>1575</v>
      </c>
    </row>
    <row r="19" spans="1:3" ht="13.5">
      <c r="A19" s="3251"/>
      <c r="B19" s="3248"/>
      <c r="C19" s="1687" t="s">
        <v>1576</v>
      </c>
    </row>
    <row r="20" spans="1:3" ht="13.5">
      <c r="A20" s="3252"/>
      <c r="B20" s="3247" t="s">
        <v>1577</v>
      </c>
      <c r="C20" s="3246"/>
    </row>
    <row r="21" spans="1:3" ht="13.5">
      <c r="A21" s="1688" t="s">
        <v>1578</v>
      </c>
      <c r="B21" s="1689"/>
      <c r="C21" s="1690"/>
    </row>
    <row r="22" spans="1:3" ht="13.5">
      <c r="A22" s="3249" t="s">
        <v>1579</v>
      </c>
      <c r="B22" s="3247" t="s">
        <v>1580</v>
      </c>
      <c r="C22" s="3246"/>
    </row>
    <row r="23" spans="1:3" ht="13.5">
      <c r="A23" s="3249"/>
      <c r="B23" s="3247" t="s">
        <v>1581</v>
      </c>
      <c r="C23" s="3246"/>
    </row>
    <row r="24" spans="1:3" ht="13.5">
      <c r="A24" s="3249"/>
      <c r="B24" s="3247" t="s">
        <v>1582</v>
      </c>
      <c r="C24" s="3246"/>
    </row>
    <row r="25" spans="1:3" ht="13.5">
      <c r="A25" s="3249"/>
      <c r="B25" s="3248" t="s">
        <v>1583</v>
      </c>
      <c r="C25" s="1687" t="s">
        <v>1584</v>
      </c>
    </row>
    <row r="26" spans="1:3" ht="13.5">
      <c r="A26" s="3249"/>
      <c r="B26" s="3248"/>
      <c r="C26" s="1687" t="s">
        <v>1585</v>
      </c>
    </row>
    <row r="27" spans="1:3" ht="13.5">
      <c r="A27" s="3249"/>
      <c r="B27" s="3248"/>
      <c r="C27" s="1687" t="s">
        <v>1586</v>
      </c>
    </row>
    <row r="28" spans="1:3" ht="13.5">
      <c r="A28" s="3249"/>
      <c r="B28" s="3248"/>
      <c r="C28" s="1687" t="s">
        <v>1587</v>
      </c>
    </row>
    <row r="29" spans="1:3" ht="13.5">
      <c r="A29" s="3249"/>
      <c r="B29" s="3248"/>
      <c r="C29" s="1687" t="s">
        <v>1588</v>
      </c>
    </row>
    <row r="30" spans="1:3" ht="13.5">
      <c r="A30" s="3249"/>
      <c r="B30" s="3248"/>
      <c r="C30" s="1687" t="s">
        <v>1589</v>
      </c>
    </row>
    <row r="31" spans="1:3" ht="13.5">
      <c r="A31" s="3249"/>
      <c r="B31" s="3248"/>
      <c r="C31" s="1687" t="s">
        <v>1590</v>
      </c>
    </row>
    <row r="32" spans="1:3" ht="13.5">
      <c r="A32" s="3249"/>
      <c r="B32" s="3248"/>
      <c r="C32" s="1687" t="s">
        <v>1591</v>
      </c>
    </row>
    <row r="33" spans="1:3" ht="13.5">
      <c r="A33" s="3249"/>
      <c r="B33" s="3248"/>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44648</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2840</v>
      </c>
      <c r="B17" s="3253"/>
      <c r="C17" s="3253"/>
      <c r="D17" s="3253"/>
      <c r="E17" s="3253"/>
      <c r="F17" s="3253"/>
      <c r="G17" s="3253"/>
      <c r="H17" s="3253"/>
    </row>
    <row r="18" spans="1:8" ht="24" customHeight="1">
      <c r="A18" s="3254" t="s">
        <v>2841</v>
      </c>
      <c r="B18" s="3254"/>
      <c r="C18" s="3254"/>
      <c r="D18" s="2536"/>
      <c r="E18" s="3255" t="s">
        <v>2842</v>
      </c>
      <c r="F18" s="3254"/>
      <c r="G18" s="3254"/>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2022-03-28T02:29:39Z</dcterms:modified>
</cp:coreProperties>
</file>