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35" windowWidth="11430" windowHeight="10980"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抵押物清单" sheetId="81" r:id="rId14"/>
    <sheet name="截至3月已售" sheetId="80"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82" r:id="rId24"/>
    <sheet name="假设开发法" sheetId="12" r:id="rId25"/>
    <sheet name="收益法 (元)" sheetId="67" state="hidden" r:id="rId26"/>
    <sheet name="收益法-酒店模型" sheetId="77" state="hidden" r:id="rId27"/>
    <sheet name="收益法（汇总）" sheetId="70" state="hidden" r:id="rId28"/>
    <sheet name="比较法-住宅" sheetId="21" r:id="rId29"/>
    <sheet name="比较法-商业" sheetId="33" state="hidden" r:id="rId30"/>
    <sheet name="比较法-办公" sheetId="34" state="hidden" r:id="rId31"/>
    <sheet name="比较法-工业" sheetId="37" state="hidden" r:id="rId32"/>
    <sheet name="比较法-车位" sheetId="35" r:id="rId33"/>
    <sheet name="收益法" sheetId="15" r:id="rId34"/>
    <sheet name="比较法-仓储" sheetId="36"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案例" sheetId="83" r:id="rId49"/>
  </sheets>
  <externalReferences>
    <externalReference r:id="rId50"/>
    <externalReference r:id="rId51"/>
    <externalReference r:id="rId52"/>
  </externalReferences>
  <definedNames>
    <definedName name="_xlnm._FilterDatabase" localSheetId="30" hidden="1">'比较法-办公'!$A$1:$L$50</definedName>
    <definedName name="_xlnm._FilterDatabase" localSheetId="34"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抵押物清单!$A$2:$F$1399</definedName>
    <definedName name="_xlnm._FilterDatabase" localSheetId="12" hidden="1">'数据-基础表'!$A$12:$AT$587</definedName>
    <definedName name="_xlnm._FilterDatabase" localSheetId="35"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4">'比较法-仓储'!$A$1:$K$42,'比较法-仓储'!$A$45:$M$96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9">结果表!$A$1:$I$127</definedName>
    <definedName name="_xlnm.Print_Area" localSheetId="3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5">'数据-汇总表'!$A$1:$P$32</definedName>
    <definedName name="_xlnm.Print_Area" localSheetId="35">'土地比较法-工业'!$A$1:$K$61,'土地比较法-工业'!$A$64:$M$121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74" l="1"/>
  <c r="B15" i="74"/>
  <c r="D3" i="4"/>
  <c r="C11" i="21"/>
  <c r="I37" i="35"/>
  <c r="G37" i="35"/>
  <c r="E37" i="35"/>
  <c r="I5" i="35"/>
  <c r="G5" i="35"/>
  <c r="E5" i="35"/>
  <c r="I7" i="35"/>
  <c r="G7" i="35"/>
  <c r="I46" i="39"/>
  <c r="G46" i="39"/>
  <c r="E46" i="39"/>
  <c r="E116" i="39"/>
  <c r="F116" i="39" s="1"/>
  <c r="G116" i="39" s="1"/>
  <c r="D116" i="39"/>
  <c r="I38" i="39"/>
  <c r="G38" i="39"/>
  <c r="E38" i="39"/>
  <c r="C38" i="39"/>
  <c r="C11" i="39"/>
  <c r="E70" i="39"/>
  <c r="F70" i="39" s="1"/>
  <c r="G70" i="39" s="1"/>
  <c r="H70" i="39" s="1"/>
  <c r="I70" i="39" s="1"/>
  <c r="J70" i="39" s="1"/>
  <c r="K70" i="39" s="1"/>
  <c r="L70" i="39" s="1"/>
  <c r="M70" i="39" s="1"/>
  <c r="N70" i="39" s="1"/>
  <c r="O70" i="39" s="1"/>
  <c r="P70" i="39" s="1"/>
  <c r="D70" i="39"/>
  <c r="I7" i="39"/>
  <c r="G7" i="39"/>
  <c r="E7" i="39"/>
  <c r="I5" i="39"/>
  <c r="G5" i="39"/>
  <c r="E5" i="39"/>
  <c r="AH8" i="1" l="1"/>
  <c r="J14" i="3"/>
  <c r="J15" i="3"/>
  <c r="J16" i="3"/>
  <c r="J17" i="3"/>
  <c r="J18" i="3"/>
  <c r="J19" i="3"/>
  <c r="J20" i="3"/>
  <c r="J21" i="3"/>
  <c r="J22" i="3"/>
  <c r="J23" i="3"/>
  <c r="J24" i="3"/>
  <c r="J25" i="3"/>
  <c r="J26" i="3"/>
  <c r="J27" i="3"/>
  <c r="J28" i="3"/>
  <c r="J13" i="3"/>
  <c r="J22" i="81" l="1"/>
  <c r="J21" i="81"/>
  <c r="J20" i="81"/>
  <c r="K19" i="81"/>
  <c r="J18" i="81"/>
  <c r="J16" i="81"/>
  <c r="J15" i="81"/>
  <c r="J14" i="81"/>
  <c r="J12" i="81"/>
  <c r="J11" i="81"/>
  <c r="J10" i="81"/>
  <c r="J9" i="81"/>
  <c r="J8" i="81"/>
  <c r="J7" i="81"/>
  <c r="J6" i="81"/>
  <c r="J5" i="81"/>
  <c r="J4" i="81"/>
  <c r="J3" i="81"/>
  <c r="F1399" i="81"/>
  <c r="D1398" i="81"/>
  <c r="D1397" i="81"/>
  <c r="D1396" i="81"/>
  <c r="D1395" i="81"/>
  <c r="D1394" i="81"/>
  <c r="D1393" i="81"/>
  <c r="D1392" i="81"/>
  <c r="D1391" i="81"/>
  <c r="D1390" i="81"/>
  <c r="D1389" i="81"/>
  <c r="D1388" i="81"/>
  <c r="D1387" i="81"/>
  <c r="D1386" i="81"/>
  <c r="D1385" i="81"/>
  <c r="D1384" i="81"/>
  <c r="D1383" i="81"/>
  <c r="D1382" i="81"/>
  <c r="D1381" i="81"/>
  <c r="D1380" i="81"/>
  <c r="D1379" i="81"/>
  <c r="D1378" i="81"/>
  <c r="D1377" i="81"/>
  <c r="D1376" i="81"/>
  <c r="D1375" i="81"/>
  <c r="D1374" i="81"/>
  <c r="D1373" i="81"/>
  <c r="D1372" i="81"/>
  <c r="D1371" i="81"/>
  <c r="D1370" i="81"/>
  <c r="D1369" i="81"/>
  <c r="D1368" i="81"/>
  <c r="D1367" i="81"/>
  <c r="D1366" i="81"/>
  <c r="D1365" i="81"/>
  <c r="D1364" i="81"/>
  <c r="D1363" i="81"/>
  <c r="D1362" i="81"/>
  <c r="D1361" i="81"/>
  <c r="D1360" i="81"/>
  <c r="D1359" i="81"/>
  <c r="D1358" i="81"/>
  <c r="D1357" i="81"/>
  <c r="D1356" i="81"/>
  <c r="D1355" i="81"/>
  <c r="D1354" i="81"/>
  <c r="D1353" i="81"/>
  <c r="D1352" i="81"/>
  <c r="D1351" i="81"/>
  <c r="D1350" i="81"/>
  <c r="D1349" i="81"/>
  <c r="D1348" i="81"/>
  <c r="D1347" i="81"/>
  <c r="D1346" i="81"/>
  <c r="D1345" i="81"/>
  <c r="D1344" i="81"/>
  <c r="D1343" i="81"/>
  <c r="D1342" i="81"/>
  <c r="D1341" i="81"/>
  <c r="D1340" i="81"/>
  <c r="D1339" i="81"/>
  <c r="D1338" i="81"/>
  <c r="D1337" i="81"/>
  <c r="D1336" i="81"/>
  <c r="D1335" i="81"/>
  <c r="D1334" i="81"/>
  <c r="D1333" i="81"/>
  <c r="D1332" i="81"/>
  <c r="D1331" i="81"/>
  <c r="D1330" i="81"/>
  <c r="D1329" i="81"/>
  <c r="D1328" i="81"/>
  <c r="D1327" i="81"/>
  <c r="D1326" i="81"/>
  <c r="D1325" i="81"/>
  <c r="D1324" i="81"/>
  <c r="D1323" i="81"/>
  <c r="D1322" i="81"/>
  <c r="D1321" i="81"/>
  <c r="D1320" i="81"/>
  <c r="D1319" i="81"/>
  <c r="D1318" i="81"/>
  <c r="D1317" i="81"/>
  <c r="D1316" i="81"/>
  <c r="D1315" i="81"/>
  <c r="D1314" i="81"/>
  <c r="D1313" i="81"/>
  <c r="D1312" i="81"/>
  <c r="D1311" i="81"/>
  <c r="D1310" i="81"/>
  <c r="D1309" i="81"/>
  <c r="D1308" i="81"/>
  <c r="D1307" i="81"/>
  <c r="D1306" i="81"/>
  <c r="D1305" i="81"/>
  <c r="D1304" i="81"/>
  <c r="D1303" i="81"/>
  <c r="D1302" i="81"/>
  <c r="D1301" i="81"/>
  <c r="D1300" i="81"/>
  <c r="D1299" i="81"/>
  <c r="D1298" i="81"/>
  <c r="D1297" i="81"/>
  <c r="D1296" i="81"/>
  <c r="D1295" i="81"/>
  <c r="D1294" i="81"/>
  <c r="D1293" i="81"/>
  <c r="D1292" i="81"/>
  <c r="D1291" i="81"/>
  <c r="D1290" i="81"/>
  <c r="D1289" i="81"/>
  <c r="D1288" i="81"/>
  <c r="D1287" i="81"/>
  <c r="D1286" i="81"/>
  <c r="D1285" i="81"/>
  <c r="D1284" i="81"/>
  <c r="D1283" i="81"/>
  <c r="D1282" i="81"/>
  <c r="D1281" i="81"/>
  <c r="D1280" i="81"/>
  <c r="D1279" i="81"/>
  <c r="D1278" i="81"/>
  <c r="D1277" i="81"/>
  <c r="D1276" i="81"/>
  <c r="D1275" i="81"/>
  <c r="D1274" i="81"/>
  <c r="D1273" i="81"/>
  <c r="D1272" i="81"/>
  <c r="D1271" i="81"/>
  <c r="D1270" i="81"/>
  <c r="D1269" i="81"/>
  <c r="D1268" i="81"/>
  <c r="D1267" i="81"/>
  <c r="D1266" i="81"/>
  <c r="D1265" i="81"/>
  <c r="D1264" i="81"/>
  <c r="D1263" i="81"/>
  <c r="D1262" i="81"/>
  <c r="D1261" i="81"/>
  <c r="D1260" i="81"/>
  <c r="D1259" i="81"/>
  <c r="D1258" i="81"/>
  <c r="D1257" i="81"/>
  <c r="D1256" i="81"/>
  <c r="D1255" i="81"/>
  <c r="D1254" i="81"/>
  <c r="D1253" i="81"/>
  <c r="D1252" i="81"/>
  <c r="D1251" i="81"/>
  <c r="D1250" i="81"/>
  <c r="D1249" i="81"/>
  <c r="D1248" i="81"/>
  <c r="D1247" i="81"/>
  <c r="D1246" i="81"/>
  <c r="D1245" i="81"/>
  <c r="D1244" i="81"/>
  <c r="D1243" i="81"/>
  <c r="D1242" i="81"/>
  <c r="D1241" i="81"/>
  <c r="D1240" i="81"/>
  <c r="D1239" i="81"/>
  <c r="D1238" i="81"/>
  <c r="D1237" i="81"/>
  <c r="D1236" i="81"/>
  <c r="D1235" i="81"/>
  <c r="D1234" i="81"/>
  <c r="D1233" i="81"/>
  <c r="D1232" i="81"/>
  <c r="D1231" i="81"/>
  <c r="D1230" i="81"/>
  <c r="D1229" i="81"/>
  <c r="D1228" i="81"/>
  <c r="D1227" i="81"/>
  <c r="D1226" i="81"/>
  <c r="D1225" i="81"/>
  <c r="D1224" i="81"/>
  <c r="D1223" i="81"/>
  <c r="D1222" i="81"/>
  <c r="D1221" i="81"/>
  <c r="D1220" i="81"/>
  <c r="D1219" i="81"/>
  <c r="D1218" i="81"/>
  <c r="D1217" i="81"/>
  <c r="D1216" i="81"/>
  <c r="D1215" i="81"/>
  <c r="D1214" i="81"/>
  <c r="D1213" i="81"/>
  <c r="D1212" i="81"/>
  <c r="D1211" i="81"/>
  <c r="D1210" i="81"/>
  <c r="D1209" i="81"/>
  <c r="D1208" i="81"/>
  <c r="D1207" i="81"/>
  <c r="D1206" i="81"/>
  <c r="D1205" i="81"/>
  <c r="D1204" i="81"/>
  <c r="D1203" i="81"/>
  <c r="D1202" i="81"/>
  <c r="D1201" i="81"/>
  <c r="D1200" i="81"/>
  <c r="D1199" i="81"/>
  <c r="D1198" i="81"/>
  <c r="D1197" i="81"/>
  <c r="D1196" i="81"/>
  <c r="D1195" i="81"/>
  <c r="D1194" i="81"/>
  <c r="D1193" i="81"/>
  <c r="D1192" i="81"/>
  <c r="D1191" i="81"/>
  <c r="D1190" i="81"/>
  <c r="D1189" i="81"/>
  <c r="D1188" i="81"/>
  <c r="D1187" i="81"/>
  <c r="D1186" i="81"/>
  <c r="D1185" i="81"/>
  <c r="D1184" i="81"/>
  <c r="D1183" i="81"/>
  <c r="D1182" i="81"/>
  <c r="D1181" i="81"/>
  <c r="D1180" i="81"/>
  <c r="D1179" i="81"/>
  <c r="D1178" i="81"/>
  <c r="D1177" i="81"/>
  <c r="D1176" i="81"/>
  <c r="D1175" i="81"/>
  <c r="D1174" i="81"/>
  <c r="D1173" i="81"/>
  <c r="D1172" i="81"/>
  <c r="D1171" i="81"/>
  <c r="D1170" i="81"/>
  <c r="D1169" i="81"/>
  <c r="D1168" i="81"/>
  <c r="D1167" i="81"/>
  <c r="D1166" i="81"/>
  <c r="D1165" i="81"/>
  <c r="D1164" i="81"/>
  <c r="D1163" i="81"/>
  <c r="D1162" i="81"/>
  <c r="D1161" i="81"/>
  <c r="D1160" i="81"/>
  <c r="D1159" i="81"/>
  <c r="D1158" i="81"/>
  <c r="D1157" i="81"/>
  <c r="D1156" i="81"/>
  <c r="D1155" i="81"/>
  <c r="D1154" i="81"/>
  <c r="D1153" i="81"/>
  <c r="D1152" i="81"/>
  <c r="D1151" i="81"/>
  <c r="D1150" i="81"/>
  <c r="D1149" i="81"/>
  <c r="D1148" i="81"/>
  <c r="D1147" i="81"/>
  <c r="D1146" i="81"/>
  <c r="D1145" i="81"/>
  <c r="D1144" i="81"/>
  <c r="D1143" i="81"/>
  <c r="D1142" i="81"/>
  <c r="D1141" i="81"/>
  <c r="D1140" i="81"/>
  <c r="D1139" i="81"/>
  <c r="D1138" i="81"/>
  <c r="D1137" i="81"/>
  <c r="D1136" i="81"/>
  <c r="D1135" i="81"/>
  <c r="D1134" i="81"/>
  <c r="D1133" i="81"/>
  <c r="D1132" i="81"/>
  <c r="D1131" i="81"/>
  <c r="D1130" i="81"/>
  <c r="D1129" i="81"/>
  <c r="D1128" i="81"/>
  <c r="D1127" i="81"/>
  <c r="D1126" i="81"/>
  <c r="D1125" i="81"/>
  <c r="D1124" i="81"/>
  <c r="D1123" i="81"/>
  <c r="D1122" i="81"/>
  <c r="D1121" i="81"/>
  <c r="D1120" i="81"/>
  <c r="D1119" i="81"/>
  <c r="D1118" i="81"/>
  <c r="D1117" i="81"/>
  <c r="D1116" i="81"/>
  <c r="D1115" i="81"/>
  <c r="D1114" i="81"/>
  <c r="D1113" i="81"/>
  <c r="D1112" i="81"/>
  <c r="D1111" i="81"/>
  <c r="D1110" i="81"/>
  <c r="D1109" i="81"/>
  <c r="D1108" i="81"/>
  <c r="D1107" i="81"/>
  <c r="D1106" i="81"/>
  <c r="D1105" i="81"/>
  <c r="D1104" i="81"/>
  <c r="D1103" i="81"/>
  <c r="D1102" i="81"/>
  <c r="D1101" i="81"/>
  <c r="D1100" i="81"/>
  <c r="D1099" i="81"/>
  <c r="D1098" i="81"/>
  <c r="D1097" i="81"/>
  <c r="D1096" i="81"/>
  <c r="D1095" i="81"/>
  <c r="D1094" i="81"/>
  <c r="D1093" i="81"/>
  <c r="D1092" i="81"/>
  <c r="D1091" i="81"/>
  <c r="D1090" i="81"/>
  <c r="D1089" i="81"/>
  <c r="D1088" i="81"/>
  <c r="D1087" i="81"/>
  <c r="D1086" i="81"/>
  <c r="D1085" i="81"/>
  <c r="D1084" i="81"/>
  <c r="D1083" i="81"/>
  <c r="D1082" i="81"/>
  <c r="D1081" i="81"/>
  <c r="D1080" i="81"/>
  <c r="D1079" i="81"/>
  <c r="D1078" i="81"/>
  <c r="D1077" i="81"/>
  <c r="D1076" i="81"/>
  <c r="D1075" i="81"/>
  <c r="D1074" i="81"/>
  <c r="D1073" i="81"/>
  <c r="D1072" i="81"/>
  <c r="D1071" i="81"/>
  <c r="D1070" i="81"/>
  <c r="D1069" i="81"/>
  <c r="D1068" i="81"/>
  <c r="D1067" i="81"/>
  <c r="D1066" i="81"/>
  <c r="D1065" i="81"/>
  <c r="D1064" i="81"/>
  <c r="D1063" i="81"/>
  <c r="D1062" i="81"/>
  <c r="D1061" i="81"/>
  <c r="D1060" i="81"/>
  <c r="D1059" i="81"/>
  <c r="D1058" i="81"/>
  <c r="D1057" i="81"/>
  <c r="D1056" i="81"/>
  <c r="D1055" i="81"/>
  <c r="D1054" i="81"/>
  <c r="D1053" i="81"/>
  <c r="D1052" i="81"/>
  <c r="D1051" i="81"/>
  <c r="D1050" i="81"/>
  <c r="D1049" i="81"/>
  <c r="D1048" i="81"/>
  <c r="D1047" i="81"/>
  <c r="D1046" i="81"/>
  <c r="D1045" i="81"/>
  <c r="D1044" i="81"/>
  <c r="D1043" i="81"/>
  <c r="D1042" i="81"/>
  <c r="D1041" i="81"/>
  <c r="D1040" i="81"/>
  <c r="D1039" i="81"/>
  <c r="D1038" i="81"/>
  <c r="D1037" i="81"/>
  <c r="D1036" i="81"/>
  <c r="D1035" i="81"/>
  <c r="D1034" i="81"/>
  <c r="D1033" i="81"/>
  <c r="D1032" i="81"/>
  <c r="D1031" i="81"/>
  <c r="D1030" i="81"/>
  <c r="D1029" i="81"/>
  <c r="D1028" i="81"/>
  <c r="D1027" i="81"/>
  <c r="D1026" i="81"/>
  <c r="D1025" i="81"/>
  <c r="D1024" i="81"/>
  <c r="D1023" i="81"/>
  <c r="D1022" i="81"/>
  <c r="D1021" i="81"/>
  <c r="D1020" i="81"/>
  <c r="D1019" i="81"/>
  <c r="D1018" i="81"/>
  <c r="D1017" i="81"/>
  <c r="D1016" i="81"/>
  <c r="D1015" i="81"/>
  <c r="D1014" i="81"/>
  <c r="D1013" i="81"/>
  <c r="D1012" i="81"/>
  <c r="D1011" i="81"/>
  <c r="D1010" i="81"/>
  <c r="D1009" i="81"/>
  <c r="D1008" i="81"/>
  <c r="D1007" i="81"/>
  <c r="D1006" i="81"/>
  <c r="D1005" i="81"/>
  <c r="D1004" i="81"/>
  <c r="D1003" i="81"/>
  <c r="D1002" i="81"/>
  <c r="D1001" i="81"/>
  <c r="D1000" i="81"/>
  <c r="D999" i="81"/>
  <c r="D998" i="81"/>
  <c r="D997" i="81"/>
  <c r="D996" i="81"/>
  <c r="D995" i="81"/>
  <c r="D994" i="81"/>
  <c r="D993" i="81"/>
  <c r="D992" i="81"/>
  <c r="D991" i="81"/>
  <c r="D990" i="81"/>
  <c r="D989" i="81"/>
  <c r="D988" i="81"/>
  <c r="D987" i="81"/>
  <c r="D986" i="81"/>
  <c r="D985" i="81"/>
  <c r="D984" i="81"/>
  <c r="D983" i="81"/>
  <c r="D982" i="81"/>
  <c r="D981" i="81"/>
  <c r="D980" i="81"/>
  <c r="D979" i="81"/>
  <c r="D978" i="81"/>
  <c r="D977" i="81"/>
  <c r="D976" i="81"/>
  <c r="D975" i="81"/>
  <c r="D974" i="81"/>
  <c r="D973" i="81"/>
  <c r="D972" i="81"/>
  <c r="D971" i="81"/>
  <c r="D970" i="81"/>
  <c r="D969" i="81"/>
  <c r="D968" i="81"/>
  <c r="D967" i="81"/>
  <c r="D966" i="81"/>
  <c r="D965" i="81"/>
  <c r="D964" i="81"/>
  <c r="D963" i="81"/>
  <c r="D962" i="81"/>
  <c r="D961" i="81"/>
  <c r="D960" i="81"/>
  <c r="D959" i="81"/>
  <c r="D958" i="81"/>
  <c r="D957" i="81"/>
  <c r="D956" i="81"/>
  <c r="D955" i="81"/>
  <c r="D954" i="81"/>
  <c r="D953" i="81"/>
  <c r="D952" i="81"/>
  <c r="D951" i="81"/>
  <c r="D950" i="81"/>
  <c r="D949" i="81"/>
  <c r="D948" i="81"/>
  <c r="D947" i="81"/>
  <c r="D946" i="81"/>
  <c r="D945" i="81"/>
  <c r="D944" i="81"/>
  <c r="D943" i="81"/>
  <c r="D942" i="81"/>
  <c r="D941" i="81"/>
  <c r="D940" i="81"/>
  <c r="D939" i="81"/>
  <c r="D938" i="81"/>
  <c r="D937" i="81"/>
  <c r="D936" i="81"/>
  <c r="D935" i="81"/>
  <c r="D934" i="81"/>
  <c r="D933" i="81"/>
  <c r="D932" i="81"/>
  <c r="D931" i="81"/>
  <c r="D930" i="81"/>
  <c r="D929" i="81"/>
  <c r="D928" i="81"/>
  <c r="D927" i="81"/>
  <c r="D926" i="81"/>
  <c r="D925" i="81"/>
  <c r="D924" i="81"/>
  <c r="D923" i="81"/>
  <c r="D922" i="81"/>
  <c r="D921" i="81"/>
  <c r="D920" i="81"/>
  <c r="D919" i="81"/>
  <c r="D918" i="81"/>
  <c r="D917" i="81"/>
  <c r="D916" i="81"/>
  <c r="D915" i="81"/>
  <c r="D914" i="81"/>
  <c r="D913" i="81"/>
  <c r="D912" i="81"/>
  <c r="D911" i="81"/>
  <c r="D910" i="81"/>
  <c r="D909" i="81"/>
  <c r="D908" i="81"/>
  <c r="D907" i="81"/>
  <c r="D906" i="81"/>
  <c r="D905" i="81"/>
  <c r="D904" i="81"/>
  <c r="D903" i="81"/>
  <c r="D902" i="81"/>
  <c r="D901" i="81"/>
  <c r="D900" i="81"/>
  <c r="D899" i="81"/>
  <c r="D898" i="81"/>
  <c r="D897" i="81"/>
  <c r="D896" i="81"/>
  <c r="D895" i="81"/>
  <c r="D894" i="81"/>
  <c r="D893" i="81"/>
  <c r="D892" i="81"/>
  <c r="D891" i="81"/>
  <c r="D890" i="81"/>
  <c r="D889" i="81"/>
  <c r="D888" i="81"/>
  <c r="D887" i="81"/>
  <c r="D886" i="81"/>
  <c r="D885" i="81"/>
  <c r="D884" i="81"/>
  <c r="D883" i="81"/>
  <c r="D882" i="81"/>
  <c r="D881" i="81"/>
  <c r="D880" i="81"/>
  <c r="D879" i="81"/>
  <c r="D878" i="81"/>
  <c r="D877" i="81"/>
  <c r="D876" i="81"/>
  <c r="D875" i="81"/>
  <c r="D874" i="81"/>
  <c r="D873" i="81"/>
  <c r="D872" i="81"/>
  <c r="D871" i="81"/>
  <c r="D870" i="81"/>
  <c r="D869" i="81"/>
  <c r="D868" i="81"/>
  <c r="D867" i="81"/>
  <c r="D866" i="81"/>
  <c r="D865" i="81"/>
  <c r="D864" i="81"/>
  <c r="D863" i="81"/>
  <c r="D862" i="81"/>
  <c r="D861" i="81"/>
  <c r="D860" i="81"/>
  <c r="D859" i="81"/>
  <c r="D858" i="81"/>
  <c r="D857" i="81"/>
  <c r="D856" i="81"/>
  <c r="D855" i="81"/>
  <c r="D854" i="81"/>
  <c r="D853" i="81"/>
  <c r="D852" i="81"/>
  <c r="D851" i="81"/>
  <c r="D850" i="81"/>
  <c r="D849" i="81"/>
  <c r="D848" i="81"/>
  <c r="D847" i="81"/>
  <c r="D846" i="81"/>
  <c r="D845" i="81"/>
  <c r="D844" i="81"/>
  <c r="D843" i="81"/>
  <c r="D842" i="81"/>
  <c r="D841" i="81"/>
  <c r="D840" i="81"/>
  <c r="D839" i="81"/>
  <c r="D838" i="81"/>
  <c r="D837" i="81"/>
  <c r="D836" i="81"/>
  <c r="D835" i="81"/>
  <c r="D834" i="81"/>
  <c r="D833" i="81"/>
  <c r="D832" i="81"/>
  <c r="D831" i="81"/>
  <c r="D830" i="81"/>
  <c r="D829" i="81"/>
  <c r="D828" i="81"/>
  <c r="D827" i="81"/>
  <c r="D826" i="81"/>
  <c r="D825" i="81"/>
  <c r="D824" i="81"/>
  <c r="D823" i="81"/>
  <c r="D822" i="81"/>
  <c r="D821" i="81"/>
  <c r="D820" i="81"/>
  <c r="D819" i="81"/>
  <c r="D818" i="81"/>
  <c r="D817" i="81"/>
  <c r="D816" i="81"/>
  <c r="D815" i="81"/>
  <c r="D814" i="81"/>
  <c r="D813" i="81"/>
  <c r="D812" i="81"/>
  <c r="D811" i="81"/>
  <c r="D810" i="81"/>
  <c r="D809" i="81"/>
  <c r="D808" i="81"/>
  <c r="D807" i="81"/>
  <c r="D806" i="81"/>
  <c r="D805" i="81"/>
  <c r="D804" i="81"/>
  <c r="D803" i="81"/>
  <c r="D802" i="81"/>
  <c r="D801" i="81"/>
  <c r="D800" i="81"/>
  <c r="D799" i="81"/>
  <c r="D798" i="81"/>
  <c r="D797" i="81"/>
  <c r="D796" i="81"/>
  <c r="D795" i="81"/>
  <c r="D794" i="81"/>
  <c r="D793" i="81"/>
  <c r="D792" i="81"/>
  <c r="D791" i="81"/>
  <c r="D790" i="81"/>
  <c r="D789" i="81"/>
  <c r="D788" i="81"/>
  <c r="D787" i="81"/>
  <c r="D786" i="81"/>
  <c r="D785" i="81"/>
  <c r="D784" i="81"/>
  <c r="D783" i="81"/>
  <c r="D782" i="81"/>
  <c r="D781" i="81"/>
  <c r="D780" i="81"/>
  <c r="D779" i="81"/>
  <c r="D778" i="81"/>
  <c r="D777" i="81"/>
  <c r="D776" i="81"/>
  <c r="D775" i="81"/>
  <c r="D774" i="81"/>
  <c r="D773" i="81"/>
  <c r="D772" i="81"/>
  <c r="D771" i="81"/>
  <c r="D770" i="81"/>
  <c r="D769" i="81"/>
  <c r="D768" i="81"/>
  <c r="D767" i="81"/>
  <c r="D766" i="81"/>
  <c r="D765" i="81"/>
  <c r="D764" i="81"/>
  <c r="D763" i="81"/>
  <c r="D762" i="81"/>
  <c r="D761" i="81"/>
  <c r="D760" i="81"/>
  <c r="D759" i="81"/>
  <c r="D758" i="81"/>
  <c r="D757" i="81"/>
  <c r="D756" i="81"/>
  <c r="D755" i="81"/>
  <c r="D754" i="81"/>
  <c r="D753" i="81"/>
  <c r="D752" i="81"/>
  <c r="D751" i="81"/>
  <c r="D750" i="81"/>
  <c r="D749" i="81"/>
  <c r="D748" i="81"/>
  <c r="D747" i="81"/>
  <c r="D746" i="81"/>
  <c r="D745" i="81"/>
  <c r="D744" i="81"/>
  <c r="D743" i="81"/>
  <c r="D742" i="81"/>
  <c r="D741" i="81"/>
  <c r="D740" i="81"/>
  <c r="D739" i="81"/>
  <c r="D738" i="81"/>
  <c r="D737" i="81"/>
  <c r="D736" i="81"/>
  <c r="D735" i="81"/>
  <c r="D734" i="81"/>
  <c r="D733" i="81"/>
  <c r="D732" i="81"/>
  <c r="D731" i="81"/>
  <c r="D730" i="81"/>
  <c r="D729" i="81"/>
  <c r="D728" i="81"/>
  <c r="D727" i="81"/>
  <c r="D726" i="81"/>
  <c r="D725" i="81"/>
  <c r="D724" i="81"/>
  <c r="D723" i="81"/>
  <c r="D722" i="81"/>
  <c r="D721" i="81"/>
  <c r="D720" i="81"/>
  <c r="D719" i="81"/>
  <c r="D718" i="81"/>
  <c r="D717" i="81"/>
  <c r="D716" i="81"/>
  <c r="D715" i="81"/>
  <c r="D714" i="81"/>
  <c r="D713" i="81"/>
  <c r="D712" i="81"/>
  <c r="D711" i="81"/>
  <c r="D710" i="81"/>
  <c r="D709" i="81"/>
  <c r="D708" i="81"/>
  <c r="D707" i="81"/>
  <c r="D706" i="81"/>
  <c r="D705" i="81"/>
  <c r="D704" i="81"/>
  <c r="D703" i="81"/>
  <c r="D702" i="81"/>
  <c r="D701" i="81"/>
  <c r="D700" i="81"/>
  <c r="D699" i="81"/>
  <c r="D698" i="81"/>
  <c r="D697" i="81"/>
  <c r="D696" i="81"/>
  <c r="D695" i="81"/>
  <c r="D694" i="81"/>
  <c r="D693" i="81"/>
  <c r="D692" i="81"/>
  <c r="D691" i="81"/>
  <c r="D690" i="81"/>
  <c r="D689" i="81"/>
  <c r="D688" i="81"/>
  <c r="D687" i="81"/>
  <c r="D686" i="81"/>
  <c r="D685" i="81"/>
  <c r="D684" i="81"/>
  <c r="D683" i="81"/>
  <c r="D682" i="81"/>
  <c r="D681" i="81"/>
  <c r="D680" i="81"/>
  <c r="D679" i="81"/>
  <c r="D678" i="81"/>
  <c r="D677" i="81"/>
  <c r="D676" i="81"/>
  <c r="D675" i="81"/>
  <c r="D674" i="81"/>
  <c r="D673" i="81"/>
  <c r="D672" i="81"/>
  <c r="D671" i="81"/>
  <c r="D670" i="81"/>
  <c r="D669" i="81"/>
  <c r="D668" i="81"/>
  <c r="D667" i="81"/>
  <c r="D666" i="81"/>
  <c r="D665" i="81"/>
  <c r="D664" i="81"/>
  <c r="D663" i="81"/>
  <c r="D662" i="81"/>
  <c r="D661" i="81"/>
  <c r="D660" i="81"/>
  <c r="D659" i="81"/>
  <c r="D658" i="81"/>
  <c r="D657" i="81"/>
  <c r="D656" i="81"/>
  <c r="D655" i="81"/>
  <c r="D654" i="81"/>
  <c r="D653" i="81"/>
  <c r="D652" i="81"/>
  <c r="D651" i="81"/>
  <c r="D650" i="81"/>
  <c r="D649" i="81"/>
  <c r="D648" i="81"/>
  <c r="D647" i="81"/>
  <c r="D646" i="81"/>
  <c r="D645" i="81"/>
  <c r="D644" i="81"/>
  <c r="D643" i="81"/>
  <c r="D642" i="81"/>
  <c r="D641" i="81"/>
  <c r="D640" i="81"/>
  <c r="D639" i="81"/>
  <c r="D638" i="81"/>
  <c r="D637" i="81"/>
  <c r="D636" i="81"/>
  <c r="D635" i="81"/>
  <c r="D634" i="81"/>
  <c r="D633" i="81"/>
  <c r="D632" i="81"/>
  <c r="D631" i="81"/>
  <c r="D630" i="81"/>
  <c r="D629" i="81"/>
  <c r="D628" i="81"/>
  <c r="D627" i="81"/>
  <c r="D626" i="81"/>
  <c r="D625" i="81"/>
  <c r="D624" i="81"/>
  <c r="D623" i="81"/>
  <c r="D622" i="81"/>
  <c r="D621" i="81"/>
  <c r="D620" i="81"/>
  <c r="D619" i="81"/>
  <c r="D618" i="81"/>
  <c r="D617" i="81"/>
  <c r="D616" i="81"/>
  <c r="D615" i="81"/>
  <c r="D614" i="81"/>
  <c r="D613" i="81"/>
  <c r="D612" i="81"/>
  <c r="D611" i="81"/>
  <c r="D610" i="81"/>
  <c r="D609" i="81"/>
  <c r="D608" i="81"/>
  <c r="D607" i="81"/>
  <c r="D606" i="81"/>
  <c r="D605" i="81"/>
  <c r="D604" i="81"/>
  <c r="D603" i="81"/>
  <c r="D602" i="81"/>
  <c r="D601" i="81"/>
  <c r="D600" i="81"/>
  <c r="D599" i="81"/>
  <c r="D598" i="81"/>
  <c r="D597" i="81"/>
  <c r="D596" i="81"/>
  <c r="D595" i="81"/>
  <c r="D594" i="81"/>
  <c r="D593" i="81"/>
  <c r="D592" i="81"/>
  <c r="D591" i="81"/>
  <c r="D590" i="81"/>
  <c r="D589" i="81"/>
  <c r="D588" i="81"/>
  <c r="D587" i="81"/>
  <c r="D586" i="81"/>
  <c r="D585" i="81"/>
  <c r="D584" i="81"/>
  <c r="D583" i="81"/>
  <c r="D582" i="81"/>
  <c r="D581" i="81"/>
  <c r="D580" i="81"/>
  <c r="D579" i="81"/>
  <c r="D578" i="81"/>
  <c r="D577" i="81"/>
  <c r="D576" i="81"/>
  <c r="D575" i="81"/>
  <c r="D574" i="81"/>
  <c r="D573" i="81"/>
  <c r="D572" i="81"/>
  <c r="D571" i="81"/>
  <c r="D570" i="81"/>
  <c r="D569" i="81"/>
  <c r="D568" i="81"/>
  <c r="D567" i="81"/>
  <c r="D566" i="81"/>
  <c r="D565" i="81"/>
  <c r="D564" i="81"/>
  <c r="D563" i="81"/>
  <c r="D562" i="81"/>
  <c r="D561" i="81"/>
  <c r="D560" i="81"/>
  <c r="D559" i="81"/>
  <c r="D558" i="81"/>
  <c r="D557" i="81"/>
  <c r="D556" i="81"/>
  <c r="D555" i="81"/>
  <c r="D554" i="81"/>
  <c r="D553" i="81"/>
  <c r="D552" i="81"/>
  <c r="D551" i="81"/>
  <c r="D550" i="81"/>
  <c r="D549" i="81"/>
  <c r="D548" i="81"/>
  <c r="D547" i="81"/>
  <c r="D546" i="81"/>
  <c r="D545" i="81"/>
  <c r="D544" i="81"/>
  <c r="D543" i="81"/>
  <c r="D542" i="81"/>
  <c r="D541" i="81"/>
  <c r="D540" i="81"/>
  <c r="D539" i="81"/>
  <c r="D538" i="81"/>
  <c r="D537" i="81"/>
  <c r="D536" i="81"/>
  <c r="D535" i="81"/>
  <c r="D534" i="81"/>
  <c r="D533" i="81"/>
  <c r="D532" i="81"/>
  <c r="D531" i="81"/>
  <c r="D530" i="81"/>
  <c r="D529" i="81"/>
  <c r="D528" i="81"/>
  <c r="D527" i="81"/>
  <c r="D526" i="81"/>
  <c r="D525" i="81"/>
  <c r="D524" i="81"/>
  <c r="D523" i="81"/>
  <c r="D522" i="81"/>
  <c r="D521" i="81"/>
  <c r="D520" i="81"/>
  <c r="D519" i="81"/>
  <c r="D518" i="81"/>
  <c r="D517" i="81"/>
  <c r="D516" i="81"/>
  <c r="D515" i="81"/>
  <c r="D514" i="81"/>
  <c r="D513" i="81"/>
  <c r="D512" i="81"/>
  <c r="D511" i="81"/>
  <c r="D510" i="81"/>
  <c r="D509" i="81"/>
  <c r="D508" i="81"/>
  <c r="D507" i="81"/>
  <c r="D506" i="81"/>
  <c r="D505" i="81"/>
  <c r="D504" i="81"/>
  <c r="D503" i="81"/>
  <c r="D502" i="81"/>
  <c r="D501" i="81"/>
  <c r="D500" i="81"/>
  <c r="D499" i="81"/>
  <c r="D498" i="81"/>
  <c r="D497" i="81"/>
  <c r="D496" i="81"/>
  <c r="D495" i="81"/>
  <c r="D494" i="81"/>
  <c r="D493" i="81"/>
  <c r="D492" i="81"/>
  <c r="D491" i="81"/>
  <c r="D490" i="81"/>
  <c r="D489" i="81"/>
  <c r="D488" i="81"/>
  <c r="D487" i="81"/>
  <c r="D486" i="81"/>
  <c r="D485" i="81"/>
  <c r="D484" i="81"/>
  <c r="D483" i="81"/>
  <c r="D482" i="81"/>
  <c r="D481" i="81"/>
  <c r="D480" i="81"/>
  <c r="D479" i="81"/>
  <c r="D478" i="81"/>
  <c r="D477" i="81"/>
  <c r="D476" i="81"/>
  <c r="D475" i="81"/>
  <c r="D474" i="81"/>
  <c r="D473" i="81"/>
  <c r="D472" i="81"/>
  <c r="D471" i="81"/>
  <c r="D470" i="81"/>
  <c r="D469" i="81"/>
  <c r="D468" i="81"/>
  <c r="D467" i="81"/>
  <c r="D466" i="81"/>
  <c r="D465" i="81"/>
  <c r="D464" i="81"/>
  <c r="D463" i="81"/>
  <c r="D462" i="81"/>
  <c r="D461" i="81"/>
  <c r="D460" i="81"/>
  <c r="D459" i="81"/>
  <c r="D458" i="81"/>
  <c r="D457" i="81"/>
  <c r="D456" i="81"/>
  <c r="D455" i="81"/>
  <c r="D454" i="81"/>
  <c r="D453" i="81"/>
  <c r="D452" i="81"/>
  <c r="D451" i="81"/>
  <c r="D450" i="81"/>
  <c r="D449" i="81"/>
  <c r="D448" i="81"/>
  <c r="D447" i="81"/>
  <c r="D446" i="81"/>
  <c r="D445" i="81"/>
  <c r="D444" i="81"/>
  <c r="D443" i="81"/>
  <c r="D442" i="81"/>
  <c r="D441" i="81"/>
  <c r="D440" i="81"/>
  <c r="D439" i="81"/>
  <c r="D438" i="81"/>
  <c r="D437" i="81"/>
  <c r="D436" i="81"/>
  <c r="D435" i="81"/>
  <c r="D434" i="81"/>
  <c r="D433" i="81"/>
  <c r="D432" i="81"/>
  <c r="D431" i="81"/>
  <c r="D430" i="81"/>
  <c r="D429" i="81"/>
  <c r="D428" i="81"/>
  <c r="D427" i="81"/>
  <c r="D426" i="81"/>
  <c r="D425" i="81"/>
  <c r="D424" i="81"/>
  <c r="D423" i="81"/>
  <c r="D422" i="81"/>
  <c r="D421" i="81"/>
  <c r="D420" i="81"/>
  <c r="D419" i="81"/>
  <c r="D418" i="81"/>
  <c r="D417" i="81"/>
  <c r="D416" i="81"/>
  <c r="D415" i="81"/>
  <c r="D414" i="81"/>
  <c r="D413" i="81"/>
  <c r="D412" i="81"/>
  <c r="D411" i="81"/>
  <c r="D410" i="81"/>
  <c r="D409" i="81"/>
  <c r="D408" i="81"/>
  <c r="D407" i="81"/>
  <c r="D406" i="81"/>
  <c r="D405" i="81"/>
  <c r="D404" i="81"/>
  <c r="D403" i="81"/>
  <c r="D402" i="81"/>
  <c r="D401" i="81"/>
  <c r="D400" i="81"/>
  <c r="D399" i="81"/>
  <c r="D398" i="81"/>
  <c r="D397" i="81"/>
  <c r="D396" i="81"/>
  <c r="D395" i="81"/>
  <c r="D394" i="81"/>
  <c r="D393" i="81"/>
  <c r="D392" i="81"/>
  <c r="D391" i="81"/>
  <c r="D390" i="81"/>
  <c r="D389" i="81"/>
  <c r="D388" i="81"/>
  <c r="D387" i="81"/>
  <c r="D386" i="81"/>
  <c r="D385" i="81"/>
  <c r="D384" i="81"/>
  <c r="D383" i="81"/>
  <c r="D382" i="81"/>
  <c r="D381" i="81"/>
  <c r="D380" i="81"/>
  <c r="D379" i="81"/>
  <c r="D378" i="81"/>
  <c r="D377" i="81"/>
  <c r="D376" i="81"/>
  <c r="D375" i="81"/>
  <c r="D374" i="81"/>
  <c r="D373" i="81"/>
  <c r="D372" i="81"/>
  <c r="D371" i="81"/>
  <c r="D370" i="81"/>
  <c r="D369" i="81"/>
  <c r="D368" i="81"/>
  <c r="D367" i="81"/>
  <c r="D366" i="81"/>
  <c r="D365" i="81"/>
  <c r="D364" i="81"/>
  <c r="D363" i="81"/>
  <c r="D362" i="81"/>
  <c r="D361" i="81"/>
  <c r="D360" i="81"/>
  <c r="D359" i="81"/>
  <c r="D358" i="81"/>
  <c r="D357" i="81"/>
  <c r="D356" i="81"/>
  <c r="D355" i="81"/>
  <c r="D354" i="81"/>
  <c r="D353" i="81"/>
  <c r="D352" i="81"/>
  <c r="D351" i="81"/>
  <c r="D350" i="81"/>
  <c r="D349" i="81"/>
  <c r="D348" i="81"/>
  <c r="D347" i="81"/>
  <c r="D346" i="81"/>
  <c r="D345" i="81"/>
  <c r="D344" i="81"/>
  <c r="D343" i="81"/>
  <c r="D342" i="81"/>
  <c r="D341" i="81"/>
  <c r="D340" i="81"/>
  <c r="D339" i="81"/>
  <c r="D338" i="81"/>
  <c r="D337" i="81"/>
  <c r="D336" i="81"/>
  <c r="D335" i="81"/>
  <c r="D334" i="81"/>
  <c r="D333" i="81"/>
  <c r="D332" i="81"/>
  <c r="D331" i="81"/>
  <c r="D330" i="81"/>
  <c r="D329" i="81"/>
  <c r="D328" i="81"/>
  <c r="D327" i="81"/>
  <c r="D326" i="81"/>
  <c r="D325" i="81"/>
  <c r="D324" i="81"/>
  <c r="D323" i="81"/>
  <c r="D322" i="81"/>
  <c r="D321" i="81"/>
  <c r="D320" i="81"/>
  <c r="D319" i="81"/>
  <c r="D318" i="81"/>
  <c r="D317" i="81"/>
  <c r="D316" i="81"/>
  <c r="D315" i="81"/>
  <c r="D314" i="81"/>
  <c r="D313" i="81"/>
  <c r="D312" i="81"/>
  <c r="D311" i="81"/>
  <c r="D310" i="81"/>
  <c r="D309" i="81"/>
  <c r="D308" i="81"/>
  <c r="D307" i="81"/>
  <c r="D306" i="81"/>
  <c r="D305" i="81"/>
  <c r="D304" i="81"/>
  <c r="D303" i="81"/>
  <c r="D302" i="81"/>
  <c r="D301" i="81"/>
  <c r="D300" i="81"/>
  <c r="D299" i="81"/>
  <c r="D298" i="81"/>
  <c r="D297" i="81"/>
  <c r="D296" i="81"/>
  <c r="D295" i="81"/>
  <c r="D294" i="81"/>
  <c r="D293" i="81"/>
  <c r="D292" i="81"/>
  <c r="D291" i="81"/>
  <c r="D290" i="81"/>
  <c r="D289" i="81"/>
  <c r="D288" i="81"/>
  <c r="D287" i="81"/>
  <c r="D286" i="81"/>
  <c r="D285" i="81"/>
  <c r="D284" i="81"/>
  <c r="D283" i="81"/>
  <c r="D282" i="81"/>
  <c r="D281" i="81"/>
  <c r="D280" i="81"/>
  <c r="D279" i="81"/>
  <c r="D278" i="81"/>
  <c r="D277" i="81"/>
  <c r="D276" i="81"/>
  <c r="D275" i="81"/>
  <c r="D274" i="81"/>
  <c r="D273" i="81"/>
  <c r="D272" i="81"/>
  <c r="D271" i="81"/>
  <c r="D270" i="81"/>
  <c r="D269" i="81"/>
  <c r="D268" i="81"/>
  <c r="D267" i="81"/>
  <c r="D266" i="81"/>
  <c r="D265" i="81"/>
  <c r="D264" i="81"/>
  <c r="D263" i="81"/>
  <c r="D262" i="81"/>
  <c r="D261" i="81"/>
  <c r="D260" i="81"/>
  <c r="D259" i="81"/>
  <c r="D258" i="81"/>
  <c r="D257" i="81"/>
  <c r="D256" i="81"/>
  <c r="D255" i="81"/>
  <c r="D254" i="81"/>
  <c r="D253" i="81"/>
  <c r="D252" i="81"/>
  <c r="D251" i="81"/>
  <c r="D250" i="81"/>
  <c r="D249" i="81"/>
  <c r="D248" i="81"/>
  <c r="D247" i="81"/>
  <c r="D246" i="81"/>
  <c r="D245" i="81"/>
  <c r="D244" i="81"/>
  <c r="D243" i="81"/>
  <c r="D242" i="81"/>
  <c r="D241" i="81"/>
  <c r="D240" i="81"/>
  <c r="D239" i="81"/>
  <c r="D238" i="81"/>
  <c r="D237" i="81"/>
  <c r="D236" i="81"/>
  <c r="D235" i="81"/>
  <c r="D234" i="81"/>
  <c r="D233" i="81"/>
  <c r="D232" i="81"/>
  <c r="D231" i="81"/>
  <c r="D230" i="81"/>
  <c r="D229" i="81"/>
  <c r="D228" i="81"/>
  <c r="D227" i="81"/>
  <c r="D226" i="81"/>
  <c r="D225" i="81"/>
  <c r="D224" i="81"/>
  <c r="D223" i="81"/>
  <c r="D222" i="81"/>
  <c r="D221" i="81"/>
  <c r="D220" i="81"/>
  <c r="D219" i="81"/>
  <c r="D218" i="81"/>
  <c r="D217" i="81"/>
  <c r="D216" i="81"/>
  <c r="D215" i="81"/>
  <c r="D214" i="81"/>
  <c r="D213" i="81"/>
  <c r="D212" i="81"/>
  <c r="D211" i="81"/>
  <c r="D210" i="81"/>
  <c r="D209" i="81"/>
  <c r="D208" i="81"/>
  <c r="D207" i="81"/>
  <c r="D206" i="81"/>
  <c r="D205" i="81"/>
  <c r="D204" i="81"/>
  <c r="D203" i="81"/>
  <c r="D202" i="81"/>
  <c r="D201" i="81"/>
  <c r="D200" i="81"/>
  <c r="D199" i="81"/>
  <c r="D198" i="81"/>
  <c r="D197" i="81"/>
  <c r="D196" i="81"/>
  <c r="D195" i="81"/>
  <c r="D194" i="81"/>
  <c r="D193" i="81"/>
  <c r="D192" i="81"/>
  <c r="D191" i="81"/>
  <c r="D190" i="81"/>
  <c r="D189" i="81"/>
  <c r="D188" i="81"/>
  <c r="D187" i="81"/>
  <c r="D186" i="81"/>
  <c r="D185" i="81"/>
  <c r="D184" i="81"/>
  <c r="D183" i="81"/>
  <c r="D182" i="81"/>
  <c r="D181" i="81"/>
  <c r="D180" i="81"/>
  <c r="D179" i="81"/>
  <c r="D178" i="81"/>
  <c r="D177" i="81"/>
  <c r="D176" i="81"/>
  <c r="D175" i="81"/>
  <c r="D174" i="81"/>
  <c r="D173" i="81"/>
  <c r="D172" i="81"/>
  <c r="D171" i="81"/>
  <c r="D170" i="81"/>
  <c r="D169" i="81"/>
  <c r="D168" i="81"/>
  <c r="D167" i="81"/>
  <c r="D166" i="81"/>
  <c r="D165" i="81"/>
  <c r="D164" i="81"/>
  <c r="D163" i="81"/>
  <c r="D162" i="81"/>
  <c r="D161" i="81"/>
  <c r="D160" i="81"/>
  <c r="D159" i="81"/>
  <c r="D158" i="81"/>
  <c r="D157" i="81"/>
  <c r="D156" i="81"/>
  <c r="D155" i="81"/>
  <c r="D154" i="81"/>
  <c r="D153" i="81"/>
  <c r="D152" i="81"/>
  <c r="D151" i="81"/>
  <c r="D150" i="81"/>
  <c r="D149" i="81"/>
  <c r="D148" i="81"/>
  <c r="D147" i="81"/>
  <c r="D146" i="81"/>
  <c r="D145" i="81"/>
  <c r="D144" i="81"/>
  <c r="D143" i="81"/>
  <c r="D142" i="81"/>
  <c r="D141" i="81"/>
  <c r="D140" i="81"/>
  <c r="D139" i="81"/>
  <c r="D138" i="81"/>
  <c r="D137" i="81"/>
  <c r="D136" i="81"/>
  <c r="D135" i="81"/>
  <c r="D134" i="81"/>
  <c r="D133" i="81"/>
  <c r="D132" i="81"/>
  <c r="D131" i="81"/>
  <c r="D130" i="81"/>
  <c r="D129" i="81"/>
  <c r="D128" i="81"/>
  <c r="D127" i="81"/>
  <c r="D126" i="81"/>
  <c r="D125" i="81"/>
  <c r="D124" i="81"/>
  <c r="D123" i="81"/>
  <c r="D122" i="81"/>
  <c r="D121" i="81"/>
  <c r="D120" i="81"/>
  <c r="D119" i="81"/>
  <c r="D118" i="81"/>
  <c r="D117" i="81"/>
  <c r="D116" i="81"/>
  <c r="D115" i="81"/>
  <c r="D114" i="81"/>
  <c r="D113" i="81"/>
  <c r="D112" i="81"/>
  <c r="D111" i="81"/>
  <c r="D110" i="81"/>
  <c r="D109" i="81"/>
  <c r="D108" i="81"/>
  <c r="D107" i="81"/>
  <c r="D106" i="81"/>
  <c r="D105" i="81"/>
  <c r="D104" i="81"/>
  <c r="D103" i="81"/>
  <c r="D102" i="81"/>
  <c r="D101" i="81"/>
  <c r="D100" i="81"/>
  <c r="D99" i="81"/>
  <c r="D98" i="81"/>
  <c r="D97" i="81"/>
  <c r="D96" i="81"/>
  <c r="D95" i="81"/>
  <c r="D94" i="81"/>
  <c r="D93" i="81"/>
  <c r="D92" i="81"/>
  <c r="D91" i="81"/>
  <c r="D90" i="81"/>
  <c r="D89" i="81"/>
  <c r="D88" i="81"/>
  <c r="D87" i="81"/>
  <c r="D86" i="81"/>
  <c r="D85" i="81"/>
  <c r="D84" i="81"/>
  <c r="D83" i="81"/>
  <c r="D82" i="81"/>
  <c r="D81" i="81"/>
  <c r="D80" i="81"/>
  <c r="D79" i="81"/>
  <c r="D78" i="81"/>
  <c r="D77" i="81"/>
  <c r="D76" i="81"/>
  <c r="D75" i="81"/>
  <c r="D74" i="81"/>
  <c r="D73" i="81"/>
  <c r="D72" i="81"/>
  <c r="D71" i="81"/>
  <c r="D70" i="81"/>
  <c r="D69" i="81"/>
  <c r="D68" i="81"/>
  <c r="D67" i="81"/>
  <c r="D66" i="81"/>
  <c r="D65" i="81"/>
  <c r="D64" i="81"/>
  <c r="D63" i="81"/>
  <c r="D62" i="81"/>
  <c r="D61" i="81"/>
  <c r="D60" i="81"/>
  <c r="D59" i="81"/>
  <c r="D58" i="81"/>
  <c r="D57" i="81"/>
  <c r="D56" i="81"/>
  <c r="D55" i="81"/>
  <c r="D54" i="81"/>
  <c r="D53" i="81"/>
  <c r="D52" i="81"/>
  <c r="D51" i="81"/>
  <c r="D50" i="81"/>
  <c r="D49" i="81"/>
  <c r="D48" i="81"/>
  <c r="D47" i="81"/>
  <c r="D46" i="81"/>
  <c r="D45" i="81"/>
  <c r="D44" i="81"/>
  <c r="D43" i="81"/>
  <c r="D42" i="81"/>
  <c r="D41" i="81"/>
  <c r="D40" i="81"/>
  <c r="D39" i="81"/>
  <c r="D38" i="81"/>
  <c r="D37" i="81"/>
  <c r="D36" i="81"/>
  <c r="D35" i="81"/>
  <c r="D34" i="81"/>
  <c r="D33" i="81"/>
  <c r="D32" i="81"/>
  <c r="D31" i="81"/>
  <c r="D30" i="81"/>
  <c r="D29" i="81"/>
  <c r="D28" i="81"/>
  <c r="D27" i="81"/>
  <c r="D26" i="81"/>
  <c r="D25" i="81"/>
  <c r="D24" i="81"/>
  <c r="D23" i="81"/>
  <c r="D22" i="81"/>
  <c r="D21" i="81"/>
  <c r="D20" i="81"/>
  <c r="D19" i="81"/>
  <c r="D18" i="81"/>
  <c r="D17" i="81"/>
  <c r="D16" i="81"/>
  <c r="D15" i="81"/>
  <c r="D14" i="81"/>
  <c r="D13" i="81"/>
  <c r="D12" i="81"/>
  <c r="D11" i="81"/>
  <c r="D10" i="81"/>
  <c r="D9" i="81"/>
  <c r="D8" i="81"/>
  <c r="D7" i="81"/>
  <c r="D6" i="81"/>
  <c r="D5" i="81"/>
  <c r="D4" i="81"/>
  <c r="D3" i="81"/>
  <c r="J19" i="81" l="1"/>
  <c r="G21" i="6" l="1"/>
  <c r="G20" i="6"/>
  <c r="R7" i="80" l="1"/>
  <c r="R6" i="80"/>
  <c r="N14" i="1"/>
  <c r="N8" i="1"/>
  <c r="N7" i="1"/>
  <c r="B59" i="1"/>
  <c r="F17" i="80" l="1"/>
  <c r="C17" i="80"/>
  <c r="O14" i="80"/>
  <c r="M14" i="80"/>
  <c r="L14" i="80"/>
  <c r="M15" i="80" s="1"/>
  <c r="I14" i="80"/>
  <c r="M17" i="80" s="1"/>
  <c r="H14" i="80"/>
  <c r="D14" i="80"/>
  <c r="Q13" i="80"/>
  <c r="Q12" i="80"/>
  <c r="Q14" i="80" s="1"/>
  <c r="Q15" i="80" s="1"/>
  <c r="Q16" i="80" s="1"/>
  <c r="Q17" i="80" s="1"/>
  <c r="P8" i="80"/>
  <c r="K8" i="80"/>
  <c r="J8" i="80"/>
  <c r="E8" i="80"/>
  <c r="E14" i="80" s="1"/>
  <c r="P5" i="80"/>
  <c r="P14" i="80" s="1"/>
  <c r="K5" i="80"/>
  <c r="J5" i="80"/>
  <c r="C11" i="4"/>
  <c r="B7" i="4"/>
  <c r="M16" i="80" l="1"/>
  <c r="E9" i="1"/>
  <c r="E10" i="1"/>
  <c r="E11" i="1"/>
  <c r="E12" i="1"/>
  <c r="E13" i="1"/>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c r="A19" i="62"/>
  <c r="A12" i="62"/>
  <c r="B58" i="72" s="1"/>
  <c r="A120" i="9"/>
  <c r="H2" i="52"/>
  <c r="A1" i="52"/>
  <c r="A3" i="53"/>
  <c r="Q26" i="71"/>
  <c r="P26" i="71"/>
  <c r="O26" i="71"/>
  <c r="N26"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F40" i="69" s="1"/>
  <c r="F20" i="69"/>
  <c r="F39" i="69" s="1"/>
  <c r="E10" i="69"/>
  <c r="E9" i="69"/>
  <c r="C7" i="69"/>
  <c r="AC21" i="37"/>
  <c r="W21" i="37"/>
  <c r="AC21" i="34"/>
  <c r="W21" i="34"/>
  <c r="AC21" i="33"/>
  <c r="W21" i="33"/>
  <c r="AB21" i="21"/>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AZ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s="1"/>
  <c r="D64" i="35"/>
  <c r="E6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F81" i="21"/>
  <c r="G81" i="21" s="1"/>
  <c r="D77" i="21"/>
  <c r="E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c r="Q35" i="21"/>
  <c r="Z35" i="21"/>
  <c r="Q36" i="21"/>
  <c r="Z36" i="2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0" i="11"/>
  <c r="E9" i="11"/>
  <c r="BB12" i="3"/>
  <c r="F7" i="12"/>
  <c r="D7" i="12"/>
  <c r="E7" i="12"/>
  <c r="G7" i="12"/>
  <c r="K5" i="3"/>
  <c r="J5" i="3"/>
  <c r="F19" i="6" s="1"/>
  <c r="F27" i="6" s="1"/>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J27" i="39"/>
  <c r="AC27" i="39" s="1"/>
  <c r="F27" i="39"/>
  <c r="F11" i="21"/>
  <c r="S11" i="21" s="1"/>
  <c r="S40" i="21"/>
  <c r="C25" i="39"/>
  <c r="C27" i="39"/>
  <c r="C21" i="39"/>
  <c r="H11" i="39"/>
  <c r="AB11" i="39" s="1"/>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23" i="35"/>
  <c r="AA23" i="35"/>
  <c r="J32" i="35"/>
  <c r="AC32" i="35" s="1"/>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s="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S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W44" i="21"/>
  <c r="U26" i="21"/>
  <c r="AC46" i="21"/>
  <c r="U12" i="21"/>
  <c r="F43" i="33"/>
  <c r="AA43" i="33"/>
  <c r="W15" i="34"/>
  <c r="AC15" i="34"/>
  <c r="W40" i="37"/>
  <c r="G107" i="37"/>
  <c r="H107" i="37"/>
  <c r="I107" i="37"/>
  <c r="J107" i="37"/>
  <c r="K107" i="37"/>
  <c r="L107" i="37"/>
  <c r="M107" i="37"/>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AC43" i="39"/>
  <c r="W43" i="39"/>
  <c r="U45" i="39"/>
  <c r="AB45" i="39"/>
  <c r="AB44" i="39"/>
  <c r="U44" i="39"/>
  <c r="H37" i="39"/>
  <c r="AB37" i="39"/>
  <c r="AC37" i="39"/>
  <c r="W37" i="39"/>
  <c r="H25" i="39"/>
  <c r="AB25" i="39" s="1"/>
  <c r="J25" i="39"/>
  <c r="F25" i="39"/>
  <c r="AA25" i="39" s="1"/>
  <c r="F15" i="39"/>
  <c r="AA15" i="39" s="1"/>
  <c r="H15" i="39"/>
  <c r="U15" i="39" s="1"/>
  <c r="J15" i="39"/>
  <c r="W15" i="39" s="1"/>
  <c r="H41" i="39"/>
  <c r="AB41" i="39" s="1"/>
  <c r="W27" i="39"/>
  <c r="AB34" i="39"/>
  <c r="S42" i="39"/>
  <c r="W9"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S32" i="39" s="1"/>
  <c r="U31" i="39"/>
  <c r="J21" i="39"/>
  <c r="W21" i="39" s="1"/>
  <c r="F21" i="39"/>
  <c r="H21" i="39"/>
  <c r="W19" i="39"/>
  <c r="U19" i="39"/>
  <c r="S17" i="39"/>
  <c r="AA12" i="39"/>
  <c r="S9" i="39"/>
  <c r="U14"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U22" i="35"/>
  <c r="S20" i="35"/>
  <c r="AC20" i="35"/>
  <c r="S22"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AC40" i="21"/>
  <c r="E85" i="21"/>
  <c r="F23" i="21" s="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W25" i="39"/>
  <c r="AC25" i="39"/>
  <c r="U13" i="39"/>
  <c r="AB13" i="39"/>
  <c r="AA13" i="39"/>
  <c r="S13" i="39"/>
  <c r="AA14" i="39"/>
  <c r="U43" i="39"/>
  <c r="AB43" i="39"/>
  <c r="U11" i="39"/>
  <c r="AA27" i="39"/>
  <c r="S27" i="39"/>
  <c r="W17" i="39"/>
  <c r="AC17" i="39"/>
  <c r="S23" i="39"/>
  <c r="AA45" i="39"/>
  <c r="AB39" i="39"/>
  <c r="U38" i="39"/>
  <c r="S8" i="39"/>
  <c r="S20" i="36"/>
  <c r="AC25" i="36"/>
  <c r="U32" i="36"/>
  <c r="W29" i="36"/>
  <c r="AC20" i="36"/>
  <c r="U25" i="36"/>
  <c r="AB28" i="36"/>
  <c r="AA13" i="36"/>
  <c r="W9" i="36"/>
  <c r="W22" i="36"/>
  <c r="W23" i="36"/>
  <c r="S9" i="36"/>
  <c r="AB20" i="35"/>
  <c r="AC25" i="35"/>
  <c r="U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AA26" i="21"/>
  <c r="AB14" i="21"/>
  <c r="AB46" i="21"/>
  <c r="U40" i="21"/>
  <c r="AB31" i="21"/>
  <c r="U31" i="21"/>
  <c r="U13" i="21"/>
  <c r="AB13" i="21"/>
  <c r="S35" i="21"/>
  <c r="AC19" i="21"/>
  <c r="W39" i="21"/>
  <c r="AC14" i="21"/>
  <c r="W30" i="21"/>
  <c r="S46" i="21"/>
  <c r="H45" i="21"/>
  <c r="U45" i="21"/>
  <c r="F29" i="21"/>
  <c r="S29" i="21" s="1"/>
  <c r="F13" i="21"/>
  <c r="AA13" i="21"/>
  <c r="AC38" i="21"/>
  <c r="H32" i="21"/>
  <c r="AB32" i="21" s="1"/>
  <c r="H9" i="21"/>
  <c r="J9" i="21"/>
  <c r="W9" i="21" s="1"/>
  <c r="J32" i="21"/>
  <c r="W32" i="21" s="1"/>
  <c r="F32" i="21"/>
  <c r="AA32" i="21" s="1"/>
  <c r="AA31" i="21"/>
  <c r="S19" i="21"/>
  <c r="S9" i="21"/>
  <c r="AA9" i="21"/>
  <c r="K141" i="21"/>
  <c r="K144" i="21"/>
  <c r="K143" i="21"/>
  <c r="U27" i="21"/>
  <c r="AB25" i="21"/>
  <c r="AB44" i="21"/>
  <c r="AA30" i="21"/>
  <c r="W13" i="21"/>
  <c r="W42" i="21"/>
  <c r="AC45" i="21"/>
  <c r="K145" i="21"/>
  <c r="W25" i="21"/>
  <c r="W31" i="21"/>
  <c r="S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W32" i="39" s="1"/>
  <c r="H32" i="39"/>
  <c r="AB32" i="39" s="1"/>
  <c r="AA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W23" i="21" s="1"/>
  <c r="S13" i="21"/>
  <c r="D6" i="52"/>
  <c r="AP7" i="1"/>
  <c r="AB45" i="21"/>
  <c r="AB9" i="21"/>
  <c r="U9" i="21"/>
  <c r="U32" i="39"/>
  <c r="AC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F6" i="67"/>
  <c r="F42" i="67"/>
  <c r="M6" i="15"/>
  <c r="J15" i="67"/>
  <c r="E11" i="76"/>
  <c r="F36" i="67"/>
  <c r="F16" i="15"/>
  <c r="D5" i="73"/>
  <c r="B13" i="76"/>
  <c r="F8" i="67"/>
  <c r="E13" i="76"/>
  <c r="M8" i="67"/>
  <c r="F7" i="67"/>
  <c r="M28" i="15"/>
  <c r="M24" i="67"/>
  <c r="M26" i="15"/>
  <c r="F6" i="15"/>
  <c r="F13" i="15"/>
  <c r="M22" i="67"/>
  <c r="AO13" i="1"/>
  <c r="F26" i="67"/>
  <c r="D6" i="73"/>
  <c r="M23" i="15"/>
  <c r="E2" i="68"/>
  <c r="F26" i="15"/>
  <c r="M8" i="15"/>
  <c r="D4" i="73"/>
  <c r="C76" i="67"/>
  <c r="M9" i="67"/>
  <c r="E7" i="76"/>
  <c r="F37" i="15"/>
  <c r="E9" i="76"/>
  <c r="F9" i="67"/>
  <c r="F9" i="15"/>
  <c r="B12" i="76"/>
  <c r="L48" i="67"/>
  <c r="D7" i="73"/>
  <c r="M9" i="15"/>
  <c r="F4" i="73"/>
  <c r="M26" i="67"/>
  <c r="L47" i="67"/>
  <c r="F5" i="73"/>
  <c r="B8" i="76"/>
  <c r="E8" i="76"/>
  <c r="E10" i="76"/>
  <c r="M29" i="15"/>
  <c r="E12" i="76"/>
  <c r="F38" i="15"/>
  <c r="F7" i="15"/>
  <c r="B10" i="76"/>
  <c r="L48" i="15"/>
  <c r="B9" i="76"/>
  <c r="B7" i="76"/>
  <c r="F7" i="73"/>
  <c r="F16" i="67"/>
  <c r="F6" i="73"/>
  <c r="F13" i="67"/>
  <c r="F38" i="67"/>
  <c r="F43" i="67"/>
  <c r="M24" i="15"/>
  <c r="M28" i="67"/>
  <c r="C76" i="15"/>
  <c r="F42" i="15"/>
  <c r="J15" i="15"/>
  <c r="M23" i="67"/>
  <c r="B11" i="76"/>
  <c r="F3" i="73"/>
  <c r="M22" i="15"/>
  <c r="F37" i="67"/>
  <c r="F43" i="15"/>
  <c r="L47" i="15"/>
  <c r="M6" i="67"/>
  <c r="F8" i="15"/>
  <c r="D3" i="73"/>
  <c r="F40" i="15"/>
  <c r="F20" i="31"/>
  <c r="M29" i="67"/>
  <c r="E2" i="69"/>
  <c r="F36" i="15"/>
  <c r="AC23" i="21" l="1"/>
  <c r="H23" i="21"/>
  <c r="AB23" i="21" s="1"/>
  <c r="E7" i="21"/>
  <c r="G7" i="21"/>
  <c r="I7" i="21"/>
  <c r="F8" i="1"/>
  <c r="G8" i="1" s="1"/>
  <c r="F6" i="1"/>
  <c r="G6" i="1" s="1"/>
  <c r="C10" i="21"/>
  <c r="C10" i="39"/>
  <c r="F85" i="21"/>
  <c r="G85" i="21" s="1"/>
  <c r="H19" i="21"/>
  <c r="AB19" i="21" s="1"/>
  <c r="U43" i="21"/>
  <c r="H113" i="21"/>
  <c r="H37" i="21"/>
  <c r="U37" i="21" s="1"/>
  <c r="F37" i="21"/>
  <c r="J37" i="21"/>
  <c r="W37" i="21" s="1"/>
  <c r="AA36" i="21"/>
  <c r="U35" i="21"/>
  <c r="U34" i="21"/>
  <c r="S34" i="21"/>
  <c r="S39" i="21"/>
  <c r="AA38" i="21"/>
  <c r="AB38" i="21"/>
  <c r="S32" i="21"/>
  <c r="U32" i="21"/>
  <c r="AC27" i="21"/>
  <c r="W27" i="21"/>
  <c r="W29" i="21"/>
  <c r="AC29" i="21"/>
  <c r="AA29" i="21"/>
  <c r="S23" i="21"/>
  <c r="AA23" i="21"/>
  <c r="AC21" i="21"/>
  <c r="S21" i="21"/>
  <c r="U19" i="21"/>
  <c r="H17" i="21"/>
  <c r="AB17" i="21" s="1"/>
  <c r="J17" i="21"/>
  <c r="F79" i="21"/>
  <c r="G79" i="21" s="1"/>
  <c r="F17" i="21"/>
  <c r="U17" i="21"/>
  <c r="F15" i="21"/>
  <c r="J15" i="21"/>
  <c r="F77" i="21"/>
  <c r="G77" i="21" s="1"/>
  <c r="H15" i="21"/>
  <c r="U15" i="21" s="1"/>
  <c r="AC9" i="21"/>
  <c r="H16" i="35"/>
  <c r="F66" i="35"/>
  <c r="G66" i="35" s="1"/>
  <c r="J16" i="35"/>
  <c r="AC16" i="35" s="1"/>
  <c r="F16" i="35"/>
  <c r="W16" i="35"/>
  <c r="AA29" i="35"/>
  <c r="F14" i="35"/>
  <c r="AA14" i="35" s="1"/>
  <c r="H14" i="35"/>
  <c r="AB14" i="35" s="1"/>
  <c r="F64" i="35"/>
  <c r="G64" i="35" s="1"/>
  <c r="J14" i="35"/>
  <c r="U14" i="35"/>
  <c r="U42" i="39"/>
  <c r="H123" i="39"/>
  <c r="I123" i="39" s="1"/>
  <c r="J123" i="39" s="1"/>
  <c r="K123" i="39" s="1"/>
  <c r="L123" i="39" s="1"/>
  <c r="M123" i="39" s="1"/>
  <c r="F41" i="39"/>
  <c r="S41" i="39" s="1"/>
  <c r="W40" i="39"/>
  <c r="AC41" i="39"/>
  <c r="U41" i="39"/>
  <c r="U40" i="39"/>
  <c r="W34" i="39"/>
  <c r="AC31" i="39"/>
  <c r="S31" i="39"/>
  <c r="AB27" i="39"/>
  <c r="U25" i="39"/>
  <c r="W23" i="39"/>
  <c r="S15" i="39"/>
  <c r="AC13" i="39"/>
  <c r="S11" i="39"/>
  <c r="U9" i="39"/>
  <c r="E19" i="6"/>
  <c r="C7" i="12" s="1"/>
  <c r="AZ29" i="3"/>
  <c r="BL30" i="3"/>
  <c r="BL32" i="3"/>
  <c r="AZ32" i="3" s="1"/>
  <c r="AZ34" i="3"/>
  <c r="BA25" i="3"/>
  <c r="AZ25" i="3" s="1"/>
  <c r="BA27" i="3"/>
  <c r="AZ27" i="3" s="1"/>
  <c r="C21" i="68"/>
  <c r="C40" i="69"/>
  <c r="E32" i="6"/>
  <c r="AZ28" i="3"/>
  <c r="AZ30" i="3"/>
  <c r="BL31" i="3"/>
  <c r="AZ31" i="3" s="1"/>
  <c r="BA18" i="3"/>
  <c r="AZ18" i="3" s="1"/>
  <c r="BA21" i="3"/>
  <c r="AZ21" i="3" s="1"/>
  <c r="BA22" i="3"/>
  <c r="AZ22" i="3" s="1"/>
  <c r="BA23" i="3"/>
  <c r="AZ23" i="3" s="1"/>
  <c r="BA24" i="3"/>
  <c r="AZ24" i="3" s="1"/>
  <c r="G5" i="3"/>
  <c r="B3" i="3" s="1"/>
  <c r="E453" i="3" s="1"/>
  <c r="AZ26" i="3"/>
  <c r="BL5" i="3"/>
  <c r="G28" i="6"/>
  <c r="E28" i="6" s="1"/>
  <c r="K14" i="1" s="1"/>
  <c r="F29" i="6"/>
  <c r="F30" i="6" s="1"/>
  <c r="K56" i="9"/>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14" i="6"/>
  <c r="E63" i="39" s="1"/>
  <c r="I4" i="6"/>
  <c r="G3" i="43" s="1"/>
  <c r="F26" i="43" s="1"/>
  <c r="G30" i="6"/>
  <c r="G31"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569" i="3"/>
  <c r="E390" i="3"/>
  <c r="AR6" i="3"/>
  <c r="E561" i="3"/>
  <c r="E538" i="3"/>
  <c r="E439" i="3"/>
  <c r="E380" i="3"/>
  <c r="E231" i="3"/>
  <c r="E216" i="3"/>
  <c r="E185" i="3"/>
  <c r="E261" i="3"/>
  <c r="E528"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D9" i="68"/>
  <c r="C16" i="15"/>
  <c r="C16" i="67"/>
  <c r="G1" i="73"/>
  <c r="U23" i="21" l="1"/>
  <c r="J10" i="21"/>
  <c r="H10" i="21"/>
  <c r="F10" i="21"/>
  <c r="S37" i="21"/>
  <c r="AA37" i="21"/>
  <c r="AA17" i="21"/>
  <c r="S17" i="21"/>
  <c r="W17" i="21"/>
  <c r="AC17" i="21"/>
  <c r="AC15" i="21"/>
  <c r="W15" i="21"/>
  <c r="AB15" i="21"/>
  <c r="S15" i="21"/>
  <c r="AA15" i="21"/>
  <c r="S16" i="35"/>
  <c r="AA16" i="35"/>
  <c r="U16" i="35"/>
  <c r="AB16" i="35"/>
  <c r="S14" i="35"/>
  <c r="W14" i="35"/>
  <c r="AC14" i="35"/>
  <c r="AA41" i="39"/>
  <c r="K6" i="1"/>
  <c r="AP6" i="1" s="1"/>
  <c r="C36" i="69" s="1"/>
  <c r="H26" i="43"/>
  <c r="E583" i="3"/>
  <c r="X6" i="3"/>
  <c r="E336" i="3"/>
  <c r="E246" i="3"/>
  <c r="E293" i="3"/>
  <c r="E385" i="3"/>
  <c r="E518" i="3"/>
  <c r="AI6" i="3"/>
  <c r="E578" i="3"/>
  <c r="E423" i="3"/>
  <c r="E382" i="3"/>
  <c r="E263" i="3"/>
  <c r="E245" i="3"/>
  <c r="E191" i="3"/>
  <c r="E61" i="3"/>
  <c r="E135" i="3"/>
  <c r="E290" i="3"/>
  <c r="E161" i="3"/>
  <c r="E117" i="3"/>
  <c r="E535" i="3"/>
  <c r="E550" i="3"/>
  <c r="E445" i="3"/>
  <c r="E260" i="3"/>
  <c r="E172" i="3"/>
  <c r="E565" i="3"/>
  <c r="E304" i="3"/>
  <c r="E237" i="3"/>
  <c r="E169" i="3"/>
  <c r="E298" i="3"/>
  <c r="E321" i="3"/>
  <c r="E338" i="3"/>
  <c r="E418" i="3"/>
  <c r="E506" i="3"/>
  <c r="E523" i="3"/>
  <c r="S6" i="3"/>
  <c r="E229" i="3"/>
  <c r="E322" i="3"/>
  <c r="E26" i="43"/>
  <c r="D26" i="43" s="1"/>
  <c r="C25" i="43" s="1"/>
  <c r="E395" i="3"/>
  <c r="E563" i="3"/>
  <c r="E415" i="3"/>
  <c r="E278" i="3"/>
  <c r="E114" i="3"/>
  <c r="E69" i="3"/>
  <c r="E130" i="3"/>
  <c r="E189" i="3"/>
  <c r="E230" i="3"/>
  <c r="E215" i="3"/>
  <c r="E294" i="3"/>
  <c r="E335" i="3"/>
  <c r="E320" i="3"/>
  <c r="E387" i="3"/>
  <c r="E407" i="3"/>
  <c r="AB6" i="3"/>
  <c r="V6" i="3"/>
  <c r="M6" i="3"/>
  <c r="E551" i="3"/>
  <c r="E570" i="3"/>
  <c r="E559" i="3"/>
  <c r="E533" i="3"/>
  <c r="E151" i="3"/>
  <c r="E396" i="3"/>
  <c r="E509" i="3"/>
  <c r="E526" i="3"/>
  <c r="E514" i="3"/>
  <c r="E358" i="3"/>
  <c r="E311" i="3"/>
  <c r="E201" i="3"/>
  <c r="E247" i="3"/>
  <c r="E431" i="3"/>
  <c r="E579" i="3"/>
  <c r="AJ6" i="3"/>
  <c r="E268" i="3"/>
  <c r="E217" i="3"/>
  <c r="E270" i="3"/>
  <c r="E97" i="3"/>
  <c r="E143" i="3"/>
  <c r="E285" i="3"/>
  <c r="E337" i="3"/>
  <c r="E359" i="3"/>
  <c r="E410" i="3"/>
  <c r="E574" i="3"/>
  <c r="E516" i="3"/>
  <c r="E239" i="3"/>
  <c r="N6" i="3"/>
  <c r="E282" i="3"/>
  <c r="E553" i="3"/>
  <c r="E366" i="3"/>
  <c r="E125" i="3"/>
  <c r="E555" i="3"/>
  <c r="O6" i="3"/>
  <c r="E388" i="3"/>
  <c r="E328" i="3"/>
  <c r="E508" i="3"/>
  <c r="E426" i="3"/>
  <c r="E305" i="3"/>
  <c r="E153" i="3"/>
  <c r="E343" i="3"/>
  <c r="E501" i="3"/>
  <c r="E530" i="3"/>
  <c r="E319" i="3"/>
  <c r="E175" i="3"/>
  <c r="E53" i="3"/>
  <c r="E59" i="40"/>
  <c r="BA5" i="3"/>
  <c r="E29" i="6"/>
  <c r="K15" i="1" s="1"/>
  <c r="K16" i="1" s="1"/>
  <c r="G16" i="1"/>
  <c r="F10" i="39" s="1"/>
  <c r="S10" i="39" s="1"/>
  <c r="N94" i="46"/>
  <c r="J26" i="43"/>
  <c r="H16" i="1"/>
  <c r="Q16" i="1"/>
  <c r="F27" i="69" s="1"/>
  <c r="F45" i="69" s="1"/>
  <c r="N370" i="46"/>
  <c r="G26" i="43"/>
  <c r="M6" i="1"/>
  <c r="E572" i="3"/>
  <c r="E273" i="3"/>
  <c r="E109" i="3"/>
  <c r="E377" i="3"/>
  <c r="E166" i="3"/>
  <c r="E480" i="3"/>
  <c r="E30" i="3"/>
  <c r="E334" i="3"/>
  <c r="E316" i="3"/>
  <c r="E295" i="3"/>
  <c r="E88" i="3"/>
  <c r="L19" i="6"/>
  <c r="L27" i="6" s="1"/>
  <c r="E121" i="3"/>
  <c r="E531" i="3"/>
  <c r="E441" i="3"/>
  <c r="E29" i="3"/>
  <c r="E44" i="3"/>
  <c r="AM6" i="3"/>
  <c r="E384" i="3"/>
  <c r="E317" i="3"/>
  <c r="E331" i="3"/>
  <c r="E291" i="3"/>
  <c r="E210" i="3"/>
  <c r="E211" i="3"/>
  <c r="E182" i="3"/>
  <c r="E70" i="3"/>
  <c r="E404" i="3"/>
  <c r="P6" i="3"/>
  <c r="E28" i="3"/>
  <c r="E489" i="3"/>
  <c r="E558" i="3"/>
  <c r="E164" i="3"/>
  <c r="AG6" i="3"/>
  <c r="E74" i="3"/>
  <c r="E272" i="3"/>
  <c r="E186" i="3"/>
  <c r="E126" i="3"/>
  <c r="E162" i="3"/>
  <c r="E92" i="3"/>
  <c r="E27" i="3"/>
  <c r="E71" i="3"/>
  <c r="E447" i="3"/>
  <c r="E546" i="3"/>
  <c r="E444" i="3"/>
  <c r="E581" i="3"/>
  <c r="E443" i="3"/>
  <c r="E448" i="3"/>
  <c r="E576" i="3"/>
  <c r="E269" i="3"/>
  <c r="E171" i="3"/>
  <c r="E476" i="3"/>
  <c r="E403" i="3"/>
  <c r="AS6" i="3"/>
  <c r="E557" i="3"/>
  <c r="E345" i="3"/>
  <c r="E400" i="3"/>
  <c r="E485" i="3"/>
  <c r="AO6" i="3"/>
  <c r="Z6" i="3"/>
  <c r="E327" i="3"/>
  <c r="E271" i="3"/>
  <c r="E549" i="3"/>
  <c r="E315" i="3"/>
  <c r="E106" i="3"/>
  <c r="E458" i="3"/>
  <c r="E547" i="3"/>
  <c r="E505" i="3"/>
  <c r="E367" i="3"/>
  <c r="E477" i="3"/>
  <c r="E432" i="3"/>
  <c r="E414" i="3"/>
  <c r="E548" i="3"/>
  <c r="E478" i="3"/>
  <c r="E411" i="3"/>
  <c r="E515" i="3"/>
  <c r="U6" i="3"/>
  <c r="E585" i="3"/>
  <c r="E379" i="3"/>
  <c r="E107" i="3"/>
  <c r="E145" i="3"/>
  <c r="E207" i="3"/>
  <c r="E196" i="3"/>
  <c r="E227" i="3"/>
  <c r="E362" i="3"/>
  <c r="E214" i="3"/>
  <c r="E146" i="3"/>
  <c r="E571" i="3"/>
  <c r="E45" i="3"/>
  <c r="E204" i="3"/>
  <c r="E252" i="3"/>
  <c r="E89" i="3"/>
  <c r="E236" i="3"/>
  <c r="E368" i="3"/>
  <c r="I6" i="3"/>
  <c r="E32" i="3"/>
  <c r="E580" i="3"/>
  <c r="E394" i="3"/>
  <c r="E274" i="3"/>
  <c r="E256" i="3"/>
  <c r="E203" i="3"/>
  <c r="E73" i="3"/>
  <c r="E433" i="3"/>
  <c r="E457" i="3"/>
  <c r="E519" i="3"/>
  <c r="E511" i="3"/>
  <c r="E85" i="3"/>
  <c r="E397" i="3"/>
  <c r="E567" i="3"/>
  <c r="E93" i="3"/>
  <c r="E31" i="3"/>
  <c r="E14" i="3"/>
  <c r="E318" i="3"/>
  <c r="E357" i="3"/>
  <c r="E351" i="3"/>
  <c r="E257" i="3"/>
  <c r="E279" i="3"/>
  <c r="E208" i="3"/>
  <c r="E150" i="3"/>
  <c r="E168" i="3"/>
  <c r="E111" i="3"/>
  <c r="E54" i="3"/>
  <c r="E72" i="3"/>
  <c r="E450" i="3"/>
  <c r="E562" i="3"/>
  <c r="E527" i="3"/>
  <c r="E573" i="3"/>
  <c r="E193" i="3"/>
  <c r="E99" i="3"/>
  <c r="E314" i="3"/>
  <c r="E26" i="3"/>
  <c r="AT6" i="3"/>
  <c r="AZ5" i="3"/>
  <c r="E3" i="6" s="1"/>
  <c r="E475" i="3"/>
  <c r="E471" i="3"/>
  <c r="E537" i="3"/>
  <c r="W6" i="3"/>
  <c r="E288" i="3"/>
  <c r="E438" i="3"/>
  <c r="E474" i="3"/>
  <c r="E529" i="3"/>
  <c r="E532" i="3"/>
  <c r="E313" i="3"/>
  <c r="E224" i="3"/>
  <c r="E157" i="3"/>
  <c r="E306" i="3"/>
  <c r="E352" i="3"/>
  <c r="E136" i="3"/>
  <c r="E461" i="3"/>
  <c r="E122"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206" i="3"/>
  <c r="E232" i="3"/>
  <c r="E251" i="3"/>
  <c r="E370" i="3"/>
  <c r="E364" i="3"/>
  <c r="AF6" i="3"/>
  <c r="E50" i="3"/>
  <c r="E102" i="3"/>
  <c r="E20" i="3"/>
  <c r="E80" i="3"/>
  <c r="E62" i="3"/>
  <c r="E113" i="3"/>
  <c r="E176" i="3"/>
  <c r="E158" i="3"/>
  <c r="E218" i="3"/>
  <c r="E287" i="3"/>
  <c r="E265" i="3"/>
  <c r="E308" i="3"/>
  <c r="E365" i="3"/>
  <c r="E326" i="3"/>
  <c r="E524" i="3"/>
  <c r="E22" i="3"/>
  <c r="E101" i="3"/>
  <c r="E83" i="3"/>
  <c r="E123" i="3"/>
  <c r="E147" i="3"/>
  <c r="E289" i="3"/>
  <c r="E340" i="3"/>
  <c r="E341" i="3"/>
  <c r="E381" i="3"/>
  <c r="Y6" i="3"/>
  <c r="E68" i="3"/>
  <c r="E51" i="3"/>
  <c r="E63" i="3"/>
  <c r="E19" i="3"/>
  <c r="E81" i="3"/>
  <c r="E154" i="3"/>
  <c r="E118" i="3"/>
  <c r="E179" i="3"/>
  <c r="E264" i="3"/>
  <c r="E222" i="3"/>
  <c r="E283" i="3"/>
  <c r="E323" i="3"/>
  <c r="E309" i="3"/>
  <c r="E373" i="3"/>
  <c r="E513" i="3"/>
  <c r="E82" i="3"/>
  <c r="E21"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M14" i="1"/>
  <c r="D5" i="43"/>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AE11" i="1"/>
  <c r="AE6" i="1"/>
  <c r="AE9" i="1"/>
  <c r="F27" i="68"/>
  <c r="AE8" i="1"/>
  <c r="AE12" i="1"/>
  <c r="AE10" i="1"/>
  <c r="AE7" i="1"/>
  <c r="F41" i="67"/>
  <c r="AB10" i="21" l="1"/>
  <c r="U10" i="21"/>
  <c r="AA10" i="21"/>
  <c r="S10" i="21"/>
  <c r="AC10" i="21"/>
  <c r="W10" i="21"/>
  <c r="C29" i="69"/>
  <c r="D27" i="69" s="1"/>
  <c r="C47" i="69"/>
  <c r="D45" i="69" s="1"/>
  <c r="H6" i="3"/>
  <c r="AY6" i="3"/>
  <c r="F28" i="12"/>
  <c r="F27" i="11"/>
  <c r="AA10" i="39"/>
  <c r="J10" i="39"/>
  <c r="W10" i="39" s="1"/>
  <c r="H10" i="39"/>
  <c r="U10" i="39" s="1"/>
  <c r="H10" i="40"/>
  <c r="AB10" i="40" s="1"/>
  <c r="F10" i="40"/>
  <c r="S10" i="40" s="1"/>
  <c r="J10" i="40"/>
  <c r="AC10" i="40" s="1"/>
  <c r="O6" i="1"/>
  <c r="P6" i="1" s="1"/>
  <c r="C13" i="12" s="1"/>
  <c r="AC6" i="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B1" i="74" l="1"/>
  <c r="B14" i="74"/>
  <c r="E6" i="3"/>
  <c r="O16" i="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C44" i="68" s="1"/>
  <c r="D41"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4" i="67"/>
  <c r="C17" i="15"/>
  <c r="C17" i="67"/>
  <c r="B2" i="74" l="1"/>
  <c r="C14" i="74"/>
  <c r="C44" i="11"/>
  <c r="D41" i="11" s="1"/>
  <c r="C24" i="11"/>
  <c r="B24" i="1"/>
  <c r="F11" i="12" s="1"/>
  <c r="B23" i="1"/>
  <c r="C29" i="11"/>
  <c r="D27" i="11" s="1"/>
  <c r="C29" i="68"/>
  <c r="D27" i="68" s="1"/>
  <c r="C28" i="11"/>
  <c r="C27" i="11" s="1"/>
  <c r="C18" i="67"/>
  <c r="C15" i="67"/>
  <c r="H23" i="6"/>
  <c r="C30" i="43"/>
  <c r="C31" i="43"/>
  <c r="H20" i="6"/>
  <c r="R20" i="6" s="1"/>
  <c r="R7" i="1" s="1"/>
  <c r="C38" i="69"/>
  <c r="C35" i="69"/>
  <c r="E12" i="70"/>
  <c r="F34" i="11"/>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11"/>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C18" i="12" l="1"/>
  <c r="F50" i="68"/>
  <c r="F50" i="69"/>
  <c r="C23" i="11"/>
  <c r="C25" i="11"/>
  <c r="C26" i="68"/>
  <c r="D22" i="68" s="1"/>
  <c r="C26" i="11"/>
  <c r="D22" i="11" s="1"/>
  <c r="F34" i="68"/>
  <c r="M59" i="15"/>
  <c r="L59" i="15" s="1"/>
  <c r="M59" i="67"/>
  <c r="C29" i="12"/>
  <c r="D28" i="12" s="1"/>
  <c r="C26" i="12"/>
  <c r="D25" i="12" s="1"/>
  <c r="D8" i="71"/>
  <c r="C7" i="7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Q61" i="15" l="1"/>
  <c r="Q74" i="15"/>
  <c r="C37" i="68"/>
  <c r="C21" i="12"/>
  <c r="C36" i="68"/>
  <c r="C34" i="68"/>
  <c r="C22" i="11"/>
  <c r="C31" i="11" s="1"/>
  <c r="J7" i="2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2" i="12" l="1"/>
  <c r="C38" i="68"/>
  <c r="C35" i="68"/>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C33" i="68" l="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9" i="68" l="1"/>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C46" i="68" l="1"/>
  <c r="C45" i="68" s="1"/>
  <c r="C41" i="68"/>
  <c r="L57" i="67"/>
  <c r="L60" i="67" s="1"/>
  <c r="L46" i="67" s="1"/>
  <c r="Q67" i="67"/>
  <c r="C80" i="67"/>
  <c r="C79" i="67" s="1"/>
  <c r="C40" i="67"/>
  <c r="C45" i="67" s="1"/>
  <c r="C56" i="11"/>
  <c r="C57" i="11" s="1"/>
  <c r="B2" i="2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Q69" i="15" l="1"/>
  <c r="Q68" i="15" s="1"/>
  <c r="B3" i="21"/>
  <c r="C6" i="12" s="1"/>
  <c r="C8" i="12"/>
  <c r="C49" i="68"/>
  <c r="C51"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6"/>
  <c r="D2" i="34"/>
  <c r="L51" i="15"/>
  <c r="D2" i="35"/>
  <c r="Q75" i="67" l="1"/>
  <c r="Q62" i="67"/>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6" i="1"/>
  <c r="AO10" i="1"/>
  <c r="AO8" i="1"/>
  <c r="AO9" i="1"/>
  <c r="AO11" i="1"/>
  <c r="L8" i="12" l="1"/>
  <c r="E8" i="12"/>
  <c r="L46" i="15"/>
  <c r="B2" i="15" s="1"/>
  <c r="D8" i="12" s="1"/>
  <c r="B3" i="35"/>
  <c r="E6" i="12" s="1"/>
  <c r="R48" i="39"/>
  <c r="C48" i="39" s="1"/>
  <c r="Q66" i="15"/>
  <c r="Q75" i="15" s="1"/>
  <c r="Q62" i="15"/>
  <c r="B9" i="70"/>
  <c r="B11"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B3" i="15" l="1"/>
  <c r="D6" i="12" s="1"/>
  <c r="C4" i="12"/>
  <c r="C23" i="12" s="1"/>
  <c r="C27" i="12" s="1"/>
  <c r="B7" i="70"/>
  <c r="B2" i="70" s="1"/>
  <c r="B3" i="70" s="1"/>
  <c r="C31" i="12"/>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5" i="12" l="1"/>
  <c r="C30" i="12"/>
  <c r="C28" i="12" s="1"/>
  <c r="F65" i="39"/>
  <c r="B2" i="39" s="1"/>
  <c r="C42" i="40"/>
  <c r="C43" i="40"/>
  <c r="E47" i="40"/>
  <c r="F47" i="40" s="1"/>
  <c r="E46" i="40"/>
  <c r="F46" i="40" s="1"/>
  <c r="I47" i="40"/>
  <c r="J47" i="40" s="1"/>
  <c r="B3" i="39" l="1"/>
  <c r="C6" i="68"/>
  <c r="C32" i="12"/>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C7" i="68" l="1"/>
  <c r="C5" i="68" s="1"/>
  <c r="D21" i="9"/>
  <c r="D102" i="9"/>
  <c r="B3" i="12"/>
  <c r="D20" i="9"/>
  <c r="C23" i="68" l="1"/>
  <c r="C20" i="68"/>
  <c r="D103" i="9"/>
  <c r="C28" i="68" l="1"/>
  <c r="C27" i="68" s="1"/>
  <c r="C25" i="68"/>
  <c r="C22" i="68" s="1"/>
  <c r="C31" i="68" l="1"/>
  <c r="C52" i="68" s="1"/>
  <c r="B2" i="68" l="1"/>
  <c r="C57" i="68"/>
  <c r="C56" i="68" s="1"/>
  <c r="C19" i="9"/>
  <c r="C21" i="9" l="1"/>
  <c r="C102" i="9"/>
  <c r="G19" i="9"/>
  <c r="G21" i="9" s="1"/>
  <c r="D22" i="9"/>
  <c r="B3" i="68"/>
  <c r="D35" i="9"/>
  <c r="D34" i="9"/>
  <c r="C20" i="9"/>
  <c r="C103" i="9" l="1"/>
  <c r="G20" i="9"/>
  <c r="C32" i="9" s="1"/>
  <c r="C35" i="9" l="1"/>
  <c r="H118" i="9"/>
  <c r="C104" i="9" l="1"/>
  <c r="H119" i="9"/>
  <c r="H5" i="52" s="1"/>
  <c r="I118" i="9"/>
  <c r="H4" i="52"/>
  <c r="H101" i="9"/>
  <c r="D14" i="74"/>
  <c r="C34" i="9"/>
  <c r="D118" i="9" s="1"/>
  <c r="F118" i="9"/>
  <c r="F119" i="9" l="1"/>
  <c r="F5" i="52" s="1"/>
  <c r="B53" i="72" s="1"/>
  <c r="F4" i="52"/>
  <c r="B51" i="72" s="1"/>
  <c r="G118" i="9"/>
  <c r="G4" i="52" s="1"/>
  <c r="B52" i="72" s="1"/>
  <c r="F14" i="74"/>
  <c r="E14" i="74"/>
  <c r="D119" i="9"/>
  <c r="D5" i="52" s="1"/>
  <c r="B49" i="72" s="1"/>
  <c r="D4" i="52"/>
  <c r="B47" i="72" s="1"/>
  <c r="H107" i="9"/>
  <c r="D5" i="53"/>
  <c r="M48" i="9"/>
  <c r="D45" i="9"/>
  <c r="I4" i="52"/>
  <c r="C105" i="9"/>
  <c r="H102" i="9"/>
  <c r="D7" i="53" s="1"/>
  <c r="B21" i="72" s="1"/>
  <c r="E118" i="9" l="1"/>
  <c r="E4" i="52" s="1"/>
  <c r="B48" i="72" s="1"/>
  <c r="D122" i="9"/>
  <c r="G14" i="74" s="1"/>
  <c r="M49" i="9"/>
  <c r="H108" i="9"/>
  <c r="D13" i="53"/>
  <c r="C72" i="9"/>
  <c r="D55" i="9"/>
  <c r="M53" i="9" s="1"/>
  <c r="C93" i="9"/>
  <c r="C86" i="9" s="1"/>
  <c r="D53" i="9"/>
  <c r="C85" i="9"/>
  <c r="C95" i="9" s="1"/>
  <c r="D52" i="9"/>
  <c r="C64" i="9"/>
  <c r="C63" i="9" s="1"/>
  <c r="C67" i="9" s="1"/>
  <c r="C78" i="9"/>
  <c r="C73" i="9" s="1"/>
  <c r="D6" i="53"/>
  <c r="B22" i="72" s="1"/>
  <c r="B20" i="72"/>
  <c r="C79" i="9" l="1"/>
  <c r="C80" i="9" s="1"/>
  <c r="E80" i="9" s="1"/>
  <c r="E81" i="9" s="1"/>
  <c r="D59" i="9"/>
  <c r="M55" i="9" s="1"/>
  <c r="C68" i="9"/>
  <c r="D54" i="9" s="1"/>
  <c r="C96" i="9"/>
  <c r="E96" i="9" s="1"/>
  <c r="E97" i="9" s="1"/>
  <c r="D15" i="53"/>
  <c r="B31" i="72" s="1"/>
  <c r="D123" i="9"/>
  <c r="D9" i="52" s="1"/>
  <c r="D8" i="52"/>
  <c r="D14" i="53"/>
  <c r="B32" i="72" s="1"/>
  <c r="B30" i="72"/>
  <c r="L64" i="9"/>
  <c r="M64" i="9" s="1"/>
  <c r="L66" i="9"/>
  <c r="M66" i="9" s="1"/>
  <c r="L67" i="9"/>
  <c r="M67" i="9" s="1"/>
  <c r="L65" i="9"/>
  <c r="M65" i="9" s="1"/>
  <c r="L68" i="9"/>
  <c r="M68" i="9" s="1"/>
  <c r="L63" i="9"/>
  <c r="M63" i="9" s="1"/>
  <c r="M69" i="9" l="1"/>
  <c r="N69" i="9" s="1"/>
  <c r="C81" i="9"/>
  <c r="C97" i="9"/>
  <c r="D58" i="9" s="1"/>
  <c r="D56" i="9" s="1"/>
  <c r="M54" i="9" s="1"/>
  <c r="N57" i="9" s="1"/>
  <c r="N58" i="9" l="1"/>
  <c r="P57" i="9"/>
  <c r="N59" i="9"/>
  <c r="N61" i="9" l="1"/>
  <c r="N60" i="9"/>
  <c r="D15" i="74" l="1"/>
  <c r="F15" i="74" l="1"/>
  <c r="E15" i="74"/>
  <c r="B5" i="74"/>
  <c r="G15" i="74" l="1"/>
  <c r="B6" i="74" s="1"/>
  <c r="D5" i="74"/>
  <c r="C5"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<sst xmlns="http://schemas.openxmlformats.org/spreadsheetml/2006/main" count="12280" uniqueCount="4741">
  <si>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</si>
  <si>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</si>
  <si>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</si>
  <si>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</si>
  <si>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</si>
  <si>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</si>
  <si>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</si>
  <si>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</si>
  <si>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</si>
  <si>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</si>
  <si>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</si>
  <si>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</si>
  <si>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</si>
  <si>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</si>
  <si>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</si>
  <si>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</si>
  <si>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</si>
  <si>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</si>
  <si>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</si>
  <si>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</si>
  <si>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</si>
  <si>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</si>
  <si>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</si>
  <si>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</si>
  <si>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</si>
  <si>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</si>
  <si>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</si>
  <si>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</si>
  <si>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</si>
  <si>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</si>
  <si>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</si>
  <si>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</si>
  <si>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</si>
  <si>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</si>
  <si>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</si>
  <si>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</si>
  <si>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</si>
  <si>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</si>
  <si>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</si>
  <si>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</si>
  <si>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</si>
  <si>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</si>
  <si>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</si>
  <si>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</si>
  <si>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</si>
  <si>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</si>
  <si>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</si>
  <si>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</si>
  <si>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</si>
  <si>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</si>
  <si>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</si>
  <si>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</si>
  <si>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</si>
  <si>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</si>
  <si>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</si>
  <si>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</si>
  <si>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</si>
  <si>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</si>
  <si>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</si>
  <si>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</si>
  <si>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</si>
  <si>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</si>
  <si>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</si>
  <si>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</si>
  <si>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</si>
  <si>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</si>
  <si>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</si>
  <si>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</si>
  <si>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</si>
  <si>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</si>
  <si>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</si>
  <si>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</si>
  <si>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</si>
  <si>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</si>
  <si>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</si>
  <si>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</si>
  <si>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</si>
  <si>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</si>
  <si>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</si>
  <si>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</si>
  <si>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</si>
  <si>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</si>
  <si>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</si>
  <si>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</si>
  <si>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</si>
  <si>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</si>
  <si>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</si>
  <si>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</si>
  <si>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</si>
  <si>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</si>
  <si>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</si>
  <si>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</si>
  <si>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</si>
  <si>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</si>
  <si>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</si>
  <si>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</si>
  <si>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</si>
  <si>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</si>
  <si>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</si>
  <si>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</si>
  <si>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</si>
  <si>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</si>
  <si>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</si>
  <si>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</si>
  <si>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</si>
  <si>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</si>
  <si>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</si>
  <si>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</si>
  <si>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</si>
  <si>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</si>
  <si>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</si>
  <si>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</si>
  <si>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</si>
  <si>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</si>
  <si>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</si>
  <si>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</si>
  <si>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</si>
  <si>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</si>
  <si>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</si>
  <si>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</si>
  <si>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</si>
  <si>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</si>
  <si>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</si>
  <si>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</si>
  <si>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</si>
  <si>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</si>
  <si>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</si>
  <si>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</si>
  <si>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</si>
  <si>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</si>
  <si>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</si>
  <si>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</si>
  <si>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</si>
  <si>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</si>
  <si>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</si>
  <si>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</si>
  <si>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</si>
  <si>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</si>
  <si>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</si>
  <si>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</si>
  <si>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</si>
  <si>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</si>
  <si>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</si>
  <si>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</si>
  <si>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</si>
  <si>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</si>
  <si>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</si>
  <si>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</si>
  <si>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</si>
  <si>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</si>
  <si>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</si>
  <si>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</si>
  <si>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</si>
  <si>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</si>
  <si>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</si>
  <si>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</si>
  <si>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</si>
  <si>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</si>
  <si>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</si>
  <si>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</si>
  <si>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</si>
  <si>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</si>
  <si>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</si>
  <si>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</si>
  <si>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</si>
  <si>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</si>
  <si>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</si>
  <si>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</si>
  <si>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</si>
  <si>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</si>
  <si>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</si>
  <si>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</si>
  <si>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</si>
  <si>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</si>
  <si>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</si>
  <si>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</si>
  <si>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</si>
  <si>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</si>
  <si>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</si>
  <si>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</si>
  <si>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</si>
  <si>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</si>
  <si>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</si>
  <si>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</si>
  <si>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</si>
  <si>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</si>
  <si>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</si>
  <si>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</si>
  <si>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</si>
  <si>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</si>
  <si>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</si>
  <si>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</si>
  <si>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</si>
  <si>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</si>
  <si>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</si>
  <si>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</si>
  <si>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</si>
  <si>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</si>
  <si>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</si>
  <si>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</si>
  <si>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</si>
  <si>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</si>
  <si>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</si>
  <si>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</si>
  <si>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</si>
  <si>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</si>
  <si>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</si>
  <si>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</si>
  <si>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</si>
  <si>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</si>
  <si>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</si>
  <si>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</si>
  <si>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</si>
  <si>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</si>
  <si>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</si>
  <si>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</si>
  <si>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</si>
  <si>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</si>
  <si>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</si>
  <si>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</si>
  <si>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</si>
  <si>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</si>
  <si>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</si>
  <si>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</si>
  <si>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</si>
  <si>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</si>
  <si>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</si>
  <si>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</si>
  <si>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</si>
  <si>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</si>
  <si>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</si>
  <si>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</si>
  <si>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</si>
  <si>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</si>
  <si>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</si>
  <si>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</si>
  <si>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</si>
  <si>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</si>
  <si>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</si>
  <si>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</si>
  <si>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</si>
  <si>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</si>
  <si>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</si>
  <si>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</si>
  <si>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</si>
  <si>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</si>
  <si>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</si>
  <si>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</si>
  <si>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</si>
  <si>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</si>
  <si>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</si>
  <si>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</si>
  <si>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</si>
  <si>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</si>
  <si>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</si>
  <si>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</si>
  <si>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</si>
  <si>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</si>
  <si>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</si>
  <si>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</si>
  <si>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</si>
  <si>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</si>
  <si>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</si>
  <si>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</si>
  <si>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</si>
  <si>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</si>
  <si>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</si>
  <si>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</si>
  <si>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</si>
  <si>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</si>
  <si>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</si>
  <si>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</si>
  <si>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</si>
  <si>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</si>
  <si>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</si>
  <si>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</si>
  <si>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</si>
  <si>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</si>
  <si>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</si>
  <si>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</si>
  <si>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</si>
  <si>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</si>
  <si>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</si>
  <si>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</si>
  <si>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</si>
  <si>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</si>
  <si>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</si>
  <si>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</si>
  <si>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</si>
  <si>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</si>
  <si>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</si>
  <si>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</si>
  <si>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</si>
  <si>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</si>
  <si>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</si>
  <si>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</si>
  <si>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</si>
  <si>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</si>
  <si>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</si>
  <si>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</si>
  <si>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</si>
  <si>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</si>
  <si>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</si>
  <si>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</si>
  <si>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</si>
  <si>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</si>
  <si>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</si>
  <si>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</si>
  <si>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</si>
  <si>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</si>
  <si>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</si>
  <si>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</si>
  <si>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</si>
  <si>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</si>
  <si>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</si>
  <si>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</si>
  <si>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</si>
  <si>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</si>
  <si>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</si>
  <si>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</si>
  <si>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</si>
  <si>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</si>
  <si>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</si>
  <si>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</si>
  <si>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</si>
  <si>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</si>
  <si>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</si>
  <si>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</si>
  <si>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</si>
  <si>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</si>
  <si>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</si>
  <si>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</si>
  <si>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</si>
  <si>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</si>
  <si>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</si>
  <si>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</si>
  <si>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</si>
  <si>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</si>
  <si>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</si>
  <si>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</si>
  <si>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</si>
  <si>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</si>
  <si>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</si>
  <si>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</si>
  <si>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</si>
  <si>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</si>
  <si>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</si>
  <si>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</si>
  <si>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</si>
  <si>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</si>
  <si>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</si>
  <si>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</si>
  <si>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</si>
  <si>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</si>
  <si>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</si>
  <si>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</si>
  <si>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</si>
  <si>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</si>
  <si>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</si>
  <si>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</si>
  <si>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</si>
  <si>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</si>
  <si>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</si>
  <si>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</si>
  <si>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</si>
  <si>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</si>
  <si>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</si>
  <si>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</si>
  <si>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</si>
  <si>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</si>
  <si>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</si>
  <si>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</si>
  <si>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</si>
  <si>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</si>
  <si>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</si>
  <si>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</si>
  <si>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</si>
  <si>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</si>
  <si>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</si>
  <si>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</si>
  <si>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</si>
  <si>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</si>
  <si>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</si>
  <si>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</si>
  <si>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</si>
  <si>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</si>
  <si>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</si>
  <si>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</si>
  <si>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</si>
  <si>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</si>
  <si>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</si>
  <si>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</si>
  <si>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</si>
  <si>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</si>
  <si>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</si>
  <si>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</si>
  <si>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</si>
  <si>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</si>
  <si>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</si>
  <si>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</si>
  <si>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</si>
  <si>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</si>
  <si>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</si>
  <si>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</si>
  <si>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</si>
  <si>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</si>
  <si>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</si>
  <si>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</si>
  <si>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</si>
  <si>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</si>
  <si>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</si>
  <si>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</si>
  <si>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</si>
  <si>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</si>
  <si>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</si>
  <si>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</si>
  <si>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</si>
  <si>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</si>
  <si>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</si>
  <si>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</si>
  <si>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</si>
  <si>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</si>
  <si>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</si>
  <si>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</si>
  <si>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</si>
  <si>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</si>
  <si>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</si>
  <si>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</si>
  <si>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</si>
  <si>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</si>
  <si>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</si>
  <si>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</si>
  <si>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</si>
  <si>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</si>
  <si>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</si>
  <si>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</si>
  <si>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</si>
  <si>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</si>
  <si>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</si>
  <si>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</si>
  <si>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</si>
  <si>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</si>
  <si>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</si>
  <si>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</si>
  <si>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</si>
  <si>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</si>
  <si>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</si>
  <si>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</si>
  <si>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</si>
  <si>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</si>
  <si>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</si>
  <si>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</si>
  <si>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</si>
  <si>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</si>
  <si>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</si>
  <si>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</si>
  <si>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</si>
  <si>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</si>
  <si>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</si>
  <si>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</si>
  <si>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</si>
  <si>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</si>
  <si>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</si>
  <si>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</si>
  <si>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</si>
  <si>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</si>
  <si>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</si>
  <si>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</si>
  <si>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</si>
  <si>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</si>
  <si>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</si>
  <si>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</si>
  <si>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</si>
  <si>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</si>
  <si>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</si>
  <si>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</si>
  <si>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</si>
  <si>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</si>
  <si>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</si>
  <si>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</si>
  <si>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</si>
  <si>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</si>
  <si>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</si>
  <si>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</si>
  <si>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</si>
  <si>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</si>
  <si>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</si>
  <si>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</si>
  <si>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</si>
  <si>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</si>
  <si>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</si>
  <si>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</si>
  <si>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</si>
  <si>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</si>
  <si>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</si>
  <si>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</si>
  <si>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</si>
  <si>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</si>
  <si>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</si>
  <si>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</si>
  <si>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</si>
  <si>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</si>
  <si>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</si>
  <si>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</si>
  <si>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</si>
  <si>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</si>
  <si>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</si>
  <si>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</si>
  <si>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</si>
  <si>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</si>
  <si>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</si>
  <si>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</si>
  <si>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</si>
  <si>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</si>
  <si>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</si>
  <si>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</si>
  <si>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</si>
  <si>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</si>
  <si>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</si>
  <si>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</si>
  <si>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</si>
  <si>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</si>
  <si>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</si>
  <si>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</si>
  <si>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</si>
  <si>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</si>
  <si>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</si>
  <si>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</si>
  <si>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</si>
  <si>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</si>
  <si>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</si>
  <si>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</si>
  <si>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</si>
  <si>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</si>
  <si>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</si>
  <si>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</si>
  <si>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</si>
  <si>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</si>
  <si>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</si>
  <si>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</si>
  <si>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</si>
  <si>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</si>
  <si>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</si>
  <si>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</si>
  <si>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</si>
  <si>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</si>
  <si>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</si>
  <si>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</si>
  <si>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</si>
  <si>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</si>
  <si>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</si>
  <si>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</si>
  <si>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</si>
  <si>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</si>
  <si>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</si>
  <si>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</si>
  <si>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</si>
  <si>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</si>
  <si>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</si>
  <si>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</si>
  <si>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</si>
  <si>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</si>
  <si>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</si>
  <si>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</si>
  <si>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</si>
  <si>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</si>
  <si>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</si>
  <si>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</si>
  <si>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</si>
  <si>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</si>
  <si>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</si>
  <si>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</si>
  <si>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</si>
  <si>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</si>
  <si>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</si>
  <si>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</si>
  <si>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</si>
  <si>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</si>
  <si>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</si>
  <si>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</si>
  <si>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</si>
  <si>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</si>
  <si>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</si>
  <si>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</si>
  <si>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</si>
  <si>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</si>
  <si>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</si>
  <si>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</si>
  <si>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</si>
  <si>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</si>
  <si>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</si>
  <si>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</si>
  <si>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</si>
  <si>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</si>
  <si>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</si>
  <si>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</si>
  <si>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</si>
  <si>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</si>
  <si>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</si>
  <si>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</si>
  <si>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</si>
  <si>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</si>
  <si>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</si>
  <si>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</si>
  <si>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</si>
  <si>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</si>
  <si>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</si>
  <si>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</si>
  <si>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</si>
  <si>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</si>
  <si>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</si>
  <si>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</si>
  <si>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</si>
  <si>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</si>
  <si>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</si>
  <si>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</si>
  <si>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</si>
  <si>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</si>
  <si>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</si>
  <si>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</si>
  <si>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</si>
  <si>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</si>
  <si>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</si>
  <si>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</si>
  <si>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</si>
  <si>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</si>
  <si>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</si>
  <si>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</si>
  <si>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</si>
  <si>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</si>
  <si>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</si>
  <si>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</si>
  <si>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</si>
  <si>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</si>
  <si>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</si>
  <si>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</si>
  <si>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</si>
  <si>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</si>
  <si>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</si>
  <si>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</si>
  <si>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</si>
  <si>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</si>
  <si>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</si>
  <si>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</si>
  <si>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</si>
  <si>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</si>
  <si>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</si>
  <si>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</si>
  <si>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</si>
  <si>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</si>
  <si>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</si>
  <si>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</si>
  <si>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</si>
  <si>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</si>
  <si>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</si>
  <si>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</si>
  <si>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</si>
  <si>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</si>
  <si>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</si>
  <si>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</si>
  <si>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</si>
  <si>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</si>
  <si>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</si>
  <si>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</si>
  <si>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</si>
  <si>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</si>
  <si>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</si>
  <si>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</si>
  <si>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</si>
  <si>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</si>
  <si>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</si>
  <si>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</si>
  <si>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</si>
  <si>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</si>
  <si>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</si>
  <si>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</si>
  <si>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</si>
  <si>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</si>
  <si>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</si>
  <si>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</si>
  <si>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</si>
  <si>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</si>
  <si>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</si>
  <si>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</si>
  <si>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</si>
  <si>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</si>
  <si>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</si>
  <si>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</si>
  <si>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</si>
  <si>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</si>
  <si>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</si>
  <si>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</si>
  <si>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</si>
  <si>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</si>
  <si>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</si>
  <si>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</si>
  <si>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</si>
  <si>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</si>
  <si>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</si>
  <si>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</si>
  <si>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</si>
  <si>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</si>
  <si>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</si>
  <si>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</si>
  <si>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</si>
  <si>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</si>
  <si>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</si>
  <si>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</si>
  <si>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</si>
  <si>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</si>
  <si>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</si>
  <si>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</si>
  <si>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</si>
  <si>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</si>
  <si>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</si>
  <si>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</si>
  <si>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</si>
  <si>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</si>
  <si>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</si>
  <si>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</si>
  <si>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</si>
  <si>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</si>
  <si>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</si>
  <si>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</si>
  <si>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</si>
  <si>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</si>
  <si>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</si>
  <si>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</si>
  <si>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</si>
  <si>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</si>
  <si>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</si>
  <si>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</si>
  <si>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</si>
  <si>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</si>
  <si>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</si>
  <si>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</si>
  <si>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</si>
  <si>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</si>
  <si>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</si>
  <si>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</si>
  <si>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</si>
  <si>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</si>
  <si>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</si>
  <si>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</si>
  <si>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</si>
  <si>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</si>
  <si>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</si>
  <si>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</si>
  <si>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</si>
  <si>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</si>
  <si>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</si>
  <si>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</si>
  <si>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</si>
  <si>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</si>
  <si>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</si>
  <si>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</si>
  <si>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</si>
  <si>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</si>
  <si>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</si>
  <si>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</si>
  <si>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</si>
  <si>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</si>
  <si>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</si>
  <si>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</si>
  <si>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</si>
  <si>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</si>
  <si>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</si>
  <si>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</si>
  <si>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</si>
  <si>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</si>
  <si>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</si>
  <si>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</si>
  <si>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</si>
  <si>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</si>
  <si>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</si>
  <si>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</si>
  <si>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</si>
  <si>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</si>
  <si>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</si>
  <si>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</si>
  <si>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</si>
  <si>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</si>
  <si>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</si>
  <si>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</si>
  <si>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</si>
  <si>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</si>
  <si>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</si>
  <si>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</si>
  <si>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</si>
  <si>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</si>
  <si>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</si>
  <si>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</si>
  <si>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</si>
  <si>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</si>
  <si>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</si>
  <si>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</si>
  <si>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</si>
  <si>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</si>
  <si>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</si>
  <si>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</si>
  <si>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</si>
  <si>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</si>
  <si>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</si>
  <si>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</si>
  <si>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</si>
  <si>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</si>
  <si>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</si>
  <si>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</si>
  <si>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</si>
  <si>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</si>
  <si>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</si>
  <si>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</si>
  <si>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</si>
  <si>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</si>
  <si>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</si>
  <si>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</si>
  <si>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</si>
  <si>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</si>
  <si>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</si>
  <si>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</si>
  <si>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</si>
  <si>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</si>
  <si>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</si>
  <si>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</si>
  <si>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</si>
  <si>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</si>
  <si>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</si>
  <si>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</si>
  <si>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</si>
  <si>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</si>
  <si>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</si>
  <si>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</si>
  <si>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</si>
  <si>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</si>
  <si>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</si>
  <si>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</si>
  <si>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</si>
  <si>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</si>
  <si>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</si>
  <si>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</si>
  <si>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</si>
  <si>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</si>
  <si>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</si>
  <si>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</si>
  <si>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</si>
  <si>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</si>
  <si>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</si>
  <si>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</si>
  <si>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</si>
  <si>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</si>
  <si>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</si>
  <si>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</si>
  <si>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</si>
  <si>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</si>
  <si>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</si>
  <si>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</si>
  <si>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</si>
  <si>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</si>
  <si>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</si>
  <si>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</si>
  <si>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</si>
  <si>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</si>
  <si>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</si>
  <si>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</si>
  <si>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</si>
  <si>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</si>
  <si>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</si>
  <si>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</si>
  <si>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</si>
  <si>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</si>
  <si>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</si>
  <si>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</si>
  <si>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</si>
  <si>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</si>
  <si>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</si>
  <si>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</si>
  <si>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</si>
  <si>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</si>
  <si>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</si>
  <si>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</si>
  <si>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</si>
  <si>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</si>
  <si>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</si>
  <si>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</si>
  <si>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</si>
  <si>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</si>
  <si>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</si>
  <si>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</si>
  <si>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</si>
  <si>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</si>
  <si>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</si>
  <si>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</si>
  <si>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</si>
  <si>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</si>
  <si>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</si>
  <si>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</si>
  <si>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</si>
  <si>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</si>
  <si>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</si>
  <si>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</si>
  <si>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</si>
  <si>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</si>
  <si>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</si>
  <si>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</si>
  <si>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</si>
  <si>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</si>
  <si>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</si>
  <si>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</si>
  <si>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</si>
  <si>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</si>
  <si>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</si>
  <si>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</si>
  <si>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</si>
  <si>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</si>
  <si>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</si>
  <si>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</si>
  <si>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</si>
  <si>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</si>
  <si>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</si>
  <si>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</si>
  <si>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</si>
  <si>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</si>
  <si>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</si>
  <si>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</si>
  <si>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</si>
  <si>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</si>
  <si>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</si>
  <si>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</si>
  <si>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</si>
  <si>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</si>
  <si>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</si>
  <si>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</si>
  <si>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</si>
  <si>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</si>
  <si>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</si>
  <si>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</si>
  <si>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</si>
  <si>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</si>
  <si>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</si>
  <si>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</si>
  <si>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</si>
  <si>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</si>
  <si>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</si>
  <si>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</si>
  <si>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</si>
  <si>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</si>
  <si>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</si>
  <si>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</si>
  <si>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</si>
  <si>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</si>
  <si>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</si>
  <si>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</si>
  <si>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</si>
  <si>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</si>
  <si>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</si>
  <si>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</si>
  <si>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</si>
  <si>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</si>
  <si>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</si>
  <si>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</si>
  <si>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</si>
  <si>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</si>
  <si>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</si>
  <si>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</si>
  <si>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</si>
  <si>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</si>
  <si>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</si>
  <si>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</si>
  <si>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</si>
  <si>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</si>
  <si>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</si>
  <si>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</si>
  <si>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</si>
  <si>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</si>
  <si>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</si>
  <si>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</si>
  <si>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</si>
  <si>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</si>
  <si>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</si>
  <si>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</si>
  <si>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</si>
  <si>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</si>
  <si>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</si>
  <si>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</si>
  <si>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</si>
  <si>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</si>
  <si>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</si>
  <si>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</si>
  <si>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</si>
  <si>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</si>
  <si>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</si>
  <si>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</si>
  <si>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</si>
  <si>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</si>
  <si>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</si>
  <si>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</si>
  <si>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</si>
  <si>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</si>
  <si>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</si>
  <si>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</si>
  <si>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</si>
  <si>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</si>
  <si>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</si>
  <si>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</si>
  <si>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</si>
  <si>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</si>
  <si>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</si>
  <si>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</si>
  <si>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</si>
  <si>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</si>
  <si>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</si>
  <si>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</si>
  <si>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</si>
  <si>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</si>
  <si>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</si>
  <si>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</si>
  <si>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</si>
  <si>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</si>
  <si>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</si>
  <si>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</si>
  <si>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</si>
  <si>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</si>
  <si>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</si>
  <si>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</si>
  <si>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</si>
  <si>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</si>
  <si>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</si>
  <si>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</si>
  <si>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</si>
  <si>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</si>
  <si>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</si>
  <si>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</si>
  <si>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</si>
  <si>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</si>
  <si>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</si>
  <si>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</si>
  <si>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</si>
  <si>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</si>
  <si>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</si>
  <si>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</si>
  <si>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</si>
  <si>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</si>
  <si>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</si>
  <si>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</si>
  <si>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</si>
  <si>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</si>
  <si>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</si>
  <si>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</si>
  <si>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</si>
  <si>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</si>
  <si>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</si>
  <si>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</si>
  <si>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</si>
  <si>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</si>
  <si>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</si>
  <si>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</si>
  <si>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</si>
  <si>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</si>
  <si>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</si>
  <si>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</si>
  <si>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</si>
  <si>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</si>
  <si>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</si>
  <si>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</si>
  <si>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</si>
  <si>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</si>
  <si>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</si>
  <si>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</si>
  <si>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</si>
  <si>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</si>
  <si>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</si>
  <si>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</si>
  <si>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</si>
  <si>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</si>
  <si>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</si>
  <si>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</si>
  <si>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</si>
  <si>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</si>
  <si>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</si>
  <si>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</si>
  <si>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</si>
  <si>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</si>
  <si>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</si>
  <si>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</si>
  <si>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</si>
  <si>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</si>
  <si>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</si>
  <si>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</si>
  <si>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</si>
  <si>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</si>
  <si>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</si>
  <si>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</si>
  <si>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</si>
  <si>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</si>
  <si>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</si>
  <si>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</si>
  <si>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</si>
  <si>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</si>
  <si>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</si>
  <si>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</si>
  <si>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</si>
  <si>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</si>
  <si>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</si>
  <si>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</si>
  <si>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</si>
  <si>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</si>
  <si>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</si>
  <si>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</si>
  <si>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</si>
  <si>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</si>
  <si>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</si>
  <si>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</si>
  <si>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</si>
  <si>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</si>
  <si>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</si>
  <si>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</si>
  <si>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</si>
  <si>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</si>
  <si>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</si>
  <si>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</si>
  <si>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</si>
  <si>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</si>
  <si>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</si>
  <si>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</si>
  <si>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</si>
  <si>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</si>
  <si>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</si>
  <si>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</si>
  <si>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</si>
  <si>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</si>
  <si>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</si>
  <si>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</si>
  <si>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</si>
  <si>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</si>
  <si>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</si>
  <si>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</si>
  <si>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</si>
  <si>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</si>
  <si>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</si>
  <si>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</si>
  <si>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</si>
  <si>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</si>
  <si>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</si>
  <si>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</si>
  <si>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</si>
  <si>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</si>
  <si>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</si>
  <si>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</si>
  <si>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</si>
  <si>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</si>
  <si>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</si>
  <si>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</si>
  <si>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</si>
  <si>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</si>
  <si>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</si>
  <si>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</si>
  <si>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</si>
  <si>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</si>
  <si>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</si>
  <si>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</si>
  <si>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</si>
  <si>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</si>
  <si>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</si>
  <si>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</si>
  <si>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</si>
  <si>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</si>
  <si>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</si>
  <si>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</si>
  <si>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</si>
  <si>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</si>
  <si>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</si>
  <si>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</si>
  <si>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</si>
  <si>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</si>
  <si>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</si>
  <si>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</si>
  <si>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</si>
  <si>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</si>
  <si>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</si>
  <si>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</si>
  <si>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</si>
  <si>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</si>
  <si>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</si>
  <si>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</si>
  <si>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</si>
  <si>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</si>
  <si>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</si>
  <si>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</si>
  <si>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</si>
  <si>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</si>
  <si>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</si>
  <si>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</si>
  <si>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</si>
  <si>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</si>
  <si>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</si>
  <si>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</si>
  <si>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</si>
  <si>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</si>
  <si>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</si>
  <si>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</si>
  <si>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</si>
  <si>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</si>
  <si>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</si>
  <si>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</si>
  <si>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</si>
  <si>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</si>
  <si>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</si>
  <si>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</si>
  <si>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</si>
  <si>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</si>
  <si>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</si>
  <si>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</si>
  <si>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</si>
  <si>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</si>
  <si>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</si>
  <si>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</si>
  <si>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</si>
  <si>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</si>
  <si>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</si>
  <si>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</si>
  <si>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</si>
  <si>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</si>
  <si>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</si>
  <si>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</si>
  <si>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</si>
  <si>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</si>
  <si>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</si>
  <si>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</si>
  <si>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</si>
  <si>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</si>
  <si>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</si>
  <si>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</si>
  <si>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</si>
  <si>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</si>
  <si>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</si>
  <si>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</si>
  <si>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</si>
  <si>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</si>
  <si>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</si>
  <si>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</si>
  <si>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</si>
  <si>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</si>
  <si>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</si>
  <si>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</si>
  <si>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</si>
  <si>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</si>
  <si>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</si>
  <si>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</si>
  <si>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</si>
  <si>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</si>
  <si>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</si>
  <si>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</si>
  <si>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</si>
  <si>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</si>
  <si>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</si>
  <si>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</si>
  <si>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</si>
  <si>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</si>
  <si>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</si>
  <si>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</si>
  <si>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</si>
  <si>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</si>
  <si>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</si>
  <si>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</si>
  <si>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</si>
  <si>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</si>
  <si>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</si>
  <si>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</si>
  <si>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</si>
  <si>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</si>
  <si>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</si>
  <si>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</si>
  <si>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</si>
  <si>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</si>
  <si>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</si>
  <si>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</si>
  <si>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</si>
  <si>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</si>
  <si>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</si>
  <si>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</si>
  <si>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</si>
  <si>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</si>
  <si>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</si>
  <si>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</si>
  <si>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</si>
  <si>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</si>
  <si>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</si>
  <si>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</si>
  <si>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</si>
  <si>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</si>
  <si>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</si>
  <si>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</si>
  <si>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</si>
  <si>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</si>
  <si>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</si>
  <si>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</si>
  <si>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</si>
  <si>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</si>
  <si>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</si>
  <si>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</si>
  <si>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</si>
  <si>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</si>
  <si>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</si>
  <si>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</si>
  <si>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</si>
  <si>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</si>
  <si>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</si>
  <si>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</si>
  <si>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</si>
  <si>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</si>
  <si>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</si>
  <si>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</si>
  <si>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</si>
  <si>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</si>
  <si>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</si>
  <si>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</si>
  <si>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</si>
  <si>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</si>
  <si>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</si>
  <si>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</si>
  <si>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</si>
  <si>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</si>
  <si>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</si>
  <si>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</si>
  <si>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</si>
  <si>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</si>
  <si>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</si>
  <si>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</si>
  <si>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</si>
  <si>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</si>
  <si>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</si>
  <si>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</si>
  <si>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</si>
  <si>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</si>
  <si>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</si>
  <si>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</si>
  <si>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</si>
  <si>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</si>
  <si>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</si>
  <si>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</si>
  <si>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</si>
  <si>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</si>
  <si>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</si>
  <si>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</si>
  <si>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</si>
  <si>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</si>
  <si>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</si>
  <si>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</si>
  <si>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</si>
  <si>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</si>
  <si>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</si>
  <si>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</si>
  <si>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</si>
  <si>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</si>
  <si>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</si>
  <si>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</si>
  <si>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</si>
  <si>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</si>
  <si>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</si>
  <si>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</si>
  <si>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</si>
  <si>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</si>
  <si>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</si>
  <si>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</si>
  <si>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</si>
  <si>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</si>
  <si>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</si>
  <si>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</si>
  <si>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</si>
  <si>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</si>
  <si>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</si>
  <si>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</si>
  <si>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</si>
  <si>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</si>
  <si>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</si>
  <si>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</si>
  <si>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</si>
  <si>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</si>
  <si>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</si>
  <si>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</si>
  <si>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</si>
  <si>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</si>
  <si>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</si>
  <si>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</si>
  <si>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</si>
  <si>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</si>
  <si>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</si>
  <si>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</si>
  <si>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</si>
  <si>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</si>
  <si>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</si>
  <si>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</si>
  <si>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</si>
  <si>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</si>
  <si>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</si>
  <si>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</si>
  <si>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</si>
  <si>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</si>
  <si>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</si>
  <si>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</si>
  <si>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</si>
  <si>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</si>
  <si>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</si>
  <si>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</si>
  <si>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</si>
  <si>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</si>
  <si>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</si>
  <si>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</si>
  <si>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</si>
  <si>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</si>
  <si>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</si>
  <si>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</si>
  <si>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</si>
  <si>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</si>
  <si>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</si>
  <si>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</si>
  <si>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</si>
  <si>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</si>
  <si>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</si>
  <si>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</si>
  <si>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</si>
  <si>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</si>
  <si>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</si>
  <si>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</si>
  <si>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</si>
  <si>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</si>
  <si>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</si>
  <si>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</si>
  <si>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</si>
  <si>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</si>
  <si>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</si>
  <si>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</si>
  <si>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</si>
  <si>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</si>
  <si>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</si>
  <si>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</si>
  <si>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</si>
  <si>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</si>
  <si>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</si>
  <si>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</si>
  <si>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</si>
  <si>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</si>
  <si>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</si>
  <si>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</si>
  <si>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</si>
  <si>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</si>
  <si>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</si>
  <si>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</si>
  <si>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</si>
  <si>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</si>
  <si>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</si>
  <si>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</si>
  <si>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</si>
  <si>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</si>
  <si>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</si>
  <si>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</si>
  <si>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</si>
  <si>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</si>
  <si>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</si>
  <si>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</si>
  <si>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</si>
  <si>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</si>
  <si>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</si>
  <si>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</si>
  <si>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</si>
  <si>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</si>
  <si>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</si>
  <si>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</si>
  <si>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</si>
  <si>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</si>
  <si>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</si>
  <si>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</si>
  <si>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</si>
  <si>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</si>
  <si>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</si>
  <si>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</si>
  <si>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</si>
  <si>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</si>
  <si>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</si>
  <si>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</si>
  <si>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</si>
  <si>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</si>
  <si>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</si>
  <si>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</si>
  <si>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</si>
  <si>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</si>
  <si>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</si>
  <si>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</si>
  <si>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</si>
  <si>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</si>
  <si>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</si>
  <si>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</si>
  <si>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</si>
  <si>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</si>
  <si>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</si>
  <si>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</si>
  <si>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</si>
  <si>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</si>
  <si>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</si>
  <si>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</si>
  <si>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</si>
  <si>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</si>
  <si>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</si>
  <si>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</si>
  <si>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</si>
  <si>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</si>
  <si>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</si>
  <si>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</si>
  <si>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</si>
  <si>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</si>
  <si>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</si>
  <si>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</si>
  <si>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</si>
  <si>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</si>
  <si>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</si>
  <si>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</si>
  <si>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</si>
  <si>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</si>
  <si>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</si>
  <si>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</si>
  <si>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</si>
  <si>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</si>
  <si>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</si>
  <si>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</si>
  <si>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</si>
  <si>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</si>
  <si>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</si>
  <si>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</si>
  <si>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</si>
  <si>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</si>
  <si>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</si>
  <si>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</si>
  <si>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</si>
  <si>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</si>
  <si>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</si>
  <si>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</si>
  <si>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</si>
  <si>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</si>
  <si>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</si>
  <si>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</si>
  <si>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</si>
  <si>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</si>
  <si>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</si>
  <si>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</si>
  <si>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</si>
  <si>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</si>
  <si>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</si>
  <si>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</si>
  <si>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</si>
  <si>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</si>
  <si>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</si>
  <si>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</si>
  <si>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</si>
  <si>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</si>
  <si>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</si>
  <si>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</si>
  <si>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</si>
  <si>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</si>
  <si>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</si>
  <si>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</si>
  <si>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</si>
  <si>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</si>
  <si>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</si>
  <si>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</si>
  <si>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</si>
  <si>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</si>
  <si>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</si>
  <si>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</si>
  <si>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</si>
  <si>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</si>
  <si>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</si>
  <si>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</si>
  <si>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</si>
  <si>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</si>
  <si>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</si>
  <si>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</si>
  <si>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</si>
  <si>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</si>
  <si>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</si>
  <si>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</si>
  <si>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</si>
  <si>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</si>
  <si>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</si>
  <si>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</si>
  <si>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</si>
  <si>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</si>
  <si>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</si>
  <si>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</si>
  <si>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</si>
  <si>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</si>
  <si>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</si>
  <si>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</si>
  <si>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</si>
  <si>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</si>
  <si>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</si>
  <si>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</si>
  <si>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</si>
  <si>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</si>
  <si>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</si>
  <si>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</si>
  <si>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</si>
  <si>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</si>
  <si>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</si>
  <si>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</si>
  <si>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</si>
  <si>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</si>
  <si>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</si>
  <si>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</si>
  <si>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</si>
  <si>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</si>
  <si>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</si>
  <si>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</si>
  <si>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</si>
  <si>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</si>
  <si>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</si>
  <si>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</si>
  <si>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</si>
  <si>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</si>
  <si>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</si>
  <si>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</si>
  <si>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</si>
  <si>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</si>
  <si>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</si>
  <si>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</si>
  <si>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</si>
  <si>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</si>
  <si>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</si>
  <si>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</si>
  <si>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</si>
  <si>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</si>
  <si>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</si>
  <si>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</si>
  <si>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</si>
  <si>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</si>
  <si>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</si>
  <si>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</si>
  <si>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</si>
  <si>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</si>
  <si>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</si>
  <si>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</si>
  <si>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</si>
  <si>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</si>
  <si>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</si>
  <si>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</si>
  <si>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</si>
  <si>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</si>
  <si>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</si>
  <si>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</si>
  <si>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</si>
  <si>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</si>
  <si>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</si>
  <si>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</si>
  <si>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</si>
  <si>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</si>
  <si>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</si>
  <si>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</si>
  <si>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</si>
  <si>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</si>
  <si>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</si>
  <si>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</si>
  <si>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</si>
  <si>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</si>
  <si>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</si>
  <si>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</si>
  <si>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</si>
  <si>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</si>
  <si>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</si>
  <si>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</si>
  <si>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</si>
  <si>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</si>
  <si>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</si>
  <si>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</si>
  <si>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</si>
  <si>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</si>
  <si>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</si>
  <si>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</si>
  <si>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</si>
  <si>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</si>
  <si>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</si>
  <si>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</si>
  <si>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</si>
  <si>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</si>
  <si>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</si>
  <si>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</si>
  <si>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</si>
  <si>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</si>
  <si>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</si>
  <si>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</si>
  <si>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</si>
  <si>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</si>
  <si>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</si>
  <si>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</si>
  <si>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</si>
  <si>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</si>
  <si>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</si>
  <si>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</si>
  <si>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</si>
  <si>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</si>
  <si>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</si>
  <si>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</si>
  <si>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</si>
  <si>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</si>
  <si>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</si>
  <si>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</si>
  <si>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</si>
  <si>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</si>
  <si>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</si>
  <si>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</si>
  <si>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</si>
  <si>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</si>
  <si>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</si>
  <si>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</si>
  <si>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</si>
  <si>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</si>
  <si>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</si>
  <si>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</si>
  <si>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</si>
  <si>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</si>
  <si>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</si>
  <si>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</si>
  <si>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</si>
  <si>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</si>
  <si>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</si>
  <si>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</si>
  <si>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</si>
  <si>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</si>
  <si>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</si>
  <si>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</si>
  <si>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</si>
  <si>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</si>
  <si>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</si>
  <si>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</si>
  <si>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</si>
  <si>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</si>
  <si>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</si>
  <si>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</si>
  <si>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</si>
  <si>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</si>
  <si>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</si>
  <si>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</si>
  <si>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</si>
  <si>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</si>
  <si>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</si>
  <si>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</si>
  <si>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</si>
  <si>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</si>
  <si>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</si>
  <si>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</si>
  <si>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</si>
  <si>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</si>
  <si>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</si>
  <si>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</si>
  <si>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</si>
  <si>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</si>
  <si>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</si>
  <si>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</si>
  <si>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</si>
  <si>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</si>
  <si>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</si>
  <si>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</si>
  <si>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</si>
  <si>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</si>
  <si>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</si>
  <si>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</si>
  <si>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</si>
  <si>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</si>
  <si>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</si>
  <si>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</si>
  <si>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</si>
  <si>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</si>
  <si>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</si>
  <si>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</si>
  <si>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</si>
  <si>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</si>
  <si>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</si>
  <si>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</si>
  <si>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</si>
  <si>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</si>
  <si>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</si>
  <si>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</si>
  <si>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</si>
  <si>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</si>
  <si>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</si>
  <si>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</si>
  <si>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</si>
  <si>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</si>
  <si>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</si>
  <si>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</si>
  <si>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</si>
  <si>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</si>
  <si>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</si>
  <si>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</si>
  <si>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</si>
  <si>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</si>
  <si>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</si>
  <si>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</si>
  <si>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</si>
  <si>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</si>
  <si>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</si>
  <si>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</si>
  <si>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</si>
  <si>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</si>
  <si>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</si>
  <si>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</si>
  <si>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</si>
  <si>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</si>
  <si>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</si>
  <si>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</si>
  <si>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</si>
  <si>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</si>
  <si>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</si>
  <si>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</si>
  <si>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</si>
  <si>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</si>
  <si>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</si>
  <si>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</si>
  <si>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</si>
  <si>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</si>
  <si>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</si>
  <si>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</si>
  <si>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</si>
  <si>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</si>
  <si>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</si>
  <si>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</si>
  <si>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</si>
  <si>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</si>
  <si>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</si>
  <si>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</si>
  <si>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</si>
  <si>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</si>
  <si>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</si>
  <si>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</si>
  <si>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</si>
  <si>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</si>
  <si>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</si>
  <si>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</si>
  <si>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</si>
  <si>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</si>
  <si>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</si>
  <si>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</si>
  <si>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</si>
  <si>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</si>
  <si>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</si>
  <si>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</si>
  <si>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</si>
  <si>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</si>
  <si>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</si>
  <si>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</si>
  <si>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</si>
  <si>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</si>
  <si>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</si>
  <si>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</si>
  <si>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</si>
  <si>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</si>
  <si>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</si>
  <si>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</si>
  <si>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</si>
  <si>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</si>
  <si>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</si>
  <si>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</si>
  <si>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</si>
  <si>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</si>
  <si>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</si>
  <si>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</si>
  <si>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</si>
  <si>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</si>
  <si>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</si>
  <si>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</si>
  <si>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</si>
  <si>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</si>
  <si>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</si>
  <si>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</si>
  <si>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</si>
  <si>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</si>
  <si>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</si>
  <si>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</si>
  <si>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</si>
  <si>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</si>
  <si>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</si>
  <si>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</si>
  <si>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</si>
  <si>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</si>
  <si>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</si>
  <si>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</si>
  <si>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</si>
  <si>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</si>
  <si>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</si>
  <si>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</si>
  <si>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</si>
  <si>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</si>
  <si>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</si>
  <si>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</si>
  <si>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</si>
  <si>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</si>
  <si>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</si>
  <si>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</si>
  <si>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</si>
  <si>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</si>
  <si>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</si>
  <si>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</si>
  <si>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</si>
  <si>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</si>
  <si>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</si>
  <si>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</si>
  <si>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</si>
  <si>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</si>
  <si>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</si>
  <si>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</si>
  <si>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</si>
  <si>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</si>
  <si>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</si>
  <si>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</si>
  <si>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</si>
  <si>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</si>
  <si>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</si>
  <si>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</si>
  <si>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</si>
  <si>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</si>
  <si>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</si>
  <si>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</si>
  <si>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</si>
  <si>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</si>
  <si>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</si>
  <si>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</si>
  <si>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</si>
  <si>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</si>
  <si>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</si>
  <si>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</si>
  <si>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</si>
  <si>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</si>
  <si>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</si>
  <si>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</si>
  <si>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</si>
  <si>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</si>
  <si>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</si>
  <si>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</si>
  <si>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</si>
  <si>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</si>
  <si>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</si>
  <si>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</si>
  <si>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</si>
  <si>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</si>
  <si>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</si>
  <si>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</si>
  <si>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</si>
  <si>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</si>
  <si>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</si>
  <si>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</si>
  <si>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</si>
  <si>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</si>
  <si>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</si>
  <si>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</si>
  <si>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</si>
  <si>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</si>
  <si>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</si>
  <si>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</si>
  <si>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</si>
  <si>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</si>
  <si>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</si>
  <si>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</si>
  <si>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</si>
  <si>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</si>
  <si>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</si>
  <si>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</si>
  <si>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</si>
  <si>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</si>
  <si>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</si>
  <si>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</si>
  <si>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</si>
  <si>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</si>
  <si>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</si>
  <si>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</si>
  <si>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</si>
  <si>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</si>
  <si>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</si>
  <si>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</si>
  <si>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</si>
  <si>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</si>
  <si>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</si>
  <si>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</si>
  <si>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</si>
  <si>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</si>
  <si>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</si>
  <si>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</si>
  <si>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</si>
  <si>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</si>
  <si>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</si>
  <si>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</si>
  <si>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</si>
  <si>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</si>
  <si>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</si>
  <si>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</si>
  <si>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</si>
  <si>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</si>
  <si>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</si>
  <si>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</si>
  <si>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</si>
  <si>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</si>
  <si>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</si>
  <si>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</si>
  <si>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</si>
  <si>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</si>
  <si>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</si>
  <si>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</si>
  <si>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</si>
  <si>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</si>
  <si>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</si>
  <si>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</si>
  <si>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</si>
  <si>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</si>
  <si>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</si>
  <si>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</si>
  <si>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</si>
  <si>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</si>
  <si>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</si>
  <si>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</si>
  <si>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</si>
  <si>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</si>
  <si>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</si>
  <si>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</si>
  <si>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</si>
  <si>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</si>
  <si>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</si>
  <si>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</si>
  <si>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</si>
  <si>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</si>
  <si>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</si>
  <si>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</si>
  <si>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</si>
  <si>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</si>
  <si>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</si>
  <si>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</si>
  <si>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</si>
  <si>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</si>
  <si>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</si>
  <si>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</si>
  <si>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</si>
  <si>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</si>
  <si>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</si>
  <si>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</si>
  <si>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</si>
  <si>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</si>
  <si>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</si>
  <si>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</si>
  <si>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</si>
  <si>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</si>
  <si>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</si>
  <si>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</si>
  <si>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</si>
  <si>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</si>
  <si>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</si>
  <si>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</si>
  <si>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</si>
  <si>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</si>
  <si>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</si>
  <si>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</si>
  <si>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</si>
  <si>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</si>
  <si>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</si>
  <si>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</si>
  <si>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</si>
  <si>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</si>
  <si>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</si>
  <si>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</si>
  <si>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</si>
  <si>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</si>
  <si>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</si>
  <si>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</si>
  <si>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</si>
  <si>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</si>
  <si>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</si>
  <si>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</si>
  <si>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</si>
  <si>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</si>
  <si>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</si>
  <si>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</si>
  <si>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</si>
  <si>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</si>
  <si>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</si>
  <si>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</si>
  <si>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</si>
  <si>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</si>
  <si>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</si>
  <si>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</si>
  <si>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</si>
  <si>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</si>
  <si>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</si>
  <si>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</si>
  <si>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</si>
  <si>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</si>
  <si>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</si>
  <si>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</si>
  <si>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</si>
  <si>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</si>
  <si>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</si>
  <si>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</si>
  <si>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</si>
  <si>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</si>
  <si>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</si>
  <si>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</si>
  <si>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</si>
  <si>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</si>
  <si>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</si>
  <si>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</si>
  <si>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</si>
  <si>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</si>
  <si>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</si>
  <si>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</si>
  <si>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</si>
  <si>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</si>
  <si>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</si>
  <si>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</si>
  <si>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</si>
  <si>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</si>
  <si>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</si>
  <si>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</si>
  <si>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</si>
  <si>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</si>
  <si>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</si>
  <si>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</si>
  <si>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</si>
  <si>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</si>
  <si>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</si>
  <si>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</si>
  <si>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</si>
  <si>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</si>
  <si>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</si>
  <si>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</si>
  <si>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</si>
  <si>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</si>
  <si>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</si>
  <si>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</si>
  <si>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</si>
  <si>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</si>
  <si>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</si>
  <si>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</si>
  <si>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</si>
  <si>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</si>
  <si>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</si>
  <si>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</si>
  <si>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</si>
  <si>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</si>
  <si>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</si>
  <si>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</si>
  <si>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</si>
  <si>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</si>
  <si>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</si>
  <si>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</si>
  <si>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</si>
  <si>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</si>
  <si>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</si>
  <si>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</si>
  <si>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</si>
  <si>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</si>
  <si>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</si>
  <si>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</si>
  <si>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</si>
  <si>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</si>
  <si>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</si>
  <si>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</si>
  <si>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</si>
  <si>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</si>
  <si>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</si>
  <si>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</si>
  <si>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</si>
  <si>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</si>
  <si>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</si>
  <si>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</si>
  <si>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</si>
  <si>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</si>
  <si>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</si>
  <si>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</si>
  <si>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</si>
  <si>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</si>
  <si>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</si>
  <si>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</si>
  <si>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</si>
  <si>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</si>
  <si>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</si>
  <si>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</si>
  <si>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</si>
  <si>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</si>
  <si>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</si>
  <si>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</si>
  <si>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</si>
  <si>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</si>
  <si>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</si>
  <si>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</si>
  <si>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</si>
  <si>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</si>
  <si>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</si>
  <si>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</si>
  <si>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</si>
  <si>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</si>
  <si>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</si>
  <si>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</si>
  <si>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</si>
  <si>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</si>
  <si>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</si>
  <si>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</si>
  <si>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</si>
  <si>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</si>
  <si>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</si>
  <si>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</si>
  <si>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</si>
  <si>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</si>
  <si>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</si>
  <si>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</si>
  <si>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</si>
  <si>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</si>
  <si>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</si>
  <si>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</si>
  <si>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</si>
  <si>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</si>
  <si>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</si>
  <si>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</si>
  <si>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</si>
  <si>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</si>
  <si>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</si>
  <si>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</si>
  <si>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</si>
  <si>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</si>
  <si>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</si>
  <si>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</si>
  <si>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</si>
  <si>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</si>
  <si>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</si>
  <si>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</si>
  <si>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</si>
  <si>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</si>
  <si>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</si>
  <si>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</si>
  <si>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</si>
  <si>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</si>
  <si>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</si>
  <si>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</si>
  <si>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</si>
  <si>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</si>
  <si>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</si>
  <si>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</si>
  <si>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</si>
  <si>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</si>
  <si>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</si>
  <si>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</si>
  <si>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</si>
  <si>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</si>
  <si>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</si>
  <si>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</si>
  <si>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</si>
  <si>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</si>
  <si>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</si>
  <si>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</si>
  <si>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</si>
  <si>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</si>
  <si>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</si>
  <si>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</si>
  <si>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</si>
  <si>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</si>
  <si>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</si>
  <si>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</si>
  <si>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</si>
  <si>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</si>
  <si>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</si>
  <si>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</si>
  <si>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</si>
  <si>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</si>
  <si>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</si>
  <si>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</si>
  <si>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</si>
  <si>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</si>
  <si>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</si>
  <si>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</si>
  <si>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</si>
  <si>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</si>
  <si>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</si>
  <si>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</si>
  <si>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</si>
  <si>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</si>
  <si>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</si>
  <si>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</si>
  <si>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</si>
  <si>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</si>
  <si>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</si>
  <si>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</si>
  <si>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</si>
  <si>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</si>
  <si>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</si>
  <si>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</si>
  <si>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</si>
  <si>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</si>
  <si>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</si>
  <si>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</si>
  <si>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</si>
  <si>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</si>
  <si>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</si>
  <si>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</si>
  <si>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</si>
  <si>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</si>
  <si>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</si>
  <si>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</si>
  <si>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</si>
  <si>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</si>
  <si>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</si>
  <si>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</si>
  <si>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</si>
  <si>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</si>
  <si>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</si>
  <si>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</si>
  <si>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</si>
  <si>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</si>
  <si>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</si>
  <si>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</si>
  <si>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</si>
  <si>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</si>
  <si>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</si>
  <si>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</si>
  <si>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</si>
  <si>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</si>
  <si>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</si>
  <si>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</si>
  <si>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</si>
  <si>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</si>
  <si>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</si>
  <si>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</si>
  <si>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</si>
  <si>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</si>
  <si>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</si>
  <si>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</si>
  <si>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</si>
  <si>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</si>
  <si>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</si>
  <si>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</si>
  <si>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</si>
  <si>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</si>
  <si>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</si>
  <si>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</si>
  <si>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</si>
  <si>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</si>
  <si>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</si>
  <si>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</si>
  <si>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</si>
  <si>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</si>
  <si>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</si>
  <si>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</si>
  <si>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</si>
  <si>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</si>
  <si>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</si>
  <si>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</si>
  <si>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</si>
  <si>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</si>
  <si>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</si>
  <si>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</si>
  <si>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</si>
  <si>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</si>
  <si>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</si>
  <si>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</si>
  <si>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</si>
  <si>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</si>
  <si>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</si>
  <si>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</si>
  <si>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</si>
  <si>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</si>
  <si>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</si>
  <si>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</si>
  <si>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</si>
  <si>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</si>
  <si>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</si>
  <si>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</si>
  <si>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</si>
  <si>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</si>
  <si>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</si>
  <si>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</si>
  <si>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</si>
  <si>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</si>
  <si>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</si>
  <si>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</si>
  <si>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</si>
  <si>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</si>
  <si>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</si>
  <si>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</si>
  <si>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</si>
  <si>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</si>
  <si>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</si>
  <si>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</si>
  <si>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</si>
  <si>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</si>
  <si>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</si>
  <si>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</si>
  <si>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</si>
  <si>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</si>
  <si>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</si>
  <si>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</si>
  <si>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</si>
  <si>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</si>
  <si>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</si>
  <si>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</si>
  <si>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</si>
  <si>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</si>
  <si>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</si>
  <si>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</si>
  <si>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</si>
  <si>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</si>
  <si>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</si>
  <si>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</si>
  <si>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</si>
  <si>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</si>
  <si>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</si>
  <si>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</si>
  <si>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</si>
  <si>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</si>
  <si>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</si>
  <si>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</si>
  <si>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</si>
  <si>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</si>
  <si>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</si>
  <si>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</si>
  <si>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</si>
  <si>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</si>
  <si>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</si>
  <si>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</si>
  <si>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</si>
  <si>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</si>
  <si>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</si>
  <si>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</si>
  <si>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</si>
  <si>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</si>
  <si>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</si>
  <si>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</si>
  <si>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</si>
  <si>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</si>
  <si>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</si>
  <si>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</si>
  <si>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</si>
  <si>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</si>
  <si>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</si>
  <si>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</si>
  <si>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</si>
  <si>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</si>
  <si>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</si>
  <si>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</si>
  <si>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</si>
  <si>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</si>
  <si>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</si>
  <si>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</si>
  <si>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</si>
  <si>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</si>
  <si>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</si>
  <si>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</si>
  <si>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</si>
  <si>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</si>
  <si>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</si>
  <si>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</si>
  <si>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</si>
  <si>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</si>
  <si>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</si>
  <si>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</si>
  <si>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</si>
  <si>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</si>
  <si>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</si>
  <si>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</si>
  <si>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</si>
  <si>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</si>
  <si>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</si>
  <si>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</si>
  <si>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</si>
  <si>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</si>
  <si>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</si>
  <si>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</si>
  <si>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</si>
  <si>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</si>
  <si>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</si>
  <si>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</si>
  <si>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</si>
  <si>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</si>
  <si>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</si>
  <si>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</si>
  <si>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</si>
  <si>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</si>
  <si>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</si>
  <si>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</si>
  <si>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</si>
  <si>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</si>
  <si>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</si>
  <si>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</si>
  <si>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</si>
  <si>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</si>
  <si>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</si>
  <si>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</si>
  <si>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</si>
  <si>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</si>
  <si>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</si>
  <si>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</si>
  <si>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</si>
  <si>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</si>
  <si>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</si>
  <si>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</si>
  <si>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</si>
  <si>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</si>
  <si>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</si>
  <si>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</si>
  <si>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</si>
  <si>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</si>
  <si>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</si>
  <si>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</si>
  <si>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</si>
  <si>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</si>
  <si>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</si>
  <si>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</si>
  <si>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</si>
  <si>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</si>
  <si>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</si>
  <si>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</si>
  <si>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</si>
  <si>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</si>
  <si>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</si>
  <si>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</si>
  <si>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</si>
  <si>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</si>
  <si>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</si>
  <si>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</si>
  <si>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</si>
  <si>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</si>
  <si>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</si>
  <si>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</si>
  <si>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</si>
  <si>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</si>
  <si>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</si>
  <si>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</si>
  <si>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</si>
  <si>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</si>
  <si>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</si>
  <si>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</si>
  <si>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</si>
  <si>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</si>
  <si>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</si>
  <si>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</si>
  <si>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</si>
  <si>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</si>
  <si>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</si>
  <si>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</si>
  <si>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</si>
  <si>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</si>
  <si>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</si>
  <si>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</si>
  <si>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</si>
  <si>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</si>
  <si>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</si>
  <si>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</si>
  <si>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</si>
  <si>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</si>
  <si>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</si>
  <si>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</si>
  <si>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</si>
  <si>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</si>
  <si>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</si>
  <si>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</si>
  <si>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</si>
  <si>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</si>
  <si>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</si>
  <si>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</si>
  <si>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</si>
  <si>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</si>
  <si>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</si>
  <si>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</si>
  <si>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</si>
  <si>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</si>
  <si>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</si>
  <si>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</si>
  <si>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</si>
  <si>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</si>
  <si>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</si>
  <si>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</si>
  <si>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</si>
  <si>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</si>
  <si>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</si>
  <si>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</si>
  <si>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</si>
  <si>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</si>
  <si>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</si>
  <si>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</si>
  <si>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</si>
  <si>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</si>
  <si>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</si>
  <si>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</si>
  <si>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</si>
  <si>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</si>
  <si>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</si>
  <si>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</si>
  <si>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</si>
  <si>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</si>
  <si>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</si>
  <si>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</si>
  <si>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</si>
  <si>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</si>
  <si>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</si>
  <si>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</si>
  <si>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</si>
  <si>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</si>
  <si>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</si>
  <si>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</si>
  <si>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</si>
  <si>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</si>
  <si>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</si>
  <si>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</si>
  <si>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</si>
  <si>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</si>
  <si>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</si>
  <si>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</si>
  <si>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</si>
  <si>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</si>
  <si>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</si>
  <si>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</si>
  <si>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</si>
  <si>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</si>
  <si>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</si>
  <si>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</si>
  <si>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</si>
  <si>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</si>
  <si>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</si>
  <si>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</si>
  <si>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</si>
  <si>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</si>
  <si>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</si>
  <si>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</si>
  <si>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</si>
  <si>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</si>
  <si>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</si>
  <si>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</si>
  <si>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</si>
  <si>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</si>
  <si>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</si>
  <si>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</si>
  <si>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</si>
  <si>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</si>
  <si>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</si>
  <si>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</si>
  <si>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</si>
  <si>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</si>
  <si>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</si>
  <si>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</si>
  <si>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</si>
  <si>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</si>
  <si>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</si>
  <si>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</si>
  <si>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</si>
  <si>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</si>
  <si>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</si>
  <si>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</si>
  <si>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</si>
  <si>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</si>
  <si>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</si>
  <si>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</si>
  <si>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</si>
  <si>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</si>
  <si>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</si>
  <si>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</si>
  <si>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</si>
  <si>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</si>
  <si>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</si>
  <si>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</si>
  <si>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</si>
  <si>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</si>
  <si>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</si>
  <si>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</si>
  <si>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</si>
  <si>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</si>
  <si>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</si>
  <si>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</si>
  <si>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</si>
  <si>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</si>
  <si>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</si>
  <si>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</si>
  <si>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</si>
  <si>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</si>
  <si>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</si>
  <si>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</si>
  <si>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</si>
  <si>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</si>
  <si>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</si>
  <si>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</si>
  <si>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</si>
  <si>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</si>
  <si>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</si>
  <si>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</si>
  <si>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</si>
  <si>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</si>
  <si>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</si>
  <si>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</si>
  <si>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</si>
  <si>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</si>
  <si>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</si>
  <si>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</si>
  <si>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</si>
  <si>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</si>
  <si>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</si>
  <si>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</si>
  <si>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</si>
  <si>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</si>
  <si>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</si>
  <si>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</si>
  <si>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</si>
  <si>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</si>
  <si>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</si>
  <si>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</si>
  <si>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</si>
  <si>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</si>
  <si>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</si>
  <si>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</si>
  <si>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</si>
  <si>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</si>
  <si>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</si>
  <si>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</si>
  <si>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</si>
  <si>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</si>
  <si>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</si>
  <si>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</si>
  <si>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</si>
  <si>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</si>
  <si>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</si>
  <si>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</si>
  <si>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</si>
  <si>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</si>
  <si>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</si>
  <si>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</si>
  <si>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</si>
  <si>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</si>
  <si>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</si>
  <si>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</si>
  <si>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</si>
  <si>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</si>
  <si>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</si>
  <si>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</si>
  <si>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</si>
  <si>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</si>
  <si>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</si>
  <si>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</si>
  <si>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</si>
  <si>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</si>
  <si>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</si>
  <si>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</si>
  <si>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</si>
  <si>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</si>
  <si>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</si>
  <si>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</si>
  <si>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</si>
  <si>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</si>
  <si>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</si>
  <si>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</si>
  <si>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</si>
  <si>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</si>
  <si>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</si>
  <si>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</si>
  <si>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</si>
  <si>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</si>
  <si>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</si>
  <si>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</si>
  <si>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</si>
  <si>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</si>
  <si>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</si>
  <si>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</si>
  <si>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</si>
  <si>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</si>
  <si>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</si>
  <si>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</si>
  <si>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</si>
  <si>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</si>
  <si>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</si>
  <si>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</si>
  <si>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</si>
  <si>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</si>
  <si>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</si>
  <si>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</si>
  <si>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</si>
  <si>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</si>
  <si>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</si>
  <si>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</si>
  <si>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</si>
  <si>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</si>
  <si>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</si>
  <si>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</si>
  <si>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</si>
  <si>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</si>
  <si>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</si>
  <si>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</si>
  <si>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</si>
  <si>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</si>
  <si>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</si>
  <si>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</si>
  <si>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</si>
  <si>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</si>
  <si>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</si>
  <si>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</si>
  <si>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</si>
  <si>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</si>
  <si>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</si>
  <si>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</si>
  <si>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</si>
  <si>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</si>
  <si>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</si>
  <si>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</si>
  <si>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</si>
  <si>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</si>
  <si>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</si>
  <si>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</si>
  <si>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</si>
  <si>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</si>
  <si>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</si>
  <si>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</si>
  <si>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</si>
  <si>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</si>
  <si>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</si>
  <si>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</si>
  <si>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</si>
  <si>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</si>
  <si>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</si>
  <si>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</si>
  <si>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</si>
  <si>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</si>
  <si>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</si>
  <si>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</si>
  <si>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</si>
  <si>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</si>
  <si>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</si>
  <si>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</si>
  <si>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</si>
  <si>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</si>
  <si>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</si>
  <si>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</si>
  <si>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</si>
  <si>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</si>
  <si>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</si>
  <si>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</si>
  <si>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</si>
  <si>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</si>
  <si>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</si>
  <si>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</si>
  <si>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</si>
  <si>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</si>
  <si>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</si>
  <si>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</si>
  <si>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</si>
  <si>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</si>
  <si>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</si>
  <si>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</si>
  <si>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</si>
  <si>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</si>
  <si>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</si>
  <si>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</si>
  <si>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</si>
  <si>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</si>
  <si>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</si>
  <si>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</si>
  <si>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</si>
  <si>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</si>
  <si>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</si>
  <si>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</si>
  <si>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</si>
  <si>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</si>
  <si>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</si>
  <si>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</si>
  <si>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</si>
  <si>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</si>
  <si>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</si>
  <si>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</si>
  <si>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</si>
  <si>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</si>
  <si>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</si>
  <si>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</si>
  <si>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</si>
  <si>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</si>
  <si>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</si>
  <si>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</si>
  <si>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</si>
  <si>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</si>
  <si>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</si>
  <si>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</si>
  <si>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</si>
  <si>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</si>
  <si>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</si>
  <si>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</si>
  <si>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</si>
  <si>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</si>
  <si>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</si>
  <si>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</si>
  <si>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</si>
  <si>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</si>
  <si>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</si>
  <si>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</si>
  <si>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</si>
  <si>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</si>
  <si>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</si>
  <si>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</si>
  <si>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</si>
  <si>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</si>
  <si>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</si>
  <si>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</si>
  <si>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</si>
  <si>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</si>
  <si>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</si>
  <si>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</si>
  <si>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</si>
  <si>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</si>
  <si>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</si>
  <si>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</si>
  <si>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</si>
  <si>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</si>
  <si>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</si>
  <si>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</si>
  <si>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</si>
  <si>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</si>
  <si>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</si>
  <si>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</si>
  <si>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</si>
  <si>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</si>
  <si>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</si>
  <si>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</si>
  <si>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</si>
  <si>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</si>
  <si>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</si>
  <si>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</si>
  <si>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</si>
  <si>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</si>
  <si>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</si>
  <si>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</si>
  <si>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</si>
  <si>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</si>
  <si>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</si>
  <si>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</si>
  <si>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</si>
  <si>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</si>
  <si>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</si>
  <si>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</si>
  <si>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</si>
  <si>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</si>
  <si>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</si>
  <si>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</si>
  <si>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</si>
  <si>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</si>
  <si>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</si>
  <si>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</si>
  <si>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</si>
  <si>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</si>
  <si>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</si>
  <si>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</si>
  <si>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</si>
  <si>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</si>
  <si>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</si>
  <si>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</si>
  <si>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</si>
  <si>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</si>
  <si>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</si>
  <si>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</si>
  <si>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</si>
  <si>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</si>
  <si>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</si>
  <si>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</si>
  <si>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</si>
  <si>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</si>
  <si>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</si>
  <si>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</si>
  <si>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</si>
  <si>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</si>
  <si>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</si>
  <si>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</si>
  <si>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</si>
  <si>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</si>
  <si>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</si>
  <si>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</si>
  <si>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</si>
  <si>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</si>
  <si>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</si>
  <si>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</si>
  <si>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</si>
  <si>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</si>
  <si>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</si>
  <si>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</si>
  <si>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</si>
  <si>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</si>
  <si>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</si>
  <si>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</si>
  <si>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</si>
  <si>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</si>
  <si>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</si>
  <si>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</si>
  <si>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</si>
  <si>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</si>
  <si>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</si>
  <si>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</si>
  <si>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</si>
  <si>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</si>
  <si>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</si>
  <si>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</si>
  <si>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</si>
  <si>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</si>
  <si>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</si>
  <si>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</si>
  <si>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</si>
  <si>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</si>
  <si>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</si>
  <si>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</si>
  <si>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</si>
  <si>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</si>
  <si>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</si>
  <si>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</si>
  <si>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</si>
  <si>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</si>
  <si>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</si>
  <si>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</si>
  <si>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</si>
  <si>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</si>
  <si>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</si>
  <si>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</si>
  <si>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</si>
  <si>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</si>
  <si>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</si>
  <si>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</si>
  <si>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</si>
  <si>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</si>
  <si>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</si>
  <si>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</si>
  <si>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</si>
  <si>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</si>
  <si>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</si>
  <si>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</si>
  <si>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</si>
  <si>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</si>
  <si>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</si>
  <si>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</si>
  <si>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</si>
  <si>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</si>
  <si>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</si>
  <si>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</si>
  <si>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</si>
  <si>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</si>
  <si>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</si>
  <si>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</si>
  <si>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</si>
  <si>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</si>
  <si>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</si>
  <si>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</si>
  <si>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</si>
  <si>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</si>
  <si>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</si>
  <si>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</si>
  <si>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</si>
  <si>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</si>
  <si>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</si>
  <si>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</si>
  <si>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</si>
  <si>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</si>
  <si>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</si>
  <si>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</si>
  <si>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</si>
  <si>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</si>
  <si>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</si>
  <si>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</si>
  <si>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</si>
  <si>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</si>
  <si>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</si>
  <si>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</si>
  <si>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</si>
  <si>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</si>
  <si>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</si>
  <si>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</si>
  <si>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</si>
  <si>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</si>
  <si>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</si>
  <si>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</si>
  <si>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</si>
  <si>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</si>
  <si>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</si>
  <si>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</si>
  <si>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</si>
  <si>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</si>
  <si>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</si>
  <si>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</si>
  <si>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</si>
  <si>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</si>
  <si>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</si>
  <si>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</si>
  <si>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</si>
  <si>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</si>
  <si>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</si>
  <si>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</si>
  <si>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</si>
  <si>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</si>
  <si>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</si>
  <si>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</si>
  <si>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</si>
  <si>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</si>
  <si>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</si>
  <si>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</si>
  <si>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</si>
  <si>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</si>
  <si>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</si>
  <si>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</si>
  <si>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</si>
  <si>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</si>
  <si>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</si>
  <si>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</si>
  <si>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</si>
  <si>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</si>
  <si>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</si>
  <si>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</si>
  <si>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</si>
  <si>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</si>
  <si>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</si>
  <si>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</si>
  <si>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</si>
  <si>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</si>
  <si>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</si>
  <si>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</si>
  <si>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</si>
  <si>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</si>
  <si>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</si>
  <si>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</si>
  <si>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</si>
  <si>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</si>
  <si>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</si>
  <si>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</si>
  <si>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</si>
  <si>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</si>
  <si>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</si>
  <si>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</si>
  <si>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</si>
  <si>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</si>
  <si>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</si>
  <si>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</si>
  <si>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</si>
  <si>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</si>
  <si>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</si>
  <si>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</si>
  <si>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</si>
  <si>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</si>
  <si>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</si>
  <si>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</si>
  <si>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</si>
  <si>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</si>
  <si>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</si>
  <si>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</si>
  <si>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</si>
  <si>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</si>
  <si>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</si>
  <si>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</si>
  <si>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</si>
  <si>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</si>
  <si>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</si>
  <si>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</si>
  <si>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</si>
  <si>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</si>
  <si>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</si>
  <si>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</si>
  <si>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</si>
  <si>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</si>
  <si>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</si>
  <si>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</si>
  <si>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</si>
  <si>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</si>
  <si>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</si>
  <si>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</si>
  <si>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</si>
  <si>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</si>
  <si>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</si>
  <si>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</si>
  <si>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</si>
  <si>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</si>
  <si>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</si>
  <si>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</si>
  <si>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</si>
  <si>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</si>
  <si>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</si>
  <si>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</si>
  <si>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</si>
  <si>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</si>
  <si>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</si>
  <si>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</si>
  <si>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</si>
  <si>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</si>
  <si>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</si>
  <si>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</si>
  <si>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</si>
  <si>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</si>
  <si>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</si>
  <si>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</si>
  <si>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</si>
  <si>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</si>
  <si>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</si>
  <si>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</si>
  <si>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</si>
  <si>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</si>
  <si>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</si>
  <si>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</si>
  <si>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</si>
  <si>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</si>
  <si>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</si>
  <si>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</si>
  <si>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</si>
  <si>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</si>
  <si>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</si>
  <si>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</si>
  <si>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</si>
  <si>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</si>
  <si>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</si>
  <si>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</si>
  <si>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</si>
  <si>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</si>
  <si>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</si>
  <si>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</si>
  <si>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</si>
  <si>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</si>
  <si>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</si>
  <si>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</si>
  <si>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</si>
  <si>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</si>
  <si>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</si>
  <si>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</si>
  <si>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</si>
  <si>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</si>
  <si>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</si>
  <si>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</si>
  <si>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</si>
  <si>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</si>
  <si>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</si>
  <si>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</si>
  <si>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</si>
  <si>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</si>
  <si>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</si>
  <si>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</si>
  <si>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</si>
  <si>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</si>
  <si>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</si>
  <si>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</si>
  <si>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</si>
  <si>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</si>
  <si>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</si>
  <si>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</si>
  <si>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</si>
  <si>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</si>
  <si>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</si>
  <si>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</si>
  <si>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</si>
  <si>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</si>
  <si>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</si>
  <si>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</si>
  <si>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</si>
  <si>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</si>
  <si>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</si>
  <si>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</si>
  <si>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</si>
  <si>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</si>
  <si>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</si>
  <si>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</si>
  <si>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</si>
  <si>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</si>
  <si>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</si>
  <si>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</si>
  <si>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</si>
  <si>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</si>
  <si>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</si>
  <si>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</si>
  <si>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</si>
  <si>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</si>
  <si>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</si>
  <si>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</si>
  <si>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</si>
  <si>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</si>
  <si>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</si>
  <si>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</si>
  <si>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</si>
  <si>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</si>
  <si>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</si>
  <si>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</si>
  <si>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</si>
  <si>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</si>
  <si>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</si>
  <si>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</si>
  <si>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</si>
  <si>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</si>
  <si>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</si>
  <si>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</si>
  <si>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</si>
  <si>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</si>
  <si>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</si>
  <si>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</si>
  <si>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</si>
  <si>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</si>
  <si>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</si>
  <si>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</si>
  <si>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</si>
  <si>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</si>
  <si>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</si>
  <si>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</si>
  <si>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</si>
  <si>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</si>
  <si>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</si>
  <si>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</si>
  <si>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</si>
  <si>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</si>
  <si>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</si>
  <si>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</si>
  <si>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</si>
  <si>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</si>
  <si>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</si>
  <si>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</si>
  <si>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</si>
  <si>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</si>
  <si>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</si>
  <si>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</si>
  <si>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</si>
  <si>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</si>
  <si>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</si>
  <si>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</si>
  <si>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</si>
  <si>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</si>
  <si>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</si>
  <si>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</si>
  <si>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</si>
  <si>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</si>
  <si>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</si>
  <si>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</si>
  <si>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</si>
  <si>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</si>
  <si>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</si>
  <si>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</si>
  <si>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</si>
  <si>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</si>
  <si>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</si>
  <si>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</si>
  <si>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</si>
  <si>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</si>
  <si>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</si>
  <si>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</si>
  <si>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</si>
  <si>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</si>
  <si>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</si>
  <si>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</si>
  <si>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</si>
  <si>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</si>
  <si>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</si>
  <si>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</si>
  <si>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</si>
  <si>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</si>
  <si>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</si>
  <si>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</si>
  <si>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</si>
  <si>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</si>
  <si>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</si>
  <si>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</si>
  <si>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</si>
  <si>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</si>
  <si>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</si>
  <si>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</si>
  <si>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</si>
  <si>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</si>
  <si>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</si>
  <si>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</si>
  <si>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</si>
  <si>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</si>
  <si>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</si>
  <si>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</si>
  <si>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</si>
  <si>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</si>
  <si>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</si>
  <si>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</si>
  <si>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</si>
  <si>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</si>
  <si>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</si>
  <si>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</si>
  <si>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</si>
  <si>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</si>
  <si>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</si>
  <si>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</si>
  <si>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</si>
  <si>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</si>
  <si>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</si>
  <si>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</si>
  <si>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</si>
  <si>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</si>
  <si>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</si>
  <si>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</si>
  <si>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r>
      <rPr>
        <sz val="10"/>
        <color theme="9" tint="-0.249977111117893"/>
        <rFont val="宋体"/>
        <family val="3"/>
        <charset val="134"/>
      </rPr>
      <t>通州区马驹桥镇国家环保产业园区</t>
    </r>
    <r>
      <rPr>
        <sz val="10"/>
        <color theme="9" tint="-0.249977111117893"/>
        <rFont val="Arial"/>
        <family val="2"/>
      </rPr>
      <t>YZ00-073-6004</t>
    </r>
    <r>
      <rPr>
        <sz val="10"/>
        <color theme="9" tint="-0.249977111117893"/>
        <rFont val="宋体"/>
        <family val="3"/>
        <charset val="134"/>
      </rPr>
      <t>、</t>
    </r>
    <r>
      <rPr>
        <sz val="10"/>
        <color theme="9" tint="-0.249977111117893"/>
        <rFont val="Arial"/>
        <family val="2"/>
      </rPr>
      <t>6006</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phoneticPr fontId="6" type="noConversion"/>
  </si>
  <si>
    <t>北京融泰房地产开发有限公司</t>
    <phoneticPr fontId="6" type="noConversion"/>
  </si>
  <si>
    <t>建行城建支行</t>
    <phoneticPr fontId="6" type="noConversion"/>
  </si>
  <si>
    <t>人防</t>
  </si>
  <si>
    <t>是</t>
  </si>
  <si>
    <t>地上</t>
  </si>
  <si>
    <t>住宅</t>
  </si>
  <si>
    <t>地下</t>
  </si>
  <si>
    <t>数据截止时间</t>
  </si>
  <si>
    <t>序号</t>
  </si>
  <si>
    <t>预售证编号</t>
  </si>
  <si>
    <t>预售范围</t>
  </si>
  <si>
    <t>批准销售面积</t>
  </si>
  <si>
    <t>总建筑面积</t>
  </si>
  <si>
    <t>签约统计</t>
  </si>
  <si>
    <t>已售占比(%)</t>
  </si>
  <si>
    <t>网签销售均价</t>
  </si>
  <si>
    <t>网签金额</t>
  </si>
  <si>
    <t>销售回款</t>
  </si>
  <si>
    <t>重点监管金额</t>
  </si>
  <si>
    <t>重点监管账户余额</t>
  </si>
  <si>
    <t>可售面积</t>
  </si>
  <si>
    <t>总货值</t>
  </si>
  <si>
    <t>（平米）</t>
  </si>
  <si>
    <t>总共套数（户）</t>
  </si>
  <si>
    <t>网签套数</t>
  </si>
  <si>
    <t>已签约面积（平米）</t>
  </si>
  <si>
    <t>（元/平米）</t>
  </si>
  <si>
    <t>（万元）</t>
  </si>
  <si>
    <t>1（南区）</t>
  </si>
  <si>
    <t>京房售证字（2020）开8号</t>
  </si>
  <si>
    <t>1-15#、地下车库南区</t>
  </si>
  <si>
    <t>住宅：</t>
  </si>
  <si>
    <t>仓储：</t>
  </si>
  <si>
    <t>地下车库</t>
  </si>
  <si>
    <t>2（北区）</t>
  </si>
  <si>
    <t>京房售证字（2021）开9号</t>
  </si>
  <si>
    <t>1-16#楼</t>
  </si>
  <si>
    <t>待取证</t>
  </si>
  <si>
    <t>住宅、地下车库北区、商业</t>
  </si>
  <si>
    <t>共计</t>
  </si>
  <si>
    <t>已签约未回款</t>
  </si>
  <si>
    <t>剩余货值</t>
  </si>
  <si>
    <t>类别</t>
  </si>
  <si>
    <t>贷款投放</t>
  </si>
  <si>
    <t>贷款余额</t>
  </si>
  <si>
    <t>贷款未投放金额</t>
  </si>
  <si>
    <t>销售回投</t>
  </si>
  <si>
    <t>总投缺口</t>
  </si>
  <si>
    <t>已提供发票</t>
  </si>
  <si>
    <t>应回存我行封闭管理金额</t>
  </si>
  <si>
    <t>我行账户金额</t>
  </si>
  <si>
    <t>整体销售率</t>
  </si>
  <si>
    <t>剩余货值扣除地下车库</t>
  </si>
  <si>
    <t>金额</t>
  </si>
  <si>
    <t>截止2023-3-31</t>
  </si>
  <si>
    <t>取证销售率</t>
  </si>
  <si>
    <t>剩余货值扣除地下车库及三期</t>
  </si>
  <si>
    <t>住宅</t>
    <phoneticPr fontId="7" type="noConversion"/>
  </si>
  <si>
    <t>仓储</t>
    <phoneticPr fontId="7" type="noConversion"/>
  </si>
  <si>
    <t>地下车库</t>
    <phoneticPr fontId="7" type="noConversion"/>
  </si>
  <si>
    <t>利息：取LPR加浮动点数</t>
  </si>
  <si>
    <t>工程进度/成新度</t>
  </si>
  <si>
    <t>未包含在土地购买价格中</t>
  </si>
  <si>
    <t>全部缴纳</t>
  </si>
  <si>
    <t>已包含在土地取得成本中</t>
  </si>
  <si>
    <t>成本法</t>
  </si>
  <si>
    <t>假设开发法</t>
  </si>
  <si>
    <t>04-1#住宅</t>
  </si>
  <si>
    <t>04-2#住宅</t>
  </si>
  <si>
    <t>04-3#住宅</t>
  </si>
  <si>
    <t>04-4#住宅</t>
  </si>
  <si>
    <t>04-5#住宅</t>
  </si>
  <si>
    <t>04-6#住宅</t>
  </si>
  <si>
    <t>04-7#住宅</t>
  </si>
  <si>
    <t>04-8#住宅</t>
  </si>
  <si>
    <t>04-9#住宅</t>
  </si>
  <si>
    <t>04-10#住宅</t>
  </si>
  <si>
    <t>04-11#住宅</t>
  </si>
  <si>
    <t>04-12#住宅</t>
  </si>
  <si>
    <t>04-13#住宅</t>
  </si>
  <si>
    <t>04-14#住宅</t>
  </si>
  <si>
    <t>04-15#住宅</t>
  </si>
  <si>
    <t>04-16#住宅</t>
  </si>
  <si>
    <t>04-S1#配套</t>
  </si>
  <si>
    <t>04-S2#配套</t>
  </si>
  <si>
    <t>04-S3#配套</t>
  </si>
  <si>
    <t>04-S4#配套</t>
  </si>
  <si>
    <t>04-S5#配套</t>
  </si>
  <si>
    <t>04-17#地下车库</t>
  </si>
  <si>
    <t>总价</t>
  </si>
  <si>
    <t>成本比率</t>
  </si>
  <si>
    <t>抵押合同补充协议一抵押物清单</t>
  </si>
  <si>
    <t>幢号</t>
  </si>
  <si>
    <t>单元</t>
  </si>
  <si>
    <t>房间</t>
  </si>
  <si>
    <t>房号</t>
  </si>
  <si>
    <t>产品类型</t>
  </si>
  <si>
    <t>建筑面积（㎡）</t>
  </si>
  <si>
    <t>-101</t>
  </si>
  <si>
    <t>库房</t>
  </si>
  <si>
    <t>-102</t>
  </si>
  <si>
    <t>-103</t>
  </si>
  <si>
    <t>-104</t>
  </si>
  <si>
    <t>-105</t>
  </si>
  <si>
    <t>-106</t>
  </si>
  <si>
    <t>-107</t>
  </si>
  <si>
    <t>-108</t>
  </si>
  <si>
    <t>-109</t>
  </si>
  <si>
    <t>-110</t>
  </si>
  <si>
    <t>-111</t>
  </si>
  <si>
    <t>-112</t>
  </si>
  <si>
    <t>-113</t>
  </si>
  <si>
    <t>-114</t>
  </si>
  <si>
    <t>-115</t>
  </si>
  <si>
    <t>-116</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</si>
  <si>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</si>
  <si>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</si>
  <si>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</si>
  <si>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</si>
  <si>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</si>
  <si>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</si>
  <si>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</si>
  <si>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</si>
  <si>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</si>
  <si>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</si>
  <si>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</si>
  <si>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</si>
  <si>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</si>
  <si>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</si>
  <si>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</si>
  <si>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</si>
  <si>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</si>
  <si>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</si>
  <si>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</si>
  <si>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</si>
  <si>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</si>
  <si>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</si>
  <si>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</si>
  <si>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</si>
  <si>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</si>
  <si>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</si>
  <si>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</si>
  <si>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</si>
  <si>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</si>
  <si>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</si>
  <si>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</si>
  <si>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</si>
  <si>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</si>
  <si>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</si>
  <si>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</si>
  <si>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</si>
  <si>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</si>
  <si>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</si>
  <si>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</si>
  <si>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</si>
  <si>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</si>
  <si>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</si>
  <si>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</si>
  <si>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</si>
  <si>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</si>
  <si>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</si>
  <si>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</si>
  <si>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</si>
  <si>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</si>
  <si>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</si>
  <si>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</si>
  <si>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</si>
  <si>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</si>
  <si>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</si>
  <si>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</si>
  <si>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</si>
  <si>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</si>
  <si>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</si>
  <si>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</si>
  <si>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</si>
  <si>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</si>
  <si>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</si>
  <si>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</si>
  <si>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</si>
  <si>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</si>
  <si>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</si>
  <si>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</si>
  <si>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</si>
  <si>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</si>
  <si>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</si>
  <si>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</si>
  <si>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</si>
  <si>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</si>
  <si>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</si>
  <si>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</si>
  <si>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</si>
  <si>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</si>
  <si>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</si>
  <si>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</si>
  <si>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</si>
  <si>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</si>
  <si>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</si>
  <si>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</si>
  <si>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</si>
  <si>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</si>
  <si>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</si>
  <si>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</si>
  <si>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</si>
  <si>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</si>
  <si>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</si>
  <si>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</si>
  <si>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</si>
  <si>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</si>
  <si>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</si>
  <si>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</si>
  <si>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</si>
  <si>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</si>
  <si>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</si>
  <si>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</si>
  <si>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</si>
  <si>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</si>
  <si>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</si>
  <si>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</si>
  <si>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</si>
  <si>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</si>
  <si>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</si>
  <si>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</si>
  <si>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</si>
  <si>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</si>
  <si>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</si>
  <si>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</si>
  <si>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</si>
  <si>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</si>
  <si>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</si>
  <si>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</si>
  <si>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</si>
  <si>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</si>
  <si>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</si>
  <si>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</si>
  <si>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</si>
  <si>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</si>
  <si>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</si>
  <si>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</si>
  <si>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</si>
  <si>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</si>
  <si>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</si>
  <si>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</si>
  <si>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</si>
  <si>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</si>
  <si>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</si>
  <si>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</si>
  <si>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</si>
  <si>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</si>
  <si>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</si>
  <si>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</si>
  <si>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</si>
  <si>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</si>
  <si>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</si>
  <si>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</si>
  <si>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</si>
  <si>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</si>
  <si>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</si>
  <si>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</si>
  <si>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</si>
  <si>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</si>
  <si>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</si>
  <si>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</si>
  <si>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</si>
  <si>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</si>
  <si>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</si>
  <si>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</si>
  <si>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</si>
  <si>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</si>
  <si>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</si>
  <si>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</si>
  <si>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</si>
  <si>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</si>
  <si>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</si>
  <si>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</si>
  <si>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</si>
  <si>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</si>
  <si>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</si>
  <si>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</si>
  <si>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</si>
  <si>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</si>
  <si>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</si>
  <si>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</si>
  <si>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</si>
  <si>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</si>
  <si>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</si>
  <si>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</si>
  <si>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</si>
  <si>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</si>
  <si>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</si>
  <si>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</si>
  <si>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</si>
  <si>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</si>
  <si>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</si>
  <si>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</si>
  <si>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</si>
  <si>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</si>
  <si>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</si>
  <si>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</si>
  <si>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</si>
  <si>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</si>
  <si>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</si>
  <si>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</si>
  <si>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</si>
  <si>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</si>
  <si>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</si>
  <si>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</si>
  <si>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</si>
  <si>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</si>
  <si>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</si>
  <si>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</si>
  <si>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</si>
  <si>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</si>
  <si>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</si>
  <si>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</si>
  <si>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</si>
  <si>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</si>
  <si>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</si>
  <si>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</si>
  <si>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</si>
  <si>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</si>
  <si>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</si>
  <si>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</si>
  <si>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</si>
  <si>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</si>
  <si>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</si>
  <si>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</si>
  <si>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</si>
  <si>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</si>
  <si>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</si>
  <si>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</si>
  <si>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</si>
  <si>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</si>
  <si>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</si>
  <si>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</si>
  <si>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</si>
  <si>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</si>
  <si>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</si>
  <si>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</si>
  <si>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</si>
  <si>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</si>
  <si>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</si>
  <si>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</si>
  <si>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</si>
  <si>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</si>
  <si>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</si>
  <si>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</si>
  <si>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</si>
  <si>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</si>
  <si>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</si>
  <si>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</si>
  <si>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</si>
  <si>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</si>
  <si>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</si>
  <si>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</si>
  <si>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</si>
  <si>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</si>
  <si>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</si>
  <si>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</si>
  <si>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</si>
  <si>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</si>
  <si>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</si>
  <si>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</si>
  <si>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</si>
  <si>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</si>
  <si>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</si>
  <si>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</si>
  <si>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</si>
  <si>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</si>
  <si>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</si>
  <si>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</si>
  <si>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</si>
  <si>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</si>
  <si>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</si>
  <si>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</si>
  <si>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</si>
  <si>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</si>
  <si>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</si>
  <si>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</si>
  <si>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</si>
  <si>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</si>
  <si>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</si>
  <si>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</si>
  <si>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</si>
  <si>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</si>
  <si>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</si>
  <si>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</si>
  <si>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</si>
  <si>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</si>
  <si>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</si>
  <si>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</si>
  <si>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</si>
  <si>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</si>
  <si>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</si>
  <si>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</si>
  <si>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</si>
  <si>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</si>
  <si>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</si>
  <si>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</si>
  <si>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</si>
  <si>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</si>
  <si>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</si>
  <si>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</si>
  <si>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</si>
  <si>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</si>
  <si>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</si>
  <si>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</si>
  <si>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</si>
  <si>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</si>
  <si>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</si>
  <si>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</si>
  <si>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</si>
  <si>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</si>
  <si>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</si>
  <si>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</si>
  <si>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</si>
  <si>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</si>
  <si>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</si>
  <si>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</si>
  <si>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</si>
  <si>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</si>
  <si>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</si>
  <si>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</si>
  <si>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</si>
  <si>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</si>
  <si>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</si>
  <si>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</si>
  <si>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</si>
  <si>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</si>
  <si>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</si>
  <si>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</si>
  <si>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</si>
  <si>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</si>
  <si>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</si>
  <si>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</si>
  <si>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</si>
  <si>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</si>
  <si>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</si>
  <si>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</si>
  <si>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</si>
  <si>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</si>
  <si>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</si>
  <si>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</si>
  <si>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</si>
  <si>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</si>
  <si>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</si>
  <si>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</si>
  <si>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</si>
  <si>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</si>
  <si>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</si>
  <si>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</si>
  <si>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</si>
  <si>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</si>
  <si>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</si>
  <si>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</si>
  <si>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</si>
  <si>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</si>
  <si>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</si>
  <si>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</si>
  <si>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</si>
  <si>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</si>
  <si>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</si>
  <si>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</si>
  <si>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</si>
  <si>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</si>
  <si>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</si>
  <si>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</si>
  <si>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</si>
  <si>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</si>
  <si>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</si>
  <si>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</si>
  <si>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</si>
  <si>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</si>
  <si>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</si>
  <si>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</si>
  <si>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</si>
  <si>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</si>
  <si>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</si>
  <si>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</si>
  <si>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</si>
  <si>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</si>
  <si>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</si>
  <si>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</si>
  <si>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</si>
  <si>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</si>
  <si>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</si>
  <si>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</si>
  <si>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</si>
  <si>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</si>
  <si>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</si>
  <si>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</si>
  <si>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</si>
  <si>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</si>
  <si>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</si>
  <si>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</si>
  <si>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</si>
  <si>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</si>
  <si>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</si>
  <si>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</si>
  <si>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</si>
  <si>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</si>
  <si>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</si>
  <si>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</si>
  <si>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</si>
  <si>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</si>
  <si>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</si>
  <si>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</si>
  <si>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</si>
  <si>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</si>
  <si>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</si>
  <si>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</si>
  <si>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</si>
  <si>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</si>
  <si>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</si>
  <si>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</si>
  <si>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</si>
  <si>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</si>
  <si>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</si>
  <si>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</si>
  <si>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</si>
  <si>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</si>
  <si>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</si>
  <si>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</si>
  <si>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</si>
  <si>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</si>
  <si>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</si>
  <si>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</si>
  <si>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</si>
  <si>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</si>
  <si>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</si>
  <si>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</si>
  <si>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</si>
  <si>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</si>
  <si>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</si>
  <si>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</si>
  <si>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</si>
  <si>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</si>
  <si>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</si>
  <si>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</si>
  <si>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</si>
  <si>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</si>
  <si>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</si>
  <si>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</si>
  <si>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</si>
  <si>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</si>
  <si>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</si>
  <si>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</si>
  <si>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</si>
  <si>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</si>
  <si>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</si>
  <si>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</si>
  <si>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</si>
  <si>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</si>
  <si>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</si>
  <si>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</si>
  <si>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</si>
  <si>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</si>
  <si>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</si>
  <si>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</si>
  <si>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</si>
  <si>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</si>
  <si>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</si>
  <si>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</si>
  <si>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</si>
  <si>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</si>
  <si>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</si>
  <si>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</si>
  <si>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</si>
  <si>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</si>
  <si>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</si>
  <si>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</si>
  <si>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</si>
  <si>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</si>
  <si>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</si>
  <si>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</si>
  <si>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</si>
  <si>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</si>
  <si>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</si>
  <si>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</si>
  <si>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</si>
  <si>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</si>
  <si>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</si>
  <si>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</si>
  <si>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</si>
  <si>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</si>
  <si>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</si>
  <si>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</si>
  <si>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</si>
  <si>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</si>
  <si>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</si>
  <si>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</si>
  <si>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</si>
  <si>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</si>
  <si>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</si>
  <si>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</si>
  <si>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</si>
  <si>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</si>
  <si>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</si>
  <si>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</si>
  <si>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</si>
  <si>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</si>
  <si>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</si>
  <si>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</si>
  <si>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</si>
  <si>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</si>
  <si>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</si>
  <si>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</si>
  <si>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</si>
  <si>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</si>
  <si>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</si>
  <si>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</si>
  <si>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</si>
  <si>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</si>
  <si>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</si>
  <si>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</si>
  <si>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</si>
  <si>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</si>
  <si>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</si>
  <si>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</si>
  <si>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</si>
  <si>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</si>
  <si>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</si>
  <si>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</si>
  <si>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</si>
  <si>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</si>
  <si>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</si>
  <si>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</si>
  <si>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</si>
  <si>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</si>
  <si>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</si>
  <si>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</si>
  <si>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</si>
  <si>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</si>
  <si>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</si>
  <si>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</si>
  <si>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</si>
  <si>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</si>
  <si>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</si>
  <si>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</si>
  <si>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</si>
  <si>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</si>
  <si>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</si>
  <si>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</si>
  <si>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</si>
  <si>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</si>
  <si>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</si>
  <si>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</si>
  <si>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</si>
  <si>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</si>
  <si>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</si>
  <si>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</si>
  <si>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</si>
  <si>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</si>
  <si>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</si>
  <si>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</si>
  <si>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</si>
  <si>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</si>
  <si>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</si>
  <si>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</si>
  <si>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</si>
  <si>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</si>
  <si>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</si>
  <si>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</si>
  <si>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</si>
  <si>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</si>
  <si>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</si>
  <si>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</si>
  <si>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</si>
  <si>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</si>
  <si>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</si>
  <si>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</si>
  <si>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</si>
  <si>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</si>
  <si>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</si>
  <si>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</si>
  <si>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</si>
  <si>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</si>
  <si>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</si>
  <si>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</si>
  <si>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</si>
  <si>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</si>
  <si>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</si>
  <si>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</si>
  <si>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</si>
  <si>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</si>
  <si>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</si>
  <si>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</si>
  <si>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</si>
  <si>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</si>
  <si>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</si>
  <si>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</si>
  <si>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</si>
  <si>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</si>
  <si>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</si>
  <si>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</si>
  <si>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</si>
  <si>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</si>
  <si>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</si>
  <si>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</si>
  <si>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</si>
  <si>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</si>
  <si>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</si>
  <si>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</si>
  <si>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</si>
  <si>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</si>
  <si>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</si>
  <si>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</si>
  <si>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</si>
  <si>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</si>
  <si>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</si>
  <si>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</si>
  <si>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</si>
  <si>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</si>
  <si>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</si>
  <si>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</si>
  <si>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</si>
  <si>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</si>
  <si>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</si>
  <si>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</si>
  <si>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</si>
  <si>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</si>
  <si>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</si>
  <si>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</si>
  <si>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</si>
  <si>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</si>
  <si>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</si>
  <si>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</si>
  <si>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</si>
  <si>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</si>
  <si>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</si>
  <si>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</si>
  <si>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</si>
  <si>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</si>
  <si>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</si>
  <si>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</si>
  <si>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</si>
  <si>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</si>
  <si>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</si>
  <si>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</si>
  <si>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</si>
  <si>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</si>
  <si>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</si>
  <si>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</si>
  <si>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</si>
  <si>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</si>
  <si>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</si>
  <si>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</si>
  <si>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</si>
  <si>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</si>
  <si>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</si>
  <si>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</si>
  <si>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</si>
  <si>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</si>
  <si>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</si>
  <si>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</si>
  <si>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</si>
  <si>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</si>
  <si>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</si>
  <si>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</si>
  <si>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</si>
  <si>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</si>
  <si>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</si>
  <si>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</si>
  <si>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</si>
  <si>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</si>
  <si>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</si>
  <si>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</si>
  <si>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</si>
  <si>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</si>
  <si>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</si>
  <si>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</si>
  <si>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</si>
  <si>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</si>
  <si>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</si>
  <si>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</si>
  <si>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</si>
  <si>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</si>
  <si>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</si>
  <si>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</si>
  <si>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</si>
  <si>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</si>
  <si>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</si>
  <si>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</si>
  <si>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</si>
  <si>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</si>
  <si>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</si>
  <si>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</si>
  <si>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</si>
  <si>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</si>
  <si>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</si>
  <si>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</si>
  <si>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</si>
  <si>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</si>
  <si>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</si>
  <si>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</si>
  <si>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</si>
  <si>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</si>
  <si>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</si>
  <si>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</si>
  <si>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</si>
  <si>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</si>
  <si>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</si>
  <si>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</si>
  <si>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</si>
  <si>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</si>
  <si>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</si>
  <si>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</si>
  <si>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</si>
  <si>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</si>
  <si>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</si>
  <si>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</si>
  <si>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</si>
  <si>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</si>
  <si>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</si>
  <si>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</si>
  <si>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</si>
  <si>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</si>
  <si>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</si>
  <si>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</si>
  <si>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</si>
  <si>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</si>
  <si>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</si>
  <si>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</si>
  <si>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</si>
  <si>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</si>
  <si>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</si>
  <si>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</si>
  <si>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</si>
  <si>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</si>
  <si>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</si>
  <si>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</si>
  <si>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</si>
  <si>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</si>
  <si>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</si>
  <si>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</si>
  <si>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</si>
  <si>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</si>
  <si>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</si>
  <si>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</si>
  <si>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</si>
  <si>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</si>
  <si>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</si>
  <si>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</si>
  <si>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</si>
  <si>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</si>
  <si>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</si>
  <si>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</si>
  <si>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</si>
  <si>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</si>
  <si>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</si>
  <si>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</si>
  <si>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</si>
  <si>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</si>
  <si>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</si>
  <si>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</si>
  <si>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</si>
  <si>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</si>
  <si>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</si>
  <si>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</si>
  <si>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</si>
  <si>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</si>
  <si>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</si>
  <si>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</si>
  <si>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</si>
  <si>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</si>
  <si>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</si>
  <si>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</si>
  <si>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</si>
  <si>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</si>
  <si>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</si>
  <si>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</si>
  <si>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</si>
  <si>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</si>
  <si>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</si>
  <si>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</si>
  <si>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</si>
  <si>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</si>
  <si>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</si>
  <si>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</si>
  <si>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</si>
  <si>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</si>
  <si>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</si>
  <si>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</si>
  <si>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</si>
  <si>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</si>
  <si>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</si>
  <si>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</si>
  <si>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</si>
  <si>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</si>
  <si>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</si>
  <si>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</si>
  <si>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</si>
  <si>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</si>
  <si>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</si>
  <si>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</si>
  <si>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</si>
  <si>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</si>
  <si>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</si>
  <si>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</si>
  <si>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</si>
  <si>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</si>
  <si>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</si>
  <si>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</si>
  <si>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</si>
  <si>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</si>
  <si>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</si>
  <si>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</si>
  <si>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</si>
  <si>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</si>
  <si>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</si>
  <si>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</si>
  <si>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</si>
  <si>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</si>
  <si>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</si>
  <si>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</si>
  <si>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</si>
  <si>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</si>
  <si>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</si>
  <si>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</si>
  <si>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</si>
  <si>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</si>
  <si>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</si>
  <si>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</si>
  <si>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</si>
  <si>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</si>
  <si>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</si>
  <si>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</si>
  <si>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</si>
  <si>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</si>
  <si>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</si>
  <si>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</si>
  <si>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</si>
  <si>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</si>
  <si>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</si>
  <si>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</si>
  <si>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</si>
  <si>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</si>
  <si>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</si>
  <si>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</si>
  <si>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</si>
  <si>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</si>
  <si>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</si>
  <si>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</si>
  <si>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</si>
  <si>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</si>
  <si>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</si>
  <si>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</si>
  <si>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</si>
  <si>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</si>
  <si>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</si>
  <si>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</si>
  <si>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</si>
  <si>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</si>
  <si>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</si>
  <si>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</si>
  <si>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</si>
  <si>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</si>
  <si>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</si>
  <si>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</si>
  <si>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</si>
  <si>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</si>
  <si>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</si>
  <si>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</si>
  <si>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</si>
  <si>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</si>
  <si>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</si>
  <si>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</si>
  <si>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</si>
  <si>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</si>
  <si>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</si>
  <si>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</si>
  <si>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</si>
  <si>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</si>
  <si>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</si>
  <si>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</si>
  <si>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</si>
  <si>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</si>
  <si>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</si>
  <si>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</si>
  <si>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</si>
  <si>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</si>
  <si>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</si>
  <si>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</si>
  <si>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</si>
  <si>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</si>
  <si>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</si>
  <si>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</si>
  <si>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</si>
  <si>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</si>
  <si>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</si>
  <si>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</si>
  <si>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</si>
  <si>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</si>
  <si>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</si>
  <si>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</si>
  <si>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</si>
  <si>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</si>
  <si>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</si>
  <si>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</si>
  <si>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</si>
  <si>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</si>
  <si>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</si>
  <si>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</si>
  <si>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</si>
  <si>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</si>
  <si>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</si>
  <si>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</si>
  <si>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</si>
  <si>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</si>
  <si>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</si>
  <si>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</si>
  <si>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</si>
  <si>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</si>
  <si>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</si>
  <si>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</si>
  <si>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</si>
  <si>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</si>
  <si>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</si>
  <si>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</si>
  <si>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</si>
  <si>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</si>
  <si>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</si>
  <si>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</si>
  <si>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</si>
  <si>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</si>
  <si>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</si>
  <si>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</si>
  <si>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</si>
  <si>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</si>
  <si>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</si>
  <si>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</si>
  <si>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</si>
  <si>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</si>
  <si>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</si>
  <si>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</si>
  <si>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</si>
  <si>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</si>
  <si>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</si>
  <si>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</si>
  <si>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</si>
  <si>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</si>
  <si>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</si>
  <si>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</si>
  <si>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</si>
  <si>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</si>
  <si>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</si>
  <si>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</si>
  <si>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</si>
  <si>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</si>
  <si>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</si>
  <si>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</si>
  <si>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</si>
  <si>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</si>
  <si>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</si>
  <si>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</si>
  <si>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</si>
  <si>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</si>
  <si>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</si>
  <si>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</si>
  <si>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</si>
  <si>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</si>
  <si>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</si>
  <si>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</si>
  <si>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</si>
  <si>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</si>
  <si>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</si>
  <si>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</si>
  <si>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</si>
  <si>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</si>
  <si>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</si>
  <si>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</si>
  <si>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</si>
  <si>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</si>
  <si>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</si>
  <si>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</si>
  <si>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</si>
  <si>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</si>
  <si>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</si>
  <si>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</si>
  <si>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</si>
  <si>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</si>
  <si>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</si>
  <si>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</si>
  <si>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</si>
  <si>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</si>
  <si>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</si>
  <si>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</si>
  <si>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</si>
  <si>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</si>
  <si>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</si>
  <si>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</si>
  <si>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</si>
  <si>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</si>
  <si>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</si>
  <si>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</si>
  <si>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</si>
  <si>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</si>
  <si>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</si>
  <si>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</si>
  <si>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</si>
  <si>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</si>
  <si>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</si>
  <si>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</si>
  <si>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</si>
  <si>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</si>
  <si>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</si>
  <si>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</si>
  <si>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</si>
  <si>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</si>
  <si>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</si>
  <si>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</si>
  <si>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</si>
  <si>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</si>
  <si>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</si>
  <si>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</si>
  <si>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</si>
  <si>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</si>
  <si>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</si>
  <si>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</si>
  <si>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</si>
  <si>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</si>
  <si>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</si>
  <si>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</si>
  <si>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</si>
  <si>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</si>
  <si>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</si>
  <si>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</si>
  <si>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</si>
  <si>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</si>
  <si>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</si>
  <si>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</si>
  <si>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</si>
  <si>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</si>
  <si>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</si>
  <si>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</si>
  <si>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</si>
  <si>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</si>
  <si>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</si>
  <si>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</si>
  <si>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</si>
  <si>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</si>
  <si>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</si>
  <si>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</si>
  <si>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</si>
  <si>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</si>
  <si>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</si>
  <si>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</si>
  <si>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</si>
  <si>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</si>
  <si>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</si>
  <si>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</si>
  <si>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</si>
  <si>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</si>
  <si>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</si>
  <si>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</si>
  <si>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</si>
  <si>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</si>
  <si>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</si>
  <si>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</si>
  <si>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</si>
  <si>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</si>
  <si>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</si>
  <si>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</si>
  <si>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</si>
  <si>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</si>
  <si>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</si>
  <si>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</si>
  <si>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</si>
  <si>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</si>
  <si>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</si>
  <si>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</si>
  <si>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</si>
  <si>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</si>
  <si>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</si>
  <si>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</si>
  <si>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</si>
  <si>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</si>
  <si>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</si>
  <si>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</si>
  <si>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</si>
  <si>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</si>
  <si>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</si>
  <si>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合计</t>
  </si>
  <si>
    <t>面积</t>
    <phoneticPr fontId="134" type="noConversion"/>
  </si>
  <si>
    <t>套数</t>
    <phoneticPr fontId="134" type="noConversion"/>
  </si>
  <si>
    <t>住宅</t>
    <phoneticPr fontId="134" type="noConversion"/>
  </si>
  <si>
    <t>1#</t>
    <phoneticPr fontId="134" type="noConversion"/>
  </si>
  <si>
    <t>2#</t>
    <phoneticPr fontId="134" type="noConversion"/>
  </si>
  <si>
    <t>3#</t>
    <phoneticPr fontId="134" type="noConversion"/>
  </si>
  <si>
    <t>4#</t>
    <phoneticPr fontId="134" type="noConversion"/>
  </si>
  <si>
    <t>5#</t>
    <phoneticPr fontId="134" type="noConversion"/>
  </si>
  <si>
    <t>6#</t>
    <phoneticPr fontId="134" type="noConversion"/>
  </si>
  <si>
    <t>7#</t>
    <phoneticPr fontId="134" type="noConversion"/>
  </si>
  <si>
    <t>8#</t>
    <phoneticPr fontId="134" type="noConversion"/>
  </si>
  <si>
    <t>9#</t>
    <phoneticPr fontId="134" type="noConversion"/>
  </si>
  <si>
    <t>10#</t>
    <phoneticPr fontId="134" type="noConversion"/>
  </si>
  <si>
    <t>11#</t>
    <phoneticPr fontId="134" type="noConversion"/>
  </si>
  <si>
    <t>12#</t>
    <phoneticPr fontId="134" type="noConversion"/>
  </si>
  <si>
    <t>13#</t>
    <phoneticPr fontId="134" type="noConversion"/>
  </si>
  <si>
    <t>14#</t>
    <phoneticPr fontId="134" type="noConversion"/>
  </si>
  <si>
    <t>15#</t>
    <phoneticPr fontId="134" type="noConversion"/>
  </si>
  <si>
    <t>16#</t>
    <phoneticPr fontId="134" type="noConversion"/>
  </si>
  <si>
    <t>仓储</t>
    <phoneticPr fontId="134" type="noConversion"/>
  </si>
  <si>
    <t>车库</t>
    <phoneticPr fontId="134" type="noConversion"/>
  </si>
  <si>
    <t>小计</t>
    <phoneticPr fontId="134" type="noConversion"/>
  </si>
  <si>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</si>
  <si>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</si>
  <si>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</si>
  <si>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</si>
  <si>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</si>
  <si>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</si>
  <si>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</si>
  <si>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</si>
  <si>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</si>
  <si>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</si>
  <si>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</si>
  <si>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</si>
  <si>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</si>
  <si>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</si>
  <si>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</si>
  <si>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</si>
  <si>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北京市通州区梨园镇东小马土地一级开发项目FZX-0306-6015、6016地块R2二类居住用地、F3其他类多功能用地 国有建设用地使用权出让</t>
  </si>
  <si>
    <t>京土储挂(通)〔2022〕075号</t>
  </si>
  <si>
    <t xml:space="preserve"> 通州区  </t>
  </si>
  <si>
    <t>综合用地(含住宅)</t>
  </si>
  <si>
    <t xml:space="preserve"> 已成交  </t>
  </si>
  <si>
    <t xml:space="preserve"> fzx-0306-6015容积率2.5、6016容积率2.1  </t>
  </si>
  <si>
    <t xml:space="preserve"> R2 二类居住用地 F3 其他类多功能用地  </t>
  </si>
  <si>
    <t>2023-02-07</t>
  </si>
  <si>
    <t xml:space="preserve"> 北京新城基业投资发展有限公司  </t>
  </si>
  <si>
    <t>北京市通州区永顺镇邓家窑及永顺村南部地块土地一级开发项目FZX-0501-6007地块R2二类居住用地</t>
  </si>
  <si>
    <t>京土储挂(通)〔2022〕069号</t>
  </si>
  <si>
    <t>住宅用地</t>
  </si>
  <si>
    <t xml:space="preserve"> R2二类居住用地  </t>
  </si>
  <si>
    <t>2022-11-28</t>
  </si>
  <si>
    <t xml:space="preserve"> 北京城建兴华地产有限公司  </t>
  </si>
  <si>
    <t>北京市通州区梨园镇东小马土地一级开发项目FZX-0306-6007、6008地块R2二类居住用地、A334托幼用地</t>
  </si>
  <si>
    <t>京土储挂(通)[2022]060号</t>
  </si>
  <si>
    <t xml:space="preserve"> fzx-0306-6007容积率2.5,fzx-0306-6008容积率0.8  </t>
  </si>
  <si>
    <t xml:space="preserve"> R2二类居住用地、A334托幼用地  </t>
  </si>
  <si>
    <t>2022-09-22</t>
  </si>
  <si>
    <t xml:space="preserve"> 中能建城市投资发展有限公司、北京张家湾设计小镇有限公司  </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</si>
  <si>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</si>
  <si>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</si>
  <si>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  </t>
  </si>
  <si>
    <t xml:space="preserve"> R2二类居住用地、B4综合性商业金融服务业用地  </t>
  </si>
  <si>
    <t>2022-02-16</t>
  </si>
  <si>
    <t xml:space="preserve"> 北京城市副中心投资建设集团有限公司  </t>
  </si>
  <si>
    <t>北京市通州区于家务TZ11-0200-6003、6006地块R2二类居住用地、TZ11-0200-6002地块A334托幼用地</t>
  </si>
  <si>
    <t>京土整储挂(通)[2021]053号</t>
  </si>
  <si>
    <t xml:space="preserve"> 6003,6006≤1.6;6002≤0.8  </t>
  </si>
  <si>
    <t>2021-10-12</t>
  </si>
  <si>
    <t xml:space="preserve"> 北京通州房地产开发有限责任公司  </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</si>
  <si>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</si>
  <si>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</si>
  <si>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  </t>
  </si>
  <si>
    <t xml:space="preserve"> R2二类居住用地、B1商业用地、A334幼儿园用地  </t>
  </si>
  <si>
    <t>2021-05-08</t>
  </si>
  <si>
    <t xml:space="preserve"> 北京兴远慧业科技有限公司  </t>
  </si>
  <si>
    <t>北京城市副中心1201街区FZX-1201-0019、0020、0040地块R2二类居住用地、0016地块F3其他类多功能用地、0039地块A51医院用地(配建“国际人才社区住房”)</t>
  </si>
  <si>
    <t>京土整储挂(通)[2021]021号</t>
  </si>
  <si>
    <t xml:space="preserve"> r2≤2.0;f3≤2.5;a51≤1.3  </t>
  </si>
  <si>
    <t xml:space="preserve"> R2二类居住用地、F3其他类多功能用地、A51医院用地  </t>
  </si>
  <si>
    <t xml:space="preserve"> 北京京投诚达科技发展有限公司  </t>
  </si>
  <si>
    <t>北京城市副中心0302街区FZX-0302-6004、6002地块F1住宅混合公建用地、A334托幼用地</t>
  </si>
  <si>
    <t>京土整储挂(通)[2021]020号</t>
  </si>
  <si>
    <t xml:space="preserve"> f1≤2.4,a334≤0.8  </t>
  </si>
  <si>
    <t xml:space="preserve"> F1住宅混合公建用地、A334托幼用地  </t>
  </si>
  <si>
    <t xml:space="preserve"> 北京城建投资发展股份有限公司、北京迪多纳企业管理有限公司  </t>
  </si>
  <si>
    <t>自持面积7%</t>
    <phoneticPr fontId="134" type="noConversion"/>
  </si>
  <si>
    <t>北京市通州区永顺镇运通人和良园二期项目FZX-0604-6002、FZX-0604-6006地块R2二类居住用地、A334托幼用地</t>
  </si>
  <si>
    <t>京土整储挂(通)[2020]023号</t>
  </si>
  <si>
    <t xml:space="preserve"> r2≤2.2,a33≤0.8  </t>
  </si>
  <si>
    <t>2020-07-14</t>
  </si>
  <si>
    <t xml:space="preserve"> 北京古城房地产开发有限公司、北京通州投资发展有限公司、北京春江房地产经纪有限责任公司  </t>
  </si>
  <si>
    <t>北京市通州区台湖镇亦庄新城站前区YZ00-0401-0056、YZ00-0401-L0055-02地块R2二类居住用地、A334托幼用地</t>
  </si>
  <si>
    <t>京土整储挂(通)[2019]053号</t>
  </si>
  <si>
    <t xml:space="preserve"> a334≤0.8,r2≤2.0  </t>
  </si>
  <si>
    <t>2020-02-18</t>
  </si>
  <si>
    <t xml:space="preserve"> 北京绿城投资有限公司  </t>
  </si>
  <si>
    <t>北京市通州区马驹桥镇亦庄新城0500街区YZ00-0500-6007等地块R2二类居住用地、A334托幼用地</t>
  </si>
  <si>
    <t>京土整储挂(通)[2019]051号</t>
  </si>
  <si>
    <t xml:space="preserve"> a334≤0.8,r2(6007)≤2.4,r2(6011)≤2.2  </t>
  </si>
  <si>
    <t>2020-02-11</t>
  </si>
  <si>
    <t xml:space="preserve"> 北京润置商业运营管理有限公司、华通置业有限公司联合体  </t>
  </si>
  <si>
    <t>北京市通州区马驹桥镇国家环保产业园区YZ00-0703-6004、6005、6006地块R2二类居住用地及A33基础教育用地</t>
  </si>
  <si>
    <t>京土整储挂(通)[2019]027号</t>
  </si>
  <si>
    <t xml:space="preserve"> R2二类居住用地、A33基础教育用地  </t>
  </si>
  <si>
    <t>2019-10-15</t>
  </si>
  <si>
    <t xml:space="preserve"> 北京融玺企业管理服务有限公司、北京首都开发股份有限公司、北京通州投资发展有限公司联合体  </t>
  </si>
  <si>
    <t>北京市通州新城0203街区TZ00-0203-6009地块R2二类居住用地、TZ00-0203-6010地块A33基础教育用地</t>
  </si>
  <si>
    <t>京土整储挂(通)[2018]067号</t>
  </si>
  <si>
    <t xml:space="preserve"> r2=1.6,a33=0.8  </t>
  </si>
  <si>
    <t>2019-02-02</t>
  </si>
  <si>
    <t>北京市通州区永顺镇TZ-0104-6002地块F1住宅混合公建用地、TZ-0104-6001地块A33基础教育用地</t>
  </si>
  <si>
    <t>京土整储挂(通)[2018]068号</t>
  </si>
  <si>
    <t xml:space="preserve"> f1=1.6,a33=0.8  </t>
  </si>
  <si>
    <t xml:space="preserve"> F1住宅混合公建用地、A33基础教育用地  </t>
  </si>
  <si>
    <t xml:space="preserve"> 天津北方泽茂企业管理有限公司、北京煦腾房地产开发有限公司联合体  </t>
  </si>
  <si>
    <t>北京市通州区台湖镇TZ09-0100-6016地块、6019地块R2二类居住用地、TZ09-0100-6018地块A33基础教育用地</t>
  </si>
  <si>
    <t>京土整储挂(通)[2018]060号</t>
  </si>
  <si>
    <t>2019-01-31</t>
  </si>
  <si>
    <t xml:space="preserve"> 中建一局集团房地产开发有限公司  </t>
  </si>
  <si>
    <t>2020-1</t>
    <phoneticPr fontId="30" type="noConversion"/>
  </si>
  <si>
    <t>住宅</t>
    <phoneticPr fontId="30" type="noConversion"/>
  </si>
  <si>
    <t>70</t>
    <phoneticPr fontId="30" type="noConversion"/>
  </si>
  <si>
    <t>否</t>
    <phoneticPr fontId="3" type="noConversion"/>
  </si>
  <si>
    <t>是</t>
    <phoneticPr fontId="3" type="noConversion"/>
  </si>
  <si>
    <t>是否有自持</t>
    <phoneticPr fontId="30" type="noConversion"/>
  </si>
  <si>
    <t>限价</t>
    <phoneticPr fontId="30" type="noConversion"/>
  </si>
  <si>
    <t>政府持有份额比例</t>
    <phoneticPr fontId="30" type="noConversion"/>
  </si>
  <si>
    <r>
      <t>40000</t>
    </r>
    <r>
      <rPr>
        <sz val="11"/>
        <color indexed="8"/>
        <rFont val="宋体"/>
        <family val="3"/>
        <charset val="134"/>
      </rPr>
      <t>（含）</t>
    </r>
    <r>
      <rPr>
        <sz val="11"/>
        <color indexed="8"/>
        <rFont val="Arial"/>
        <family val="2"/>
      </rPr>
      <t>-50000</t>
    </r>
    <phoneticPr fontId="3" type="noConversion"/>
  </si>
  <si>
    <r>
      <t>50000</t>
    </r>
    <r>
      <rPr>
        <sz val="11"/>
        <color indexed="8"/>
        <rFont val="宋体"/>
        <family val="3"/>
        <charset val="134"/>
      </rPr>
      <t>（含）</t>
    </r>
    <r>
      <rPr>
        <sz val="11"/>
        <color indexed="8"/>
        <rFont val="Arial"/>
        <family val="2"/>
      </rPr>
      <t>-60000</t>
    </r>
    <phoneticPr fontId="3" type="noConversion"/>
  </si>
  <si>
    <t>无限价</t>
    <phoneticPr fontId="3" type="noConversion"/>
  </si>
  <si>
    <t>否</t>
    <phoneticPr fontId="30" type="noConversion"/>
  </si>
  <si>
    <t>否</t>
    <phoneticPr fontId="30" type="noConversion"/>
  </si>
  <si>
    <t>是</t>
    <phoneticPr fontId="30" type="noConversion"/>
  </si>
  <si>
    <r>
      <t>40000</t>
    </r>
    <r>
      <rPr>
        <sz val="11"/>
        <rFont val="宋体"/>
        <family val="3"/>
        <charset val="134"/>
      </rPr>
      <t>（含）</t>
    </r>
    <r>
      <rPr>
        <sz val="11"/>
        <rFont val="Arial"/>
        <family val="2"/>
      </rPr>
      <t>-50000</t>
    </r>
    <phoneticPr fontId="30" type="noConversion"/>
  </si>
  <si>
    <r>
      <t>50000</t>
    </r>
    <r>
      <rPr>
        <sz val="11"/>
        <rFont val="宋体"/>
        <family val="3"/>
        <charset val="134"/>
      </rPr>
      <t>（含）</t>
    </r>
    <r>
      <rPr>
        <sz val="11"/>
        <rFont val="Arial"/>
        <family val="2"/>
      </rPr>
      <t>-60000</t>
    </r>
    <phoneticPr fontId="30" type="noConversion"/>
  </si>
  <si>
    <t>无限价</t>
    <phoneticPr fontId="30" type="noConversion"/>
  </si>
  <si>
    <t>一般</t>
  </si>
  <si>
    <t>较好</t>
  </si>
  <si>
    <t>七通</t>
  </si>
  <si>
    <t>较规则</t>
  </si>
  <si>
    <t>较规则</t>
    <phoneticPr fontId="30" type="noConversion"/>
  </si>
  <si>
    <t>较适宜</t>
  </si>
  <si>
    <t>较适宜</t>
    <phoneticPr fontId="30" type="noConversion"/>
  </si>
  <si>
    <t>较好</t>
    <phoneticPr fontId="30"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</si>
  <si>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</si>
  <si>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</si>
  <si>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</si>
  <si>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</si>
  <si>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</si>
  <si>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三通</t>
  </si>
  <si>
    <t>五通</t>
  </si>
  <si>
    <t>项目模式</t>
  </si>
  <si>
    <t>售价</t>
  </si>
  <si>
    <t>元/车位</t>
  </si>
  <si>
    <t>亦庄橡树湾</t>
    <phoneticPr fontId="3" type="noConversion"/>
  </si>
  <si>
    <t>金隅学府</t>
    <phoneticPr fontId="3" type="noConversion"/>
  </si>
  <si>
    <t>正常</t>
  </si>
  <si>
    <t>住宅</t>
    <phoneticPr fontId="24" type="noConversion"/>
  </si>
  <si>
    <t>60-70</t>
    <phoneticPr fontId="24" type="noConversion"/>
  </si>
  <si>
    <t>60-70</t>
    <phoneticPr fontId="24" type="noConversion"/>
  </si>
  <si>
    <t>普通住宅</t>
  </si>
  <si>
    <t>普通住宅</t>
    <phoneticPr fontId="24" type="noConversion"/>
  </si>
  <si>
    <t>钢混</t>
  </si>
  <si>
    <t>钢混</t>
    <phoneticPr fontId="24" type="noConversion"/>
  </si>
  <si>
    <t>精装</t>
  </si>
  <si>
    <t>精装</t>
    <phoneticPr fontId="24" type="noConversion"/>
  </si>
  <si>
    <t>专业</t>
  </si>
  <si>
    <t>专业</t>
    <phoneticPr fontId="24" type="noConversion"/>
  </si>
  <si>
    <t>七通</t>
    <phoneticPr fontId="24" type="noConversion"/>
  </si>
  <si>
    <t>收益法</t>
  </si>
  <si>
    <t>非生产用房</t>
  </si>
  <si>
    <t>在建（套用方法）</t>
  </si>
  <si>
    <t xml:space="preserve">城市之光东望 </t>
    <phoneticPr fontId="3" type="noConversion"/>
  </si>
  <si>
    <t>普装</t>
    <phoneticPr fontId="24" type="noConversion"/>
  </si>
  <si>
    <t>简装</t>
    <phoneticPr fontId="24" type="noConversion"/>
  </si>
  <si>
    <t>毛坯</t>
  </si>
  <si>
    <t>毛坯</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</si>
</sst>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00_ "/>
    <numFmt numFmtId="197" formatCode="#,##0.00_ "/>
    <numFmt numFmtId="198" formatCode="#,##0.00_);[Red]\(#,##0.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微软雅黑"/>
      <family val="2"/>
      <charset val="134"/>
    </font>
    <font>
      <sz val="12"/>
      <name val="宋体"/>
      <family val="3"/>
      <charset val="134"/>
      <scheme val="minor"/>
    </font>
    <font>
      <sz val="10.5"/>
      <color theme="1"/>
      <name val="彩虹粗仿宋"/>
      <charset val="134"/>
    </font>
    <font>
      <sz val="10.5"/>
      <name val="彩虹粗仿宋"/>
      <charset val="134"/>
    </font>
    <font>
      <b/>
      <sz val="10.5"/>
      <color theme="1"/>
      <name val="彩虹粗仿宋"/>
      <charset val="134"/>
    </font>
    <font>
      <sz val="12"/>
      <color theme="1"/>
      <name val="彩虹粗仿宋"/>
      <charset val="134"/>
    </font>
    <font>
      <b/>
      <sz val="10"/>
      <color rgb="FF000000"/>
      <name val="宋体"/>
      <family val="3"/>
      <charset val="134"/>
    </font>
    <font>
      <sz val="10"/>
      <color rgb="FF000000"/>
      <name val="仿宋_GB2312"/>
      <charset val="134"/>
    </font>
    <font>
      <sz val="11"/>
      <color indexed="8"/>
      <name val="仿宋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269" fillId="0" borderId="15" xfId="0" applyFont="1" applyFill="1" applyBorder="1" applyAlignment="1">
      <alignment horizontal="center" vertical="center" wrapText="1"/>
    </xf>
    <xf numFmtId="58" fontId="270" fillId="0" borderId="0" xfId="0" applyNumberFormat="1" applyFont="1" applyFill="1" applyBorder="1" applyAlignment="1"/>
    <xf numFmtId="0" fontId="0" fillId="0" borderId="0" xfId="0" applyFill="1" applyAlignment="1"/>
    <xf numFmtId="0" fontId="0" fillId="0" borderId="0" xfId="0" applyNumberFormat="1" applyFill="1" applyAlignment="1"/>
    <xf numFmtId="0" fontId="271" fillId="0" borderId="31" xfId="0" applyFont="1" applyFill="1" applyBorder="1" applyAlignment="1">
      <alignment horizontal="center" vertical="center" wrapText="1"/>
    </xf>
    <xf numFmtId="0" fontId="272" fillId="0" borderId="31" xfId="0" applyFont="1" applyFill="1" applyBorder="1" applyAlignment="1">
      <alignment horizontal="center" vertical="center" wrapText="1"/>
    </xf>
    <xf numFmtId="0" fontId="271" fillId="0" borderId="82" xfId="0" applyFont="1" applyFill="1" applyBorder="1" applyAlignment="1">
      <alignment horizontal="center" vertical="center" wrapText="1"/>
    </xf>
    <xf numFmtId="0" fontId="271" fillId="0" borderId="43" xfId="0" applyFont="1" applyFill="1" applyBorder="1" applyAlignment="1">
      <alignment horizontal="center" vertical="center" wrapText="1"/>
    </xf>
    <xf numFmtId="0" fontId="272" fillId="0" borderId="43" xfId="0" applyFont="1" applyFill="1" applyBorder="1" applyAlignment="1">
      <alignment horizontal="center" vertical="center" wrapText="1"/>
    </xf>
    <xf numFmtId="0" fontId="272" fillId="22" borderId="43" xfId="0" applyFont="1" applyFill="1" applyBorder="1" applyAlignment="1">
      <alignment horizontal="center" vertical="center" wrapText="1"/>
    </xf>
    <xf numFmtId="4" fontId="272" fillId="22" borderId="43" xfId="0" applyNumberFormat="1" applyFont="1" applyFill="1" applyBorder="1" applyAlignment="1">
      <alignment horizontal="center" vertical="center" wrapText="1"/>
    </xf>
    <xf numFmtId="4" fontId="271" fillId="0" borderId="43" xfId="0" applyNumberFormat="1" applyFont="1" applyFill="1" applyBorder="1" applyAlignment="1">
      <alignment horizontal="center" vertical="center" wrapText="1"/>
    </xf>
    <xf numFmtId="4" fontId="272" fillId="0" borderId="43" xfId="0" applyNumberFormat="1" applyFont="1" applyFill="1" applyBorder="1" applyAlignment="1">
      <alignment horizontal="center" vertical="center" wrapText="1"/>
    </xf>
    <xf numFmtId="196" fontId="0" fillId="0" borderId="0" xfId="0" applyNumberFormat="1" applyFill="1" applyAlignment="1"/>
    <xf numFmtId="10" fontId="271" fillId="0" borderId="43" xfId="0" applyNumberFormat="1" applyFont="1" applyFill="1" applyBorder="1" applyAlignment="1">
      <alignment horizontal="center" vertical="center" wrapText="1"/>
    </xf>
    <xf numFmtId="58" fontId="271" fillId="0" borderId="81" xfId="0" applyNumberFormat="1" applyFont="1" applyFill="1" applyBorder="1" applyAlignment="1">
      <alignment horizontal="center" vertical="center" wrapText="1"/>
    </xf>
    <xf numFmtId="0" fontId="271" fillId="0" borderId="43" xfId="0" applyNumberFormat="1" applyFont="1" applyFill="1" applyBorder="1" applyAlignment="1">
      <alignment horizontal="center" vertical="center" wrapText="1"/>
    </xf>
    <xf numFmtId="197" fontId="271" fillId="0" borderId="43" xfId="0" applyNumberFormat="1" applyFont="1" applyFill="1" applyBorder="1" applyAlignment="1">
      <alignment horizontal="center" vertical="center" wrapText="1"/>
    </xf>
    <xf numFmtId="4" fontId="273" fillId="0" borderId="43" xfId="0" applyNumberFormat="1" applyFont="1" applyFill="1" applyBorder="1" applyAlignment="1">
      <alignment horizontal="center" vertical="center" wrapText="1"/>
    </xf>
    <xf numFmtId="0" fontId="0" fillId="0" borderId="82" xfId="0" applyFont="1" applyFill="1" applyBorder="1" applyAlignment="1">
      <alignment horizontal="center" vertical="center"/>
    </xf>
    <xf numFmtId="0" fontId="274" fillId="0" borderId="82" xfId="0" applyFont="1" applyFill="1" applyBorder="1" applyAlignment="1">
      <alignment horizontal="center" vertical="center" wrapText="1"/>
    </xf>
    <xf numFmtId="10" fontId="0" fillId="0" borderId="82" xfId="0" applyNumberFormat="1" applyFont="1" applyFill="1" applyBorder="1" applyAlignment="1">
      <alignment horizontal="center" vertical="center"/>
    </xf>
    <xf numFmtId="0" fontId="0" fillId="0" borderId="82" xfId="0" applyFont="1" applyFill="1" applyBorder="1" applyAlignment="1">
      <alignment horizontal="center" vertical="center" wrapText="1"/>
    </xf>
    <xf numFmtId="0" fontId="274" fillId="0" borderId="81" xfId="0" applyFont="1" applyFill="1" applyBorder="1" applyAlignment="1">
      <alignment horizontal="center" vertical="center" wrapText="1"/>
    </xf>
    <xf numFmtId="198" fontId="274" fillId="0" borderId="81" xfId="0" applyNumberFormat="1" applyFont="1" applyFill="1" applyBorder="1" applyAlignment="1">
      <alignment horizontal="center" vertical="center" wrapText="1"/>
    </xf>
    <xf numFmtId="198" fontId="274" fillId="0" borderId="42" xfId="0" applyNumberFormat="1" applyFont="1" applyFill="1" applyBorder="1" applyAlignment="1">
      <alignment horizontal="center" vertical="center" wrapText="1"/>
    </xf>
    <xf numFmtId="198" fontId="274" fillId="0" borderId="82" xfId="0" applyNumberFormat="1" applyFont="1" applyFill="1" applyBorder="1" applyAlignment="1">
      <alignment horizontal="center" vertical="center" wrapText="1"/>
    </xf>
    <xf numFmtId="4" fontId="47" fillId="0" borderId="3" xfId="0" applyNumberFormat="1" applyFont="1" applyFill="1" applyBorder="1" applyProtection="1">
      <alignment vertical="center"/>
      <protection locked="0"/>
    </xf>
    <xf numFmtId="4" fontId="47" fillId="0" borderId="24" xfId="0" applyNumberFormat="1" applyFont="1" applyFill="1" applyBorder="1" applyProtection="1">
      <alignment vertical="center"/>
      <protection locked="0"/>
    </xf>
    <xf numFmtId="176" fontId="46" fillId="18" borderId="1" xfId="0" applyNumberFormat="1" applyFont="1" applyFill="1" applyBorder="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1" fillId="0" borderId="27" xfId="0" applyFont="1" applyFill="1" applyBorder="1" applyAlignment="1">
      <alignment horizontal="center" vertical="center" wrapText="1"/>
    </xf>
    <xf numFmtId="0" fontId="271" fillId="0" borderId="81" xfId="0" applyFont="1" applyFill="1" applyBorder="1" applyAlignment="1">
      <alignment horizontal="center" vertical="center" wrapText="1"/>
    </xf>
    <xf numFmtId="0" fontId="271" fillId="0" borderId="27" xfId="0" applyNumberFormat="1" applyFont="1" applyFill="1" applyBorder="1" applyAlignment="1">
      <alignment horizontal="center" vertical="center" wrapText="1"/>
    </xf>
    <xf numFmtId="0" fontId="271" fillId="0" borderId="81" xfId="0" applyNumberFormat="1" applyFont="1" applyFill="1" applyBorder="1" applyAlignment="1">
      <alignment horizontal="center" vertical="center" wrapText="1"/>
    </xf>
    <xf numFmtId="0" fontId="271" fillId="0" borderId="16" xfId="0" applyFont="1" applyFill="1" applyBorder="1" applyAlignment="1">
      <alignment horizontal="center" vertical="center" wrapText="1"/>
    </xf>
    <xf numFmtId="0" fontId="271" fillId="0" borderId="19" xfId="0" applyFont="1" applyFill="1" applyBorder="1" applyAlignment="1">
      <alignment horizontal="center" vertical="center" wrapText="1"/>
    </xf>
    <xf numFmtId="0" fontId="271" fillId="0" borderId="31" xfId="0" applyFont="1" applyFill="1" applyBorder="1" applyAlignment="1">
      <alignment horizontal="center" vertical="center" wrapText="1"/>
    </xf>
    <xf numFmtId="4" fontId="272" fillId="22" borderId="27" xfId="0" applyNumberFormat="1" applyFont="1" applyFill="1" applyBorder="1" applyAlignment="1">
      <alignment horizontal="center" vertical="center" wrapText="1"/>
    </xf>
    <xf numFmtId="4" fontId="272" fillId="22" borderId="80" xfId="0" applyNumberFormat="1" applyFont="1" applyFill="1" applyBorder="1" applyAlignment="1">
      <alignment horizontal="center" vertical="center" wrapText="1"/>
    </xf>
    <xf numFmtId="4" fontId="272" fillId="22" borderId="81" xfId="0" applyNumberFormat="1" applyFont="1" applyFill="1" applyBorder="1" applyAlignment="1">
      <alignment horizontal="center" vertical="center" wrapText="1"/>
    </xf>
    <xf numFmtId="4" fontId="271" fillId="0" borderId="27" xfId="0" applyNumberFormat="1" applyFont="1" applyFill="1" applyBorder="1" applyAlignment="1">
      <alignment horizontal="center" vertical="center" wrapText="1"/>
    </xf>
    <xf numFmtId="4" fontId="271" fillId="0" borderId="80" xfId="0" applyNumberFormat="1" applyFont="1" applyFill="1" applyBorder="1" applyAlignment="1">
      <alignment horizontal="center" vertical="center" wrapText="1"/>
    </xf>
    <xf numFmtId="4" fontId="271" fillId="0" borderId="81" xfId="0" applyNumberFormat="1" applyFont="1" applyFill="1" applyBorder="1" applyAlignment="1">
      <alignment horizontal="center" vertical="center" wrapText="1"/>
    </xf>
    <xf numFmtId="0" fontId="271" fillId="0" borderId="80" xfId="0" applyFont="1" applyFill="1" applyBorder="1" applyAlignment="1">
      <alignment horizontal="center" vertical="center" wrapText="1"/>
    </xf>
    <xf numFmtId="0" fontId="271" fillId="0" borderId="80" xfId="0" applyNumberFormat="1" applyFont="1" applyFill="1" applyBorder="1" applyAlignment="1">
      <alignment horizontal="center" vertical="center" wrapText="1"/>
    </xf>
    <xf numFmtId="10" fontId="271" fillId="0" borderId="27" xfId="0" applyNumberFormat="1" applyFont="1" applyFill="1" applyBorder="1" applyAlignment="1">
      <alignment horizontal="center" vertical="center" wrapText="1"/>
    </xf>
    <xf numFmtId="10" fontId="271" fillId="0" borderId="80" xfId="0" applyNumberFormat="1" applyFont="1" applyFill="1" applyBorder="1" applyAlignment="1">
      <alignment horizontal="center" vertical="center" wrapText="1"/>
    </xf>
    <xf numFmtId="10" fontId="271" fillId="0" borderId="81" xfId="0" applyNumberFormat="1" applyFont="1" applyFill="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6" fillId="0" borderId="1" xfId="0" applyFont="1" applyFill="1" applyBorder="1" applyAlignment="1">
      <alignment horizontal="center" vertical="center"/>
    </xf>
    <xf numFmtId="0" fontId="0" fillId="0" borderId="0" xfId="0" applyFill="1">
      <alignment vertical="center"/>
    </xf>
    <xf numFmtId="0" fontId="275" fillId="0" borderId="1" xfId="0" applyFont="1" applyFill="1" applyBorder="1" applyAlignment="1">
      <alignment horizontal="center" vertical="center" wrapText="1"/>
    </xf>
    <xf numFmtId="0" fontId="0" fillId="0" borderId="0" xfId="0" applyFill="1" applyBorder="1">
      <alignment vertical="center"/>
    </xf>
    <xf numFmtId="0" fontId="276" fillId="0" borderId="1" xfId="0" applyFont="1" applyFill="1" applyBorder="1" applyAlignment="1">
      <alignment horizontal="center" vertical="center" wrapText="1"/>
    </xf>
    <xf numFmtId="0" fontId="163" fillId="0" borderId="1" xfId="0" applyFont="1" applyFill="1" applyBorder="1" applyAlignment="1">
      <alignment horizontal="center" vertical="center" wrapText="1"/>
    </xf>
    <xf numFmtId="49" fontId="19" fillId="0" borderId="1" xfId="0" applyNumberFormat="1" applyFont="1" applyFill="1" applyBorder="1" applyAlignment="1" applyProtection="1">
      <alignment horizontal="center" vertical="center" shrinkToFit="1"/>
    </xf>
    <xf numFmtId="0" fontId="19" fillId="0" borderId="1" xfId="0" applyNumberFormat="1" applyFont="1" applyFill="1" applyBorder="1" applyAlignment="1" applyProtection="1">
      <alignment horizontal="center" vertical="center" shrinkToFit="1"/>
    </xf>
    <xf numFmtId="0" fontId="0" fillId="0" borderId="1" xfId="0" applyFill="1" applyBorder="1" applyAlignment="1">
      <alignment horizontal="center" vertical="center"/>
    </xf>
    <xf numFmtId="0" fontId="0" fillId="0" borderId="1" xfId="0" applyNumberFormat="1" applyFill="1" applyBorder="1" applyAlignment="1">
      <alignment horizontal="center" vertical="center"/>
    </xf>
    <xf numFmtId="0" fontId="163" fillId="0" borderId="1" xfId="0" applyFont="1" applyFill="1" applyBorder="1" applyAlignment="1">
      <alignment horizontal="center" vertical="center"/>
    </xf>
    <xf numFmtId="0" fontId="275" fillId="0" borderId="1" xfId="0" applyFont="1" applyFill="1" applyBorder="1" applyAlignment="1">
      <alignment horizontal="center" vertical="center"/>
    </xf>
    <xf numFmtId="0" fontId="107" fillId="0" borderId="0" xfId="0" applyFont="1" applyFill="1" applyBorder="1" applyAlignment="1">
      <alignment horizontal="center" vertical="center"/>
    </xf>
    <xf numFmtId="0" fontId="95" fillId="0" borderId="0" xfId="0" applyFont="1" applyFill="1">
      <alignment vertical="center"/>
    </xf>
    <xf numFmtId="0" fontId="95" fillId="0" borderId="0" xfId="0" applyFont="1" applyFill="1" applyBorder="1">
      <alignment vertical="center"/>
    </xf>
    <xf numFmtId="0" fontId="0" fillId="0" borderId="0" xfId="0" applyNumberFormat="1" applyAlignment="1"/>
    <xf numFmtId="14" fontId="0" fillId="0" borderId="0" xfId="0" applyNumberFormat="1" applyAlignment="1"/>
    <xf numFmtId="14" fontId="0" fillId="0" borderId="0" xfId="0" applyNumberFormat="1" applyFill="1" applyAlignment="1"/>
    <xf numFmtId="0" fontId="0" fillId="5" borderId="0" xfId="0" applyNumberFormat="1" applyFill="1" applyAlignment="1"/>
    <xf numFmtId="14" fontId="0" fillId="5" borderId="0" xfId="0" applyNumberFormat="1" applyFill="1" applyAlignment="1"/>
    <xf numFmtId="0" fontId="95" fillId="5" borderId="0" xfId="0" applyNumberFormat="1" applyFont="1" applyFill="1" applyAlignment="1"/>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128" fillId="0" borderId="33"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9" fontId="44" fillId="0" borderId="2"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94" fillId="0" borderId="23" xfId="0" applyNumberFormat="1" applyFont="1" applyFill="1" applyBorder="1" applyAlignment="1" applyProtection="1">
      <alignment horizontal="center" vertical="center" wrapText="1"/>
      <protection locked="0"/>
    </xf>
    <xf numFmtId="9" fontId="51" fillId="0" borderId="38" xfId="0" applyNumberFormat="1" applyFont="1" applyFill="1" applyBorder="1" applyAlignment="1" applyProtection="1">
      <alignment horizontal="center" vertical="center" wrapText="1"/>
      <protection locked="0"/>
    </xf>
    <xf numFmtId="9" fontId="51" fillId="0" borderId="1" xfId="0" applyNumberFormat="1" applyFont="1" applyFill="1" applyBorder="1" applyAlignment="1" applyProtection="1">
      <alignment horizontal="center" vertical="center" wrapText="1"/>
      <protection locked="0"/>
    </xf>
    <xf numFmtId="9" fontId="51" fillId="0" borderId="23"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77" fillId="0" borderId="44" xfId="0" applyNumberFormat="1"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9</xdr:col>
      <xdr:colOff>495301</xdr:colOff>
      <xdr:row>11</xdr:row>
      <xdr:rowOff>116551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6667500" cy="2002500"/>
        </a:xfrm>
        <a:prstGeom prst="rect">
          <a:avLst/>
        </a:prstGeom>
      </xdr:spPr>
    </xdr:pic>
    <xdr:clientData/>
  </xdr:twoCellAnchor>
  <xdr:twoCellAnchor editAs="oneCell">
    <xdr:from>
      <xdr:col>0</xdr:col>
      <xdr:colOff>28575</xdr:colOff>
      <xdr:row>9</xdr:row>
      <xdr:rowOff>76200</xdr:rowOff>
    </xdr:from>
    <xdr:to>
      <xdr:col>12</xdr:col>
      <xdr:colOff>56118</xdr:colOff>
      <xdr:row>32</xdr:row>
      <xdr:rowOff>18565</xdr:rowOff>
    </xdr:to>
    <xdr:pic>
      <xdr:nvPicPr>
        <xdr:cNvPr id="3" name="图片 2"/>
        <xdr:cNvPicPr>
          <a:picLocks noChangeAspect="1"/>
        </xdr:cNvPicPr>
      </xdr:nvPicPr>
      <xdr:blipFill>
        <a:blip xmlns:r="http://schemas.openxmlformats.org/officeDocument/2006/relationships" r:embed="rId2"/>
        <a:stretch>
          <a:fillRect/>
        </a:stretch>
      </xdr:blipFill>
      <xdr:spPr>
        <a:xfrm>
          <a:off x="28575" y="1619250"/>
          <a:ext cx="8257143" cy="3885715"/>
        </a:xfrm>
        <a:prstGeom prst="rect">
          <a:avLst/>
        </a:prstGeom>
      </xdr:spPr>
    </xdr:pic>
    <xdr:clientData/>
  </xdr:twoCellAnchor>
  <xdr:twoCellAnchor editAs="oneCell">
    <xdr:from>
      <xdr:col>0</xdr:col>
      <xdr:colOff>219075</xdr:colOff>
      <xdr:row>32</xdr:row>
      <xdr:rowOff>76200</xdr:rowOff>
    </xdr:from>
    <xdr:to>
      <xdr:col>12</xdr:col>
      <xdr:colOff>170428</xdr:colOff>
      <xdr:row>46</xdr:row>
      <xdr:rowOff>152091</xdr:rowOff>
    </xdr:to>
    <xdr:pic>
      <xdr:nvPicPr>
        <xdr:cNvPr id="4" name="图片 3"/>
        <xdr:cNvPicPr>
          <a:picLocks noChangeAspect="1"/>
        </xdr:cNvPicPr>
      </xdr:nvPicPr>
      <xdr:blipFill>
        <a:blip xmlns:r="http://schemas.openxmlformats.org/officeDocument/2006/relationships" r:embed="rId3"/>
        <a:stretch>
          <a:fillRect/>
        </a:stretch>
      </xdr:blipFill>
      <xdr:spPr>
        <a:xfrm>
          <a:off x="219075" y="5562600"/>
          <a:ext cx="8180953" cy="2476191"/>
        </a:xfrm>
        <a:prstGeom prst="rect">
          <a:avLst/>
        </a:prstGeom>
      </xdr:spPr>
    </xdr:pic>
    <xdr:clientData/>
  </xdr:twoCellAnchor>
  <xdr:twoCellAnchor editAs="oneCell">
    <xdr:from>
      <xdr:col>0</xdr:col>
      <xdr:colOff>276225</xdr:colOff>
      <xdr:row>44</xdr:row>
      <xdr:rowOff>57150</xdr:rowOff>
    </xdr:from>
    <xdr:to>
      <xdr:col>12</xdr:col>
      <xdr:colOff>284721</xdr:colOff>
      <xdr:row>65</xdr:row>
      <xdr:rowOff>123367</xdr:rowOff>
    </xdr:to>
    <xdr:pic>
      <xdr:nvPicPr>
        <xdr:cNvPr id="5" name="图片 4"/>
        <xdr:cNvPicPr>
          <a:picLocks noChangeAspect="1"/>
        </xdr:cNvPicPr>
      </xdr:nvPicPr>
      <xdr:blipFill>
        <a:blip xmlns:r="http://schemas.openxmlformats.org/officeDocument/2006/relationships" r:embed="rId4"/>
        <a:stretch>
          <a:fillRect/>
        </a:stretch>
      </xdr:blipFill>
      <xdr:spPr>
        <a:xfrm>
          <a:off x="276225" y="7600950"/>
          <a:ext cx="8238096" cy="3666667"/>
        </a:xfrm>
        <a:prstGeom prst="rect">
          <a:avLst/>
        </a:prstGeom>
      </xdr:spPr>
    </xdr:pic>
    <xdr:clientData/>
  </xdr:twoCellAnchor>
  <xdr:twoCellAnchor editAs="oneCell">
    <xdr:from>
      <xdr:col>0</xdr:col>
      <xdr:colOff>304800</xdr:colOff>
      <xdr:row>65</xdr:row>
      <xdr:rowOff>114300</xdr:rowOff>
    </xdr:from>
    <xdr:to>
      <xdr:col>9</xdr:col>
      <xdr:colOff>275458</xdr:colOff>
      <xdr:row>79</xdr:row>
      <xdr:rowOff>94953</xdr:rowOff>
    </xdr:to>
    <xdr:pic>
      <xdr:nvPicPr>
        <xdr:cNvPr id="6" name="图片 5"/>
        <xdr:cNvPicPr>
          <a:picLocks noChangeAspect="1"/>
        </xdr:cNvPicPr>
      </xdr:nvPicPr>
      <xdr:blipFill>
        <a:blip xmlns:r="http://schemas.openxmlformats.org/officeDocument/2006/relationships" r:embed="rId5"/>
        <a:stretch>
          <a:fillRect/>
        </a:stretch>
      </xdr:blipFill>
      <xdr:spPr>
        <a:xfrm>
          <a:off x="304800" y="11258550"/>
          <a:ext cx="6142858" cy="2380953"/>
        </a:xfrm>
        <a:prstGeom prst="rect">
          <a:avLst/>
        </a:prstGeom>
      </xdr:spPr>
    </xdr:pic>
    <xdr:clientData/>
  </xdr:twoCellAnchor>
  <xdr:twoCellAnchor editAs="oneCell">
    <xdr:from>
      <xdr:col>0</xdr:col>
      <xdr:colOff>323850</xdr:colOff>
      <xdr:row>77</xdr:row>
      <xdr:rowOff>123825</xdr:rowOff>
    </xdr:from>
    <xdr:to>
      <xdr:col>12</xdr:col>
      <xdr:colOff>275203</xdr:colOff>
      <xdr:row>99</xdr:row>
      <xdr:rowOff>123354</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13325475"/>
          <a:ext cx="8180953" cy="3771429"/>
        </a:xfrm>
        <a:prstGeom prst="rect">
          <a:avLst/>
        </a:prstGeom>
      </xdr:spPr>
    </xdr:pic>
    <xdr:clientData/>
  </xdr:twoCellAnchor>
  <xdr:twoCellAnchor editAs="oneCell">
    <xdr:from>
      <xdr:col>0</xdr:col>
      <xdr:colOff>209550</xdr:colOff>
      <xdr:row>99</xdr:row>
      <xdr:rowOff>76200</xdr:rowOff>
    </xdr:from>
    <xdr:to>
      <xdr:col>12</xdr:col>
      <xdr:colOff>589474</xdr:colOff>
      <xdr:row>114</xdr:row>
      <xdr:rowOff>75879</xdr:rowOff>
    </xdr:to>
    <xdr:pic>
      <xdr:nvPicPr>
        <xdr:cNvPr id="8" name="图片 7"/>
        <xdr:cNvPicPr>
          <a:picLocks noChangeAspect="1"/>
        </xdr:cNvPicPr>
      </xdr:nvPicPr>
      <xdr:blipFill>
        <a:blip xmlns:r="http://schemas.openxmlformats.org/officeDocument/2006/relationships" r:embed="rId7"/>
        <a:stretch>
          <a:fillRect/>
        </a:stretch>
      </xdr:blipFill>
      <xdr:spPr>
        <a:xfrm>
          <a:off x="209550" y="17049750"/>
          <a:ext cx="8609524" cy="2571429"/>
        </a:xfrm>
        <a:prstGeom prst="rect">
          <a:avLst/>
        </a:prstGeom>
      </xdr:spPr>
    </xdr:pic>
    <xdr:clientData/>
  </xdr:twoCellAnchor>
  <xdr:twoCellAnchor editAs="oneCell">
    <xdr:from>
      <xdr:col>0</xdr:col>
      <xdr:colOff>266700</xdr:colOff>
      <xdr:row>112</xdr:row>
      <xdr:rowOff>0</xdr:rowOff>
    </xdr:from>
    <xdr:to>
      <xdr:col>12</xdr:col>
      <xdr:colOff>265672</xdr:colOff>
      <xdr:row>133</xdr:row>
      <xdr:rowOff>142407</xdr:rowOff>
    </xdr:to>
    <xdr:pic>
      <xdr:nvPicPr>
        <xdr:cNvPr id="9" name="图片 8"/>
        <xdr:cNvPicPr>
          <a:picLocks noChangeAspect="1"/>
        </xdr:cNvPicPr>
      </xdr:nvPicPr>
      <xdr:blipFill>
        <a:blip xmlns:r="http://schemas.openxmlformats.org/officeDocument/2006/relationships" r:embed="rId8"/>
        <a:stretch>
          <a:fillRect/>
        </a:stretch>
      </xdr:blipFill>
      <xdr:spPr>
        <a:xfrm>
          <a:off x="266700" y="19202400"/>
          <a:ext cx="8228572" cy="3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532;&#39545;&#26725;&#37329;&#24742;&#37089;60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物清单"/>
      <sheetName val="截至3月已售"/>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案例"/>
      <sheetName val="基准地价修正"/>
      <sheetName val="比较法-仓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34973.58</v>
          </cell>
          <cell r="C14">
            <v>9483.6299999999992</v>
          </cell>
          <cell r="D14">
            <v>17670</v>
          </cell>
          <cell r="G14">
            <v>17670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5">
          <cell r="E5" t="str">
            <v>亦庄橡树湾</v>
          </cell>
          <cell r="G5" t="str">
            <v>城市之光·东望</v>
          </cell>
          <cell r="I5" t="str">
            <v>绿城明月听籣</v>
          </cell>
        </row>
        <row r="37">
          <cell r="E37">
            <v>170000</v>
          </cell>
          <cell r="G37">
            <v>190000</v>
          </cell>
          <cell r="I37">
            <v>190000</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北京市通州区马驹桥镇国家环保产业园区YZ00-073-6004、6006地块R2二类居住用地房地产抵押价值预评估</v>
      </c>
    </row>
    <row r="3" spans="1:2" s="1202" customFormat="1">
      <c r="A3" s="1200" t="s">
        <v>523</v>
      </c>
      <c r="B3" s="1201" t="str">
        <f>'预评函-封皮'!B40</f>
        <v>北京融泰房地产开发有限公司</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受贵公司委托，我公司对北京市通州区马驹桥镇国家环保产业园区YZ00-073-6004、6006地块R2二类居住用地房地产抵押价值进行了预评估。</v>
      </c>
    </row>
    <row r="7" spans="1:2" s="1202" customFormat="1">
      <c r="A7" s="1200" t="s">
        <v>566</v>
      </c>
      <c r="B7" s="1201" t="str">
        <f>'预评函-1'!A7</f>
        <v>估价对象为北京市通州区马驹桥镇国家环保产业园区YZ00-073-6004、6006地块R2二类居住用地房地产，为北京融泰房地产开发有限公司所有。根据《国有土地使用证》[]，估价对象（分摊）出让国有建设用地使用权面积为15906.02平方米，建筑面积为57457.87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通州区马驹桥镇国家环保产业园区YZ00-073-6004、6006地块R2二类居住用地房地产,属北京融泰房地产开发有限公司开发建设的，该项目尚在开发建设中。根据《国有土地使用证》[]，估价对象（分摊）出让国有建设用地使用权面积为15906.02平方米，规划建筑面积为57457.87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为估价委托人在向建行城建支行办理贷款手续过程中，确定房地产抵押贷款额度提供参考依据而评估房地产抵押价值。</v>
      </c>
    </row>
    <row r="12" spans="1:2" s="1202" customFormat="1">
      <c r="A12" s="1200" t="s">
        <v>528</v>
      </c>
      <c r="B12" s="1201" t="str">
        <f>'预评函-1'!A15</f>
        <v>2023年4月19日（评估专业人员实地查勘之日）</v>
      </c>
    </row>
    <row r="13" spans="1:2" s="1202" customFormat="1">
      <c r="A13" s="1200" t="s">
        <v>529</v>
      </c>
      <c r="B13" s="1201" t="str">
        <f>'预评函-1'!A18</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本次评估采用的主估价方法为成本法和假设开发法。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84893</v>
      </c>
    </row>
    <row r="21" spans="1:2" s="1202" customFormat="1">
      <c r="A21" s="1200" t="s">
        <v>537</v>
      </c>
      <c r="B21" s="1201">
        <f ca="1">'预评函-2'!D7</f>
        <v>14775</v>
      </c>
    </row>
    <row r="22" spans="1:2" s="1202" customFormat="1">
      <c r="A22" s="1200" t="s">
        <v>538</v>
      </c>
      <c r="B22" s="1201" t="str">
        <f ca="1">'预评函-2'!D6</f>
        <v>捌亿肆仟捌佰玖拾叁万元整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84893</v>
      </c>
    </row>
    <row r="31" spans="1:2" s="1202" customFormat="1">
      <c r="A31" s="1200" t="s">
        <v>576</v>
      </c>
      <c r="B31" s="1201">
        <f ca="1">'预评函-2'!D15</f>
        <v>14775</v>
      </c>
    </row>
    <row r="32" spans="1:2" s="1202" customFormat="1">
      <c r="A32" s="1200" t="s">
        <v>543</v>
      </c>
      <c r="B32" s="1201" t="str">
        <f ca="1">'预评函-2'!D14</f>
        <v>捌亿肆仟捌佰玖拾叁万元整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北京市通州区马驹桥镇国家环保产业园区YZ00-073-6004、6006地块R2二类居住用地房地产</v>
      </c>
    </row>
    <row r="42" spans="1:2" s="1202" customFormat="1">
      <c r="A42" s="1200" t="s">
        <v>590</v>
      </c>
      <c r="B42" s="1201" t="str">
        <f>'预评函-3'!B2</f>
        <v>建筑面积</v>
      </c>
    </row>
    <row r="43" spans="1:2" s="1202" customFormat="1">
      <c r="A43" s="1200" t="s">
        <v>591</v>
      </c>
      <c r="B43" s="1201">
        <f>'预评函-3'!B4</f>
        <v>57457.869999999995</v>
      </c>
    </row>
    <row r="44" spans="1:2" s="1202" customFormat="1">
      <c r="A44" s="1200" t="s">
        <v>575</v>
      </c>
      <c r="B44" s="1201" t="str">
        <f>'预评函-3'!C2</f>
        <v>(分摊)土地面积</v>
      </c>
    </row>
    <row r="45" spans="1:2" s="1202" customFormat="1">
      <c r="A45" s="1200" t="s">
        <v>547</v>
      </c>
      <c r="B45" s="1201">
        <f>'预评函-3'!C4</f>
        <v>15906.02</v>
      </c>
    </row>
    <row r="46" spans="1:2" s="1202" customFormat="1">
      <c r="A46" s="1200" t="s">
        <v>573</v>
      </c>
      <c r="B46" s="1201" t="str">
        <f>'预评函-3'!D2</f>
        <v>出让国有建设用地使用权价值</v>
      </c>
    </row>
    <row r="47" spans="1:2" s="1202" customFormat="1">
      <c r="A47" s="1200" t="s">
        <v>548</v>
      </c>
      <c r="B47" s="1201">
        <f ca="1">'预评函-3'!D4</f>
        <v>51190</v>
      </c>
    </row>
    <row r="48" spans="1:2" s="1202" customFormat="1">
      <c r="A48" s="1200" t="s">
        <v>549</v>
      </c>
      <c r="B48" s="1201">
        <f ca="1">'预评函-3'!E4</f>
        <v>8909</v>
      </c>
    </row>
    <row r="49" spans="1:2" s="1202" customFormat="1">
      <c r="A49" s="1200" t="s">
        <v>550</v>
      </c>
      <c r="B49" s="1201" t="str">
        <f ca="1">'预评函-3'!D5</f>
        <v>伍亿壹仟壹佰玖拾万元整</v>
      </c>
    </row>
    <row r="50" spans="1:2" s="1202" customFormat="1">
      <c r="A50" s="1200" t="s">
        <v>574</v>
      </c>
      <c r="B50" s="1201" t="str">
        <f>'预评函-3'!F2</f>
        <v>在建建筑物价值</v>
      </c>
    </row>
    <row r="51" spans="1:2" s="1202" customFormat="1">
      <c r="A51" s="1200" t="s">
        <v>551</v>
      </c>
      <c r="B51" s="1201">
        <f ca="1">'预评函-3'!F4</f>
        <v>33703</v>
      </c>
    </row>
    <row r="52" spans="1:2" s="1202" customFormat="1">
      <c r="A52" s="1200" t="s">
        <v>552</v>
      </c>
      <c r="B52" s="1201">
        <f ca="1">'预评函-3'!G4</f>
        <v>5866</v>
      </c>
    </row>
    <row r="53" spans="1:2" s="1202" customFormat="1">
      <c r="A53" s="1200" t="s">
        <v>580</v>
      </c>
      <c r="B53" s="1201" t="str">
        <f ca="1">'预评函-3'!F5</f>
        <v>叁亿叁仟柒佰零叁万元整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2578</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2579</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2291</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为估价委托人在向建行城建支行办理贷款手续过程中，确定房地产抵押贷款额度提供参考依据而评估房地产抵押价值。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融泰房地产开发有限公司拟使用北京市通州区马驹桥镇国家环保产业园区YZ00-073-6004、6006地块R2二类居住用地房地产作为抵押担保物，向建行城建支行办理贷款手续。建行城建支行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3" t="s">
        <v>385</v>
      </c>
      <c r="C54" s="1550" t="s">
        <v>583</v>
      </c>
    </row>
    <row r="55" spans="1:4">
      <c r="A55" s="3516"/>
      <c r="B55" s="1553" t="s">
        <v>386</v>
      </c>
      <c r="C55" s="1550" t="s">
        <v>584</v>
      </c>
    </row>
    <row r="56" spans="1:4">
      <c r="A56" s="3516"/>
      <c r="B56" s="1553" t="s">
        <v>387</v>
      </c>
      <c r="C56" s="1550" t="s">
        <v>588</v>
      </c>
    </row>
    <row r="57" spans="1:4">
      <c r="A57" s="351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2501</v>
      </c>
      <c r="B1" s="3008"/>
      <c r="C1" s="3008"/>
      <c r="D1" s="3008"/>
      <c r="E1" s="3008"/>
      <c r="F1" s="3009"/>
      <c r="I1" s="3431" t="s">
        <v>2594</v>
      </c>
      <c r="J1" s="3220"/>
      <c r="K1" s="3220"/>
      <c r="L1" s="3220"/>
      <c r="M1" s="3220"/>
      <c r="N1" s="3432"/>
      <c r="O1" s="3432"/>
      <c r="P1" s="3432"/>
      <c r="Q1" s="3432"/>
      <c r="R1" s="3432"/>
    </row>
    <row r="2" spans="1:18">
      <c r="A2" s="3011"/>
      <c r="B2" s="3012"/>
      <c r="C2" s="3012"/>
      <c r="D2" s="3012"/>
      <c r="E2" s="3012"/>
      <c r="F2" s="3013"/>
      <c r="I2" s="3517" t="s">
        <v>2581</v>
      </c>
      <c r="J2" s="3517"/>
      <c r="K2" s="3517"/>
      <c r="L2" s="3517"/>
      <c r="M2" s="3517"/>
      <c r="N2" s="3517"/>
      <c r="O2" s="3517"/>
      <c r="P2" s="3517"/>
      <c r="Q2" s="3517"/>
      <c r="R2" s="3517"/>
    </row>
    <row r="3" spans="1:18">
      <c r="A3" s="3014" t="s">
        <v>2502</v>
      </c>
      <c r="B3" s="3015">
        <f>项目基本情况!D3</f>
        <v>45035</v>
      </c>
      <c r="C3" s="3017"/>
      <c r="D3" s="3017"/>
      <c r="E3" s="3017"/>
      <c r="F3" s="3013"/>
      <c r="I3" s="3433"/>
      <c r="J3" s="3433" t="s">
        <v>2585</v>
      </c>
      <c r="K3" s="3433" t="s">
        <v>2586</v>
      </c>
      <c r="L3" s="3433" t="s">
        <v>2587</v>
      </c>
      <c r="M3" s="3433" t="s">
        <v>2588</v>
      </c>
      <c r="N3" s="3434" t="s">
        <v>2589</v>
      </c>
      <c r="O3" s="3434" t="s">
        <v>2590</v>
      </c>
      <c r="P3" s="3434" t="s">
        <v>2591</v>
      </c>
      <c r="Q3" s="3434" t="s">
        <v>2592</v>
      </c>
      <c r="R3" s="3434" t="s">
        <v>2593</v>
      </c>
    </row>
    <row r="4" spans="1:18">
      <c r="A4" s="3014" t="s">
        <v>2503</v>
      </c>
      <c r="B4" s="3017" t="s">
        <v>2504</v>
      </c>
      <c r="C4" s="3017" t="s">
        <v>2505</v>
      </c>
      <c r="D4" s="3017" t="s">
        <v>2506</v>
      </c>
      <c r="E4" s="3017" t="s">
        <v>2507</v>
      </c>
      <c r="F4" s="3013"/>
      <c r="I4" s="3433" t="s">
        <v>2582</v>
      </c>
      <c r="J4" s="3433">
        <v>80</v>
      </c>
      <c r="K4" s="3433">
        <v>70</v>
      </c>
      <c r="L4" s="3433">
        <v>20</v>
      </c>
      <c r="M4" s="3433">
        <v>30</v>
      </c>
      <c r="N4" s="3017">
        <v>45</v>
      </c>
      <c r="O4" s="3017">
        <v>60</v>
      </c>
      <c r="P4" s="3017">
        <v>50</v>
      </c>
      <c r="Q4" s="3017">
        <v>20</v>
      </c>
      <c r="R4" s="3017">
        <v>375</v>
      </c>
    </row>
    <row r="5" spans="1:18">
      <c r="A5" s="3018">
        <v>40</v>
      </c>
      <c r="B5" s="3015">
        <v>46375</v>
      </c>
      <c r="C5" s="3017">
        <f>ROUNDDOWN(MIN((B5-B3)/365,A5),2)</f>
        <v>3.67</v>
      </c>
      <c r="D5" s="3019">
        <f>IF(ISERROR(ROUND(POWER(1+E5,A5-C5)*(POWER(1+E5,C5)-1)/(POWER(1+E5,A5)-1),3)),0,ROUND(POWER(1+E5,A5-C5)*(POWER(1+E5,C5)-1)/(POWER(1+E5,A5)-1),4))</f>
        <v>0.16930000000000001</v>
      </c>
      <c r="E5" s="3020">
        <v>0.04</v>
      </c>
      <c r="F5" s="3013"/>
      <c r="I5" s="3433" t="s">
        <v>2583</v>
      </c>
      <c r="J5" s="3433">
        <v>70</v>
      </c>
      <c r="K5" s="3433">
        <v>60</v>
      </c>
      <c r="L5" s="3433">
        <v>15</v>
      </c>
      <c r="M5" s="3433">
        <v>25</v>
      </c>
      <c r="N5" s="3017">
        <v>40</v>
      </c>
      <c r="O5" s="3017">
        <v>50</v>
      </c>
      <c r="P5" s="3017">
        <v>40</v>
      </c>
      <c r="Q5" s="3017">
        <v>15</v>
      </c>
      <c r="R5" s="3017">
        <v>315</v>
      </c>
    </row>
    <row r="6" spans="1:18">
      <c r="A6" s="3018">
        <v>50</v>
      </c>
      <c r="B6" s="3015">
        <v>50028</v>
      </c>
      <c r="C6" s="3017">
        <f>ROUNDDOWN(MIN((B6-B3)/365,A6),2)</f>
        <v>13.67</v>
      </c>
      <c r="D6" s="3019">
        <f>IF(ISERROR(ROUND(POWER(1+E6,A6-C6)*(POWER(1+E6,C6)-1)/(POWER(1+E6,A6)-1),3)),0,ROUND(POWER(1+E6,A6-C6)*(POWER(1+E6,C6)-1)/(POWER(1+E6,A6)-1),4))</f>
        <v>0.48299999999999998</v>
      </c>
      <c r="E6" s="3020">
        <v>0.04</v>
      </c>
      <c r="F6" s="3013"/>
      <c r="I6" s="3433" t="s">
        <v>2584</v>
      </c>
      <c r="J6" s="3433">
        <v>60</v>
      </c>
      <c r="K6" s="3433">
        <v>50</v>
      </c>
      <c r="L6" s="3433">
        <v>10</v>
      </c>
      <c r="M6" s="3433">
        <v>20</v>
      </c>
      <c r="N6" s="3017">
        <v>35</v>
      </c>
      <c r="O6" s="3017">
        <v>40</v>
      </c>
      <c r="P6" s="3017">
        <v>30</v>
      </c>
      <c r="Q6" s="3017">
        <v>10</v>
      </c>
      <c r="R6" s="3017">
        <v>255</v>
      </c>
    </row>
    <row r="7" spans="1:18">
      <c r="A7" s="3018">
        <v>70</v>
      </c>
      <c r="B7" s="3015">
        <v>57333</v>
      </c>
      <c r="C7" s="3017">
        <f>ROUNDDOWN(MIN((B7-B3)/365,A7),2)</f>
        <v>33.69</v>
      </c>
      <c r="D7" s="3019">
        <f>IF(ISERROR(ROUND(POWER(1+E7,A7-C7)*(POWER(1+E7,C7)-1)/(POWER(1+E7,A7)-1),3)),0,ROUND(POWER(1+E7,A7-C7)*(POWER(1+E7,C7)-1)/(POWER(1+E7,A7)-1),4))</f>
        <v>0.78349999999999997</v>
      </c>
      <c r="E7" s="3020">
        <v>0.04</v>
      </c>
      <c r="F7" s="3013"/>
    </row>
    <row r="8" spans="1:18">
      <c r="A8" s="3011"/>
      <c r="B8" s="3012"/>
      <c r="C8" s="3012"/>
      <c r="D8" s="3012"/>
      <c r="E8" s="3012"/>
      <c r="F8" s="3013"/>
    </row>
    <row r="9" spans="1:18">
      <c r="A9" s="3014" t="s">
        <v>2508</v>
      </c>
      <c r="B9" s="3017"/>
      <c r="C9" s="3017"/>
      <c r="D9" s="3017"/>
      <c r="E9" s="3017"/>
      <c r="F9" s="3021"/>
    </row>
    <row r="10" spans="1:18">
      <c r="A10" s="3014" t="s">
        <v>2509</v>
      </c>
      <c r="B10" s="3017"/>
      <c r="C10" s="3017"/>
      <c r="D10" s="3017" t="s">
        <v>2507</v>
      </c>
      <c r="E10" s="3017"/>
      <c r="F10" s="3021" t="s">
        <v>2506</v>
      </c>
    </row>
    <row r="11" spans="1:18">
      <c r="A11" s="3014" t="s">
        <v>2510</v>
      </c>
      <c r="B11" s="3022">
        <v>70</v>
      </c>
      <c r="C11" s="3017" t="s">
        <v>2511</v>
      </c>
      <c r="D11" s="3023">
        <v>4.4999999999999998E-2</v>
      </c>
      <c r="E11" s="3017" t="s">
        <v>2512</v>
      </c>
      <c r="F11" s="3024">
        <f>ROUND(1-(1/(POWER(1+D11,B11))),4)</f>
        <v>0.95409999999999995</v>
      </c>
    </row>
    <row r="12" spans="1:18">
      <c r="A12" s="3014" t="s">
        <v>2513</v>
      </c>
      <c r="B12" s="3022">
        <v>40</v>
      </c>
      <c r="C12" s="3017" t="s">
        <v>2514</v>
      </c>
      <c r="D12" s="3023">
        <v>4.4999999999999998E-2</v>
      </c>
      <c r="E12" s="3017" t="s">
        <v>2515</v>
      </c>
      <c r="F12" s="3024">
        <f>ROUND(1-(1/(POWER(1+D12,B12))),4)</f>
        <v>0.82809999999999995</v>
      </c>
    </row>
    <row r="13" spans="1:18">
      <c r="A13" s="3014" t="s">
        <v>2516</v>
      </c>
      <c r="B13" s="3017"/>
      <c r="C13" s="3017"/>
      <c r="D13" s="3012"/>
      <c r="E13" s="3012"/>
      <c r="F13" s="3013"/>
    </row>
    <row r="14" spans="1:18">
      <c r="A14" s="3014" t="s">
        <v>2517</v>
      </c>
      <c r="B14" s="3022">
        <v>5000</v>
      </c>
      <c r="C14" s="3016"/>
      <c r="D14" s="3012"/>
      <c r="E14" s="3012"/>
      <c r="F14" s="3013"/>
    </row>
    <row r="15" spans="1:18">
      <c r="A15" s="3014" t="s">
        <v>2518</v>
      </c>
      <c r="B15" s="3017">
        <f>ROUND(B14*F12/F11,2)</f>
        <v>4339.6899999999996</v>
      </c>
      <c r="C15" s="3017">
        <f>ROUND(F12/F11,4)</f>
        <v>0.8679</v>
      </c>
      <c r="D15" s="3012"/>
      <c r="E15" s="3012"/>
      <c r="F15" s="3013"/>
    </row>
    <row r="16" spans="1:18">
      <c r="A16" s="3014" t="s">
        <v>2519</v>
      </c>
      <c r="B16" s="3017"/>
      <c r="C16" s="3017"/>
      <c r="D16" s="3012"/>
      <c r="E16" s="3012"/>
      <c r="F16" s="3013"/>
    </row>
    <row r="17" spans="1:13">
      <c r="A17" s="3014" t="s">
        <v>2518</v>
      </c>
      <c r="B17" s="3023">
        <v>4810</v>
      </c>
      <c r="C17" s="3016"/>
      <c r="D17" s="3012"/>
      <c r="E17" s="3012"/>
      <c r="F17" s="3013"/>
    </row>
    <row r="18" spans="1:13" ht="14.25" thickBot="1">
      <c r="A18" s="3025" t="s">
        <v>2517</v>
      </c>
      <c r="B18" s="3026">
        <f>ROUND(B17*F11/F12,2)</f>
        <v>5541.87</v>
      </c>
      <c r="C18" s="3026">
        <f>ROUND(F11/F12,4)</f>
        <v>1.1521999999999999</v>
      </c>
      <c r="D18" s="3027"/>
      <c r="E18" s="3027"/>
      <c r="F18" s="3028"/>
    </row>
    <row r="19" spans="1:13" ht="14.25" thickBot="1"/>
    <row r="20" spans="1:13" s="3063" customFormat="1" ht="14.25" thickTop="1">
      <c r="A20" s="3060" t="s">
        <v>2520</v>
      </c>
      <c r="B20" s="3061"/>
      <c r="C20" s="3061"/>
      <c r="D20" s="3061"/>
      <c r="E20" s="3061"/>
      <c r="F20" s="3061"/>
      <c r="G20" s="3062"/>
      <c r="I20" s="3064" t="s">
        <v>2565</v>
      </c>
      <c r="J20" s="3064" t="s">
        <v>2570</v>
      </c>
      <c r="K20" s="3064"/>
      <c r="L20" s="3064"/>
      <c r="M20" s="3064"/>
    </row>
    <row r="21" spans="1:13">
      <c r="A21" s="3029"/>
      <c r="B21" s="3030" t="s">
        <v>2521</v>
      </c>
      <c r="C21" s="3030" t="s">
        <v>2522</v>
      </c>
      <c r="D21" s="3030" t="s">
        <v>2523</v>
      </c>
      <c r="E21" s="3030" t="s">
        <v>2524</v>
      </c>
      <c r="F21" s="3030" t="s">
        <v>2525</v>
      </c>
      <c r="G21" s="3031" t="s">
        <v>2526</v>
      </c>
      <c r="I21" s="3052">
        <v>5</v>
      </c>
      <c r="J21" s="3052">
        <v>54.2</v>
      </c>
    </row>
    <row r="22" spans="1:13">
      <c r="A22" s="3029" t="s">
        <v>2527</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2528</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2568</v>
      </c>
      <c r="M23" s="3052" t="s">
        <v>2569</v>
      </c>
    </row>
    <row r="24" spans="1:13">
      <c r="A24" s="3029" t="s">
        <v>2529</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2567</v>
      </c>
      <c r="M24" s="3052">
        <v>10</v>
      </c>
    </row>
    <row r="25" spans="1:13">
      <c r="A25" s="3029" t="s">
        <v>2530</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2571</v>
      </c>
      <c r="M25" s="3052">
        <v>8</v>
      </c>
    </row>
    <row r="26" spans="1:13">
      <c r="A26" s="3034"/>
      <c r="B26" s="3035"/>
      <c r="C26" s="3035"/>
      <c r="D26" s="3035"/>
      <c r="E26" s="3035"/>
      <c r="F26" s="3035"/>
      <c r="G26" s="3036"/>
      <c r="I26" s="3052">
        <v>30</v>
      </c>
      <c r="J26" s="3052">
        <v>90.5</v>
      </c>
      <c r="K26" s="3052">
        <f t="shared" si="2"/>
        <v>4.2000000000000028</v>
      </c>
      <c r="L26" s="3052" t="s">
        <v>2572</v>
      </c>
      <c r="M26" s="3052">
        <v>5</v>
      </c>
    </row>
    <row r="27" spans="1:13">
      <c r="A27" s="3034" t="s">
        <v>2531</v>
      </c>
      <c r="B27" s="3035"/>
      <c r="C27" s="3035"/>
      <c r="D27" s="3035"/>
      <c r="E27" s="3035"/>
      <c r="F27" s="3035"/>
      <c r="G27" s="3036"/>
      <c r="I27" s="3052">
        <v>35</v>
      </c>
      <c r="J27" s="3052">
        <v>93.8</v>
      </c>
      <c r="K27" s="3052">
        <f t="shared" si="2"/>
        <v>3.2999999999999972</v>
      </c>
      <c r="L27" s="3052" t="s">
        <v>2573</v>
      </c>
      <c r="M27" s="3052">
        <v>3</v>
      </c>
    </row>
    <row r="28" spans="1:13">
      <c r="A28" s="3034" t="s">
        <v>2532</v>
      </c>
      <c r="B28" s="3035"/>
      <c r="C28" s="3035"/>
      <c r="D28" s="3035"/>
      <c r="E28" s="3035"/>
      <c r="F28" s="3035"/>
      <c r="G28" s="3036"/>
      <c r="I28" s="3052">
        <v>40</v>
      </c>
      <c r="J28" s="3052">
        <v>96.4</v>
      </c>
      <c r="K28" s="3052">
        <f t="shared" si="2"/>
        <v>2.6000000000000085</v>
      </c>
      <c r="L28" s="3052" t="s">
        <v>2574</v>
      </c>
      <c r="M28" s="3052">
        <v>2</v>
      </c>
    </row>
    <row r="29" spans="1:13">
      <c r="A29" s="3034" t="s">
        <v>2533</v>
      </c>
      <c r="B29" s="3035"/>
      <c r="C29" s="3035"/>
      <c r="D29" s="3035"/>
      <c r="E29" s="3035"/>
      <c r="F29" s="3035"/>
      <c r="G29" s="3036"/>
      <c r="I29" s="3052">
        <v>45</v>
      </c>
      <c r="J29" s="3052">
        <v>98.4</v>
      </c>
      <c r="K29" s="3052">
        <f t="shared" si="2"/>
        <v>2</v>
      </c>
    </row>
    <row r="30" spans="1:13">
      <c r="A30" s="3034" t="s">
        <v>2534</v>
      </c>
      <c r="B30" s="3035"/>
      <c r="C30" s="3035"/>
      <c r="D30" s="3035"/>
      <c r="E30" s="3035"/>
      <c r="F30" s="3035"/>
      <c r="G30" s="3036"/>
      <c r="I30" s="3052">
        <v>50</v>
      </c>
      <c r="J30" s="3052">
        <v>100</v>
      </c>
      <c r="K30" s="3052">
        <f t="shared" si="2"/>
        <v>1.5999999999999943</v>
      </c>
    </row>
    <row r="31" spans="1:13">
      <c r="A31" s="3034" t="s">
        <v>2535</v>
      </c>
      <c r="B31" s="3035"/>
      <c r="C31" s="3035"/>
      <c r="D31" s="3035"/>
      <c r="E31" s="3035"/>
      <c r="F31" s="3035"/>
      <c r="G31" s="3036"/>
      <c r="I31" s="3052" t="s">
        <v>2566</v>
      </c>
    </row>
    <row r="32" spans="1:13">
      <c r="A32" s="3034" t="s">
        <v>2536</v>
      </c>
      <c r="B32" s="3035"/>
      <c r="C32" s="3035"/>
      <c r="D32" s="3035"/>
      <c r="E32" s="3035"/>
      <c r="F32" s="3035"/>
      <c r="G32" s="3036"/>
    </row>
    <row r="33" spans="1:13">
      <c r="A33" s="3034" t="s">
        <v>2537</v>
      </c>
      <c r="B33" s="3035"/>
      <c r="C33" s="3035"/>
      <c r="D33" s="3035"/>
      <c r="E33" s="3035"/>
      <c r="F33" s="3035"/>
      <c r="G33" s="3036"/>
      <c r="I33" s="3052" t="s">
        <v>2565</v>
      </c>
      <c r="J33" s="3052" t="s">
        <v>2575</v>
      </c>
    </row>
    <row r="34" spans="1:13">
      <c r="A34" s="3034" t="s">
        <v>2538</v>
      </c>
      <c r="B34" s="3035"/>
      <c r="C34" s="3035"/>
      <c r="D34" s="3035"/>
      <c r="E34" s="3035"/>
      <c r="F34" s="3035"/>
      <c r="G34" s="3036"/>
      <c r="I34" s="3052">
        <v>5</v>
      </c>
      <c r="J34" s="3052">
        <v>55.1</v>
      </c>
    </row>
    <row r="35" spans="1:13">
      <c r="A35" s="3034" t="s">
        <v>2539</v>
      </c>
      <c r="B35" s="3035"/>
      <c r="C35" s="3035"/>
      <c r="D35" s="3035"/>
      <c r="E35" s="3035"/>
      <c r="F35" s="3035"/>
      <c r="G35" s="3036"/>
      <c r="I35" s="3052">
        <v>10</v>
      </c>
      <c r="J35" s="3052">
        <v>67</v>
      </c>
      <c r="K35" s="3052">
        <f>J35-J34</f>
        <v>11.899999999999999</v>
      </c>
    </row>
    <row r="36" spans="1:13">
      <c r="A36" s="3034" t="s">
        <v>2540</v>
      </c>
      <c r="B36" s="3035"/>
      <c r="C36" s="3035"/>
      <c r="D36" s="3035"/>
      <c r="E36" s="3035"/>
      <c r="F36" s="3035"/>
      <c r="G36" s="3036"/>
      <c r="I36" s="3052">
        <v>15</v>
      </c>
      <c r="J36" s="3052">
        <v>76.3</v>
      </c>
      <c r="K36" s="3052">
        <f t="shared" ref="K36:K41" si="3">J36-J35</f>
        <v>9.2999999999999972</v>
      </c>
      <c r="L36" s="3052" t="s">
        <v>2568</v>
      </c>
      <c r="M36" s="3052" t="s">
        <v>2569</v>
      </c>
    </row>
    <row r="37" spans="1:13">
      <c r="A37" s="3034" t="s">
        <v>2541</v>
      </c>
      <c r="B37" s="3035"/>
      <c r="C37" s="3035"/>
      <c r="D37" s="3035"/>
      <c r="E37" s="3035"/>
      <c r="F37" s="3035"/>
      <c r="G37" s="3036"/>
      <c r="I37" s="3052">
        <v>20</v>
      </c>
      <c r="J37" s="3052">
        <v>83.6</v>
      </c>
      <c r="K37" s="3052">
        <f t="shared" si="3"/>
        <v>7.2999999999999972</v>
      </c>
      <c r="L37" s="3052" t="s">
        <v>2567</v>
      </c>
      <c r="M37" s="3052">
        <v>10</v>
      </c>
    </row>
    <row r="38" spans="1:13">
      <c r="A38" s="3034" t="s">
        <v>2542</v>
      </c>
      <c r="B38" s="3035"/>
      <c r="C38" s="3035"/>
      <c r="D38" s="3035"/>
      <c r="E38" s="3035"/>
      <c r="F38" s="3035"/>
      <c r="G38" s="3036"/>
      <c r="I38" s="3052">
        <v>25</v>
      </c>
      <c r="J38" s="3052">
        <v>89.3</v>
      </c>
      <c r="K38" s="3052">
        <f t="shared" si="3"/>
        <v>5.7000000000000028</v>
      </c>
      <c r="L38" s="3052" t="s">
        <v>2571</v>
      </c>
      <c r="M38" s="3052">
        <v>8</v>
      </c>
    </row>
    <row r="39" spans="1:13">
      <c r="A39" s="3034"/>
      <c r="B39" s="3035"/>
      <c r="C39" s="3035"/>
      <c r="D39" s="3035"/>
      <c r="E39" s="3035"/>
      <c r="F39" s="3035"/>
      <c r="G39" s="3036"/>
      <c r="I39" s="3052">
        <v>30</v>
      </c>
      <c r="J39" s="3052">
        <v>93.8</v>
      </c>
      <c r="K39" s="3052">
        <f t="shared" si="3"/>
        <v>4.5</v>
      </c>
      <c r="L39" s="3052" t="s">
        <v>2572</v>
      </c>
      <c r="M39" s="3052">
        <v>6</v>
      </c>
    </row>
    <row r="40" spans="1:13">
      <c r="A40" s="3037" t="s">
        <v>2543</v>
      </c>
      <c r="B40" s="3038"/>
      <c r="C40" s="3038"/>
      <c r="D40" s="3038"/>
      <c r="E40" s="3038"/>
      <c r="F40" s="3038"/>
      <c r="G40" s="3039"/>
      <c r="I40" s="3052">
        <v>35</v>
      </c>
      <c r="J40" s="3052">
        <v>97.2</v>
      </c>
      <c r="K40" s="3052">
        <f t="shared" si="3"/>
        <v>3.4000000000000057</v>
      </c>
      <c r="L40" s="3052" t="s">
        <v>2573</v>
      </c>
      <c r="M40" s="3052">
        <v>3</v>
      </c>
    </row>
    <row r="41" spans="1:13">
      <c r="A41" s="3040" t="s">
        <v>2544</v>
      </c>
      <c r="B41" s="3041" t="s">
        <v>2545</v>
      </c>
      <c r="C41" s="3042" t="s">
        <v>2546</v>
      </c>
      <c r="D41" s="3042" t="s">
        <v>2547</v>
      </c>
      <c r="E41" s="3043"/>
      <c r="F41" s="3044"/>
      <c r="G41" s="3045"/>
      <c r="I41" s="3052">
        <v>40</v>
      </c>
      <c r="J41" s="3052">
        <v>100</v>
      </c>
      <c r="K41" s="3052">
        <f t="shared" si="3"/>
        <v>2.7999999999999972</v>
      </c>
    </row>
    <row r="42" spans="1:13">
      <c r="A42" s="3040" t="s">
        <v>2548</v>
      </c>
      <c r="B42" s="3041" t="s">
        <v>2549</v>
      </c>
      <c r="C42" s="3042" t="s">
        <v>2550</v>
      </c>
      <c r="D42" s="3046" t="s">
        <v>2551</v>
      </c>
      <c r="E42" s="3038" t="s">
        <v>2552</v>
      </c>
      <c r="F42" s="3038"/>
      <c r="G42" s="3039"/>
    </row>
    <row r="43" spans="1:13">
      <c r="A43" s="3040" t="s">
        <v>2553</v>
      </c>
      <c r="B43" s="3041" t="s">
        <v>2554</v>
      </c>
      <c r="C43" s="3042" t="s">
        <v>2555</v>
      </c>
      <c r="D43" s="3042" t="s">
        <v>2556</v>
      </c>
      <c r="E43" s="3043" t="s">
        <v>2557</v>
      </c>
      <c r="F43" s="3044"/>
      <c r="G43" s="3045"/>
      <c r="I43" s="3052" t="s">
        <v>2565</v>
      </c>
      <c r="J43" s="3052" t="s">
        <v>2576</v>
      </c>
    </row>
    <row r="44" spans="1:13">
      <c r="A44" s="3040" t="s">
        <v>2558</v>
      </c>
      <c r="B44" s="3041" t="s">
        <v>2559</v>
      </c>
      <c r="C44" s="3042" t="s">
        <v>2560</v>
      </c>
      <c r="D44" s="3046">
        <v>0.5</v>
      </c>
      <c r="E44" s="3043" t="s">
        <v>2561</v>
      </c>
      <c r="F44" s="3044"/>
      <c r="G44" s="3045"/>
      <c r="I44" s="3052">
        <v>30</v>
      </c>
      <c r="J44" s="3052">
        <v>81.7</v>
      </c>
    </row>
    <row r="45" spans="1:13" ht="14.25" thickBot="1">
      <c r="A45" s="3047" t="s">
        <v>2562</v>
      </c>
      <c r="B45" s="3048" t="s">
        <v>2549</v>
      </c>
      <c r="C45" s="3049" t="s">
        <v>2549</v>
      </c>
      <c r="D45" s="3049" t="s">
        <v>2563</v>
      </c>
      <c r="E45" s="3050" t="s">
        <v>2564</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2" customWidth="1"/>
    <col min="12" max="13" width="10" style="2623"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2166</v>
      </c>
      <c r="B1" s="3518" t="str">
        <f>IF(B10="北京市","北京市",C10)&amp;F10&amp;IF(结果表!G1="在建","出让国有建设用地使用权及在建建筑物",IF(结果表!G1="土地","出让国有建设用地使用权",))&amp;B9&amp;"预评估"</f>
        <v>北京市通州区马驹桥镇国家环保产业园区YZ00-073-6004、6006地块R2二类居住用地房地产抵押价值预评估</v>
      </c>
      <c r="C1" s="3519"/>
      <c r="D1" s="3519"/>
      <c r="E1" s="3519"/>
      <c r="F1" s="3519"/>
      <c r="G1" s="3519"/>
      <c r="H1" s="3519"/>
      <c r="I1" s="3520"/>
      <c r="J1" s="2465"/>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北京市通州区马驹桥镇国家环保产业园区YZ00-073-6004、6006地块R2二类居住用地房地产抵押价值</v>
      </c>
      <c r="T1" s="1744"/>
      <c r="U1" s="1744"/>
      <c r="V1" s="1744"/>
      <c r="W1" s="1744"/>
      <c r="X1" s="1744"/>
      <c r="Y1" s="1744"/>
      <c r="Z1" s="1744"/>
      <c r="AA1" s="1744"/>
      <c r="AB1" s="1744"/>
    </row>
    <row r="2" spans="1:30">
      <c r="A2" s="2363" t="s">
        <v>2167</v>
      </c>
      <c r="B2" s="2367"/>
      <c r="C2" s="2368"/>
      <c r="D2" s="2664"/>
      <c r="E2" s="2656"/>
      <c r="F2" s="2656"/>
      <c r="G2" s="2657"/>
      <c r="H2" s="2657"/>
      <c r="I2" s="2657"/>
      <c r="J2" s="2465"/>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北京市通州区马驹桥镇国家环保产业园区YZ00-073-6004、6006地块R2二类居住用地房地产</v>
      </c>
      <c r="T2" s="1744"/>
      <c r="U2" s="1744"/>
      <c r="V2" s="1744"/>
      <c r="W2" s="1744"/>
      <c r="X2" s="1744"/>
      <c r="Y2" s="1744"/>
      <c r="Z2" s="1744"/>
      <c r="AA2" s="1744"/>
      <c r="AB2" s="1744"/>
    </row>
    <row r="3" spans="1:30">
      <c r="A3" s="302" t="s">
        <v>2168</v>
      </c>
      <c r="B3" s="2369">
        <v>45035</v>
      </c>
      <c r="C3" s="2370" t="s">
        <v>2169</v>
      </c>
      <c r="D3" s="2369">
        <f>B3</f>
        <v>45035</v>
      </c>
      <c r="E3" s="2657"/>
      <c r="F3" s="2657"/>
      <c r="G3" s="2657"/>
      <c r="H3" s="2657"/>
      <c r="I3" s="2657"/>
      <c r="J3" s="2465"/>
      <c r="K3" s="2364"/>
      <c r="L3" s="2365"/>
      <c r="M3" s="2365"/>
      <c r="N3" s="2366"/>
      <c r="O3" s="1575"/>
      <c r="P3" s="2366"/>
      <c r="Q3" s="2366"/>
      <c r="R3" s="2366"/>
      <c r="S3" s="1681"/>
      <c r="T3" s="1744"/>
      <c r="U3" s="1744"/>
      <c r="V3" s="1744"/>
      <c r="W3" s="1744"/>
      <c r="X3" s="1744"/>
      <c r="Y3" s="1744"/>
      <c r="Z3" s="1744"/>
      <c r="AA3" s="1744"/>
      <c r="AB3" s="1744"/>
    </row>
    <row r="4" spans="1:30" ht="13.5" thickBot="1">
      <c r="A4" s="1090" t="s">
        <v>2170</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3"/>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36.75" thickTop="1">
      <c r="A5" s="2375" t="s">
        <v>2171</v>
      </c>
      <c r="B5" s="3444" t="s">
        <v>3381</v>
      </c>
      <c r="C5" s="2376"/>
      <c r="D5" s="2377"/>
      <c r="E5" s="2658"/>
      <c r="F5" s="2658"/>
      <c r="G5" s="2658"/>
      <c r="H5" s="2658"/>
      <c r="I5" s="2658"/>
      <c r="J5" s="2433"/>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8" t="s">
        <v>2172</v>
      </c>
      <c r="B6" s="3445" t="s">
        <v>3382</v>
      </c>
      <c r="C6" s="2379"/>
      <c r="D6" s="2380"/>
      <c r="E6" s="2656"/>
      <c r="F6" s="2658"/>
      <c r="G6" s="2658"/>
      <c r="H6" s="2658"/>
      <c r="I6" s="2658"/>
      <c r="J6" s="2433"/>
      <c r="K6" s="2609" t="str">
        <f>IF(COUNTIF(B6,"*上海银行*"),"上海银行","")</f>
        <v/>
      </c>
      <c r="L6" s="2607"/>
      <c r="M6" s="2607"/>
      <c r="N6" s="2433"/>
      <c r="O6" s="2444"/>
      <c r="P6" s="2433"/>
      <c r="Q6" s="2433"/>
      <c r="R6" s="2433"/>
    </row>
    <row r="7" spans="1:30" ht="38.25">
      <c r="A7" s="2378" t="s">
        <v>2173</v>
      </c>
      <c r="B7" s="2381" t="str">
        <f>B5</f>
        <v>北京融泰房地产开发有限公司</v>
      </c>
      <c r="C7" s="2379"/>
      <c r="D7" s="2380"/>
      <c r="E7" s="2656"/>
      <c r="F7" s="2658"/>
      <c r="G7" s="2658"/>
      <c r="H7" s="2658"/>
      <c r="I7" s="2658"/>
      <c r="J7" s="2433"/>
      <c r="K7" s="2610"/>
      <c r="L7" s="2607"/>
      <c r="M7" s="2607"/>
      <c r="N7" s="2433"/>
      <c r="O7" s="2444"/>
      <c r="P7" s="2433"/>
      <c r="Q7" s="2433"/>
      <c r="R7" s="2433"/>
    </row>
    <row r="8" spans="1:30">
      <c r="A8" s="2382" t="s">
        <v>2174</v>
      </c>
      <c r="B8" s="2383" t="s">
        <v>3376</v>
      </c>
      <c r="C8" s="2384"/>
      <c r="D8" s="3521" t="s">
        <v>2175</v>
      </c>
      <c r="E8" s="2385" t="s">
        <v>3377</v>
      </c>
      <c r="F8" s="2386"/>
      <c r="G8" s="2657"/>
      <c r="H8" s="2657"/>
      <c r="I8" s="2657"/>
      <c r="J8" s="2433"/>
      <c r="K8" s="2608"/>
      <c r="L8" s="2607"/>
      <c r="M8" s="2607"/>
      <c r="N8" s="2433"/>
      <c r="O8" s="2444"/>
      <c r="P8" s="2433"/>
      <c r="Q8" s="2433"/>
      <c r="R8" s="2433"/>
    </row>
    <row r="9" spans="1:30" ht="13.5" thickBot="1">
      <c r="A9" s="2387" t="s">
        <v>2176</v>
      </c>
      <c r="B9" s="2388" t="s">
        <v>3377</v>
      </c>
      <c r="C9" s="2389"/>
      <c r="D9" s="3522"/>
      <c r="E9" s="2388" t="s">
        <v>43</v>
      </c>
      <c r="F9" s="2390"/>
      <c r="G9" s="2659"/>
      <c r="H9" s="2659"/>
      <c r="I9" s="2659"/>
      <c r="J9" s="2433"/>
      <c r="K9" s="2610"/>
      <c r="L9" s="2607"/>
      <c r="M9" s="2607"/>
      <c r="N9" s="2433"/>
      <c r="O9" s="2444"/>
      <c r="P9" s="2433"/>
      <c r="Q9" s="2433"/>
      <c r="R9" s="2433"/>
    </row>
    <row r="10" spans="1:30" ht="13.5" thickTop="1">
      <c r="A10" s="2391" t="s">
        <v>2177</v>
      </c>
      <c r="B10" s="2392" t="s">
        <v>3378</v>
      </c>
      <c r="C10" s="2393"/>
      <c r="D10" s="2377"/>
      <c r="E10" s="2394" t="s">
        <v>2178</v>
      </c>
      <c r="F10" s="2660" t="s">
        <v>3380</v>
      </c>
      <c r="G10" s="2661"/>
      <c r="H10" s="2662"/>
      <c r="I10" s="2663"/>
      <c r="J10" s="2433"/>
      <c r="K10" s="2610"/>
      <c r="L10" s="2607"/>
      <c r="M10" s="2607"/>
      <c r="N10" s="2433"/>
      <c r="O10" s="2444"/>
      <c r="P10" s="2433"/>
      <c r="Q10" s="2433"/>
      <c r="R10" s="2433"/>
    </row>
    <row r="11" spans="1:30" ht="38.25">
      <c r="A11" s="2395" t="s">
        <v>2179</v>
      </c>
      <c r="B11" s="2396" t="s">
        <v>3379</v>
      </c>
      <c r="C11" s="2397" t="str">
        <f>B5</f>
        <v>北京融泰房地产开发有限公司</v>
      </c>
      <c r="D11" s="2398"/>
      <c r="E11" s="2366"/>
      <c r="F11" s="2366"/>
      <c r="G11" s="2366"/>
      <c r="H11" s="2366"/>
      <c r="I11" s="2366"/>
      <c r="J11" s="3055"/>
      <c r="K11" s="3054"/>
      <c r="L11" s="2607"/>
      <c r="M11" s="2607"/>
      <c r="N11" s="2433"/>
      <c r="O11" s="2444"/>
      <c r="P11" s="2433"/>
      <c r="Q11" s="2433"/>
      <c r="R11" s="2433"/>
    </row>
    <row r="12" spans="1:30">
      <c r="A12" s="2399" t="s">
        <v>2180</v>
      </c>
      <c r="B12" s="323" t="s">
        <v>2181</v>
      </c>
      <c r="C12" s="2400" t="s">
        <v>2182</v>
      </c>
      <c r="D12" s="2400" t="s">
        <v>2183</v>
      </c>
      <c r="E12" s="2400" t="s">
        <v>2184</v>
      </c>
      <c r="F12" s="2400" t="s">
        <v>2185</v>
      </c>
      <c r="G12" s="2400" t="s">
        <v>2186</v>
      </c>
      <c r="H12" s="2400" t="s">
        <v>2187</v>
      </c>
      <c r="I12" s="3053" t="s">
        <v>2577</v>
      </c>
      <c r="J12" s="3056"/>
      <c r="K12" s="2607"/>
      <c r="L12" s="2607"/>
      <c r="M12" s="2433"/>
      <c r="N12" s="2444"/>
      <c r="O12" s="2433"/>
      <c r="P12" s="2433"/>
      <c r="Q12" s="2433"/>
      <c r="AD12" s="1744"/>
    </row>
    <row r="13" spans="1:30">
      <c r="A13" s="3417" t="s">
        <v>3337</v>
      </c>
      <c r="B13" s="2401" t="s">
        <v>2188</v>
      </c>
      <c r="C13" s="856">
        <v>69336</v>
      </c>
      <c r="D13" s="856"/>
      <c r="E13" s="856"/>
      <c r="F13" s="856">
        <v>62031</v>
      </c>
      <c r="G13" s="856">
        <v>62031</v>
      </c>
      <c r="H13" s="856"/>
      <c r="I13" s="856"/>
      <c r="J13" s="3056"/>
      <c r="K13" s="2607"/>
      <c r="L13" s="2607"/>
      <c r="M13" s="2433"/>
      <c r="N13" s="2444"/>
      <c r="O13" s="2433"/>
      <c r="P13" s="2433"/>
      <c r="Q13" s="2433"/>
      <c r="AD13" s="1744"/>
    </row>
    <row r="14" spans="1:30">
      <c r="A14" s="1081"/>
      <c r="B14" s="2401" t="s">
        <v>2189</v>
      </c>
      <c r="C14" s="2402">
        <v>70</v>
      </c>
      <c r="D14" s="2402"/>
      <c r="E14" s="2402"/>
      <c r="F14" s="2402">
        <v>50</v>
      </c>
      <c r="G14" s="2402">
        <v>50</v>
      </c>
      <c r="H14" s="2402"/>
      <c r="I14" s="2402"/>
      <c r="J14" s="3057"/>
      <c r="K14" s="2607"/>
      <c r="L14" s="2607"/>
      <c r="M14" s="2433"/>
      <c r="N14" s="2444"/>
      <c r="O14" s="2433"/>
      <c r="P14" s="2433"/>
      <c r="Q14" s="2433"/>
      <c r="AD14" s="1744"/>
    </row>
    <row r="15" spans="1:30">
      <c r="A15" s="320"/>
      <c r="B15" s="2403" t="s">
        <v>2190</v>
      </c>
      <c r="C15" s="2404">
        <f>IF(A13="出让",IF(C13="","",ROUNDDOWN(MIN((C13-$D$3)/365,C14),2)),C14)</f>
        <v>66.569999999999993</v>
      </c>
      <c r="D15" s="2404" t="str">
        <f>IF(A13="出让",IF(D13="","",ROUNDDOWN(MIN((D13-$D$3)/365,D14),2)),D14)</f>
        <v/>
      </c>
      <c r="E15" s="2404" t="str">
        <f>IF(A13="出让",IF(E13="","",ROUNDDOWN(MIN((E13-$D$3)/365,E14),2)),E14)</f>
        <v/>
      </c>
      <c r="F15" s="2404">
        <f>IF(A13="出让",IF(F13="","",ROUNDDOWN(MIN((F13-$D$3)/365,F14),2)),F14)</f>
        <v>46.56</v>
      </c>
      <c r="G15" s="2404">
        <f>IF(A13="出让",IF(G13="","",ROUNDDOWN(MIN((G13-$D$3)/365,G14),2)),G14)</f>
        <v>46.56</v>
      </c>
      <c r="H15" s="2404" t="str">
        <f>IF(A13="出让",IF(H13="","",ROUNDDOWN(MIN((H13-$D$3)/365,H14),2)),H14)</f>
        <v/>
      </c>
      <c r="I15" s="2404" t="str">
        <f>IF(A13="出让",IF(I13="","",ROUNDDOWN(MIN((I13-$D$3)/365,I14),2)),I14)</f>
        <v/>
      </c>
      <c r="J15" s="3058"/>
      <c r="K15" s="2445"/>
      <c r="L15" s="2445"/>
      <c r="M15" s="2503"/>
      <c r="N15" s="2445"/>
      <c r="O15" s="2503"/>
      <c r="P15" s="2433"/>
      <c r="Q15" s="2433"/>
      <c r="AD15" s="1744"/>
    </row>
    <row r="16" spans="1:30">
      <c r="A16" s="2394" t="s">
        <v>2191</v>
      </c>
      <c r="B16" s="3528"/>
      <c r="C16" s="3529"/>
      <c r="D16" s="3530"/>
      <c r="E16" s="2407" t="s">
        <v>2192</v>
      </c>
      <c r="F16" s="3531"/>
      <c r="G16" s="3532"/>
      <c r="H16" s="3532"/>
      <c r="I16" s="3533"/>
      <c r="J16" s="2433"/>
      <c r="K16" s="2611"/>
      <c r="L16" s="2445"/>
      <c r="M16" s="2445"/>
      <c r="N16" s="2503"/>
      <c r="O16" s="2445"/>
      <c r="P16" s="2503"/>
      <c r="Q16" s="2433"/>
      <c r="R16" s="2433"/>
    </row>
    <row r="17" spans="1:28">
      <c r="A17" s="313" t="s">
        <v>2193</v>
      </c>
      <c r="B17" s="302" t="s">
        <v>2194</v>
      </c>
      <c r="C17" s="8">
        <f>'数据-汇总表'!E3</f>
        <v>57457.869999999995</v>
      </c>
      <c r="D17" s="2318" t="s">
        <v>2195</v>
      </c>
      <c r="E17" s="3534" t="s">
        <v>2196</v>
      </c>
      <c r="F17" s="3535"/>
      <c r="G17" s="3535"/>
      <c r="H17" s="3535"/>
      <c r="I17" s="3536"/>
      <c r="J17" s="2433"/>
      <c r="K17" s="2612"/>
      <c r="L17" s="2445"/>
      <c r="M17" s="2445"/>
      <c r="N17" s="2503"/>
      <c r="O17" s="2445"/>
      <c r="P17" s="2503"/>
      <c r="Q17" s="2433"/>
      <c r="R17" s="2433"/>
      <c r="S17" s="2433"/>
      <c r="T17" s="2433"/>
      <c r="U17" s="2433"/>
      <c r="V17" s="2433"/>
    </row>
    <row r="18" spans="1:28" ht="24.75" thickBot="1">
      <c r="A18" s="2408" t="s">
        <v>2197</v>
      </c>
      <c r="B18" s="1090" t="s">
        <v>2198</v>
      </c>
      <c r="C18" s="2409">
        <f>'数据-汇总表'!D3</f>
        <v>15906.02</v>
      </c>
      <c r="D18" s="1092" t="s">
        <v>2199</v>
      </c>
      <c r="E18" s="3537" t="s">
        <v>2200</v>
      </c>
      <c r="F18" s="3538"/>
      <c r="G18" s="3538"/>
      <c r="H18" s="3538"/>
      <c r="I18" s="3539"/>
      <c r="J18" s="2433"/>
      <c r="K18" s="2612"/>
      <c r="L18" s="2445"/>
      <c r="M18" s="2445"/>
      <c r="N18" s="2503"/>
      <c r="O18" s="2445"/>
      <c r="P18" s="2503"/>
      <c r="Q18" s="2433"/>
      <c r="R18" s="2433"/>
      <c r="S18" s="2433"/>
      <c r="T18" s="2433"/>
      <c r="U18" s="2433"/>
      <c r="V18" s="2433"/>
    </row>
    <row r="19" spans="1:28" ht="37.5" thickTop="1" thickBot="1">
      <c r="A19" s="327" t="s">
        <v>1055</v>
      </c>
      <c r="B19" s="307" t="s">
        <v>2201</v>
      </c>
      <c r="C19" s="1562"/>
      <c r="D19" s="1563" t="s">
        <v>2202</v>
      </c>
      <c r="E19" s="1564"/>
      <c r="F19" s="1565" t="str">
        <f>IF(AND(C19="是",E19="否"),"是否提供他项权证或相关说明","")</f>
        <v/>
      </c>
      <c r="G19" s="1566"/>
      <c r="H19" s="2658"/>
      <c r="I19" s="2658"/>
      <c r="J19" s="2433"/>
      <c r="K19" s="2610"/>
      <c r="L19" s="2607"/>
      <c r="M19" s="2607"/>
      <c r="N19" s="2503"/>
      <c r="O19" s="2445"/>
      <c r="P19" s="2503"/>
      <c r="Q19" s="2433"/>
      <c r="R19" s="2433"/>
      <c r="S19" s="2433"/>
      <c r="T19" s="2433"/>
      <c r="U19" s="2433"/>
      <c r="V19" s="2433"/>
    </row>
    <row r="20" spans="1:28">
      <c r="A20" s="2626" t="s">
        <v>2203</v>
      </c>
      <c r="B20" s="3524" t="s">
        <v>2204</v>
      </c>
      <c r="C20" s="3525"/>
      <c r="D20" s="3526" t="s">
        <v>2205</v>
      </c>
      <c r="E20" s="3527"/>
      <c r="F20" s="2641" t="s">
        <v>1056</v>
      </c>
      <c r="G20" s="2658"/>
      <c r="H20" s="2658"/>
      <c r="I20" s="2658"/>
      <c r="J20" s="2433"/>
      <c r="K20" s="3523"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6"/>
      <c r="O20" s="2405"/>
      <c r="P20" s="2406"/>
      <c r="Q20" s="2366"/>
      <c r="R20" s="2366"/>
      <c r="S20" s="2366"/>
      <c r="T20" s="2366"/>
      <c r="U20" s="2366"/>
      <c r="V20" s="2366"/>
      <c r="W20" s="1744"/>
      <c r="X20" s="1744"/>
      <c r="Y20" s="1744"/>
      <c r="Z20" s="1744"/>
      <c r="AA20" s="1744"/>
      <c r="AB20" s="1744"/>
    </row>
    <row r="21" spans="1:28" ht="24.75" thickBot="1">
      <c r="A21" s="2626"/>
      <c r="B21" s="2627" t="s">
        <v>2207</v>
      </c>
      <c r="C21" s="2628" t="s">
        <v>1057</v>
      </c>
      <c r="D21" s="1567" t="s">
        <v>2208</v>
      </c>
      <c r="E21" s="2629" t="s">
        <v>1057</v>
      </c>
      <c r="F21" s="2642"/>
      <c r="G21" s="2658"/>
      <c r="H21" s="2658"/>
      <c r="I21" s="2658"/>
      <c r="J21" s="2433"/>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6"/>
      <c r="O21" s="2405"/>
      <c r="P21" s="2406"/>
      <c r="Q21" s="2366"/>
      <c r="R21" s="2366"/>
      <c r="S21" s="2366"/>
      <c r="T21" s="2366"/>
      <c r="U21" s="2366"/>
      <c r="V21" s="2366"/>
      <c r="W21" s="1744"/>
      <c r="X21" s="1744"/>
      <c r="Y21" s="1744"/>
      <c r="Z21" s="1744"/>
      <c r="AA21" s="1744"/>
      <c r="AB21" s="1744"/>
    </row>
    <row r="22" spans="1:28" ht="24.75" thickBot="1">
      <c r="A22" s="2626"/>
      <c r="B22" s="2630" t="s">
        <v>2209</v>
      </c>
      <c r="C22" s="2628" t="s">
        <v>1058</v>
      </c>
      <c r="D22" s="2657"/>
      <c r="E22" s="2657"/>
      <c r="F22" s="2657"/>
      <c r="G22" s="2658"/>
      <c r="H22" s="2658"/>
      <c r="I22" s="2658"/>
      <c r="J22" s="2433"/>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6"/>
      <c r="O22" s="2405"/>
      <c r="P22" s="2406"/>
      <c r="Q22" s="2366"/>
      <c r="R22" s="2366"/>
      <c r="S22" s="2366"/>
      <c r="T22" s="2366"/>
      <c r="U22" s="2366"/>
      <c r="V22" s="2366"/>
      <c r="W22" s="1744"/>
      <c r="X22" s="1744"/>
      <c r="Y22" s="1744"/>
      <c r="Z22" s="1744"/>
      <c r="AA22" s="1744"/>
      <c r="AB22" s="1744"/>
    </row>
    <row r="23" spans="1:28">
      <c r="A23" s="2631" t="s">
        <v>2210</v>
      </c>
      <c r="B23" s="2496" t="s">
        <v>2211</v>
      </c>
      <c r="C23" s="2632"/>
      <c r="D23" s="2633" t="s">
        <v>2211</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41" t="s">
        <v>2212</v>
      </c>
      <c r="B27" s="320" t="s">
        <v>2213</v>
      </c>
      <c r="C27" s="2410"/>
      <c r="D27" s="2411"/>
      <c r="E27" s="2658"/>
      <c r="F27" s="2658"/>
      <c r="G27" s="2658"/>
      <c r="H27" s="2658"/>
      <c r="I27" s="2658"/>
      <c r="J27" s="2433"/>
      <c r="K27" s="2611"/>
      <c r="L27" s="2445"/>
      <c r="M27" s="2445"/>
      <c r="N27" s="2503"/>
      <c r="O27" s="2445"/>
      <c r="P27" s="2503"/>
      <c r="Q27" s="2433"/>
      <c r="R27" s="2433"/>
      <c r="S27" s="2433"/>
      <c r="T27" s="2433"/>
      <c r="U27" s="2433"/>
      <c r="V27" s="2433"/>
    </row>
    <row r="28" spans="1:28">
      <c r="A28" s="3541"/>
      <c r="B28" s="302" t="s">
        <v>2214</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41"/>
      <c r="B29" s="302" t="s">
        <v>2215</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42"/>
      <c r="B30" s="302" t="s">
        <v>2216</v>
      </c>
      <c r="C30" s="3543"/>
      <c r="D30" s="3544"/>
      <c r="E30" s="2658"/>
      <c r="F30" s="2658"/>
      <c r="G30" s="2658"/>
      <c r="H30" s="2658"/>
      <c r="I30" s="2658"/>
      <c r="J30" s="2433"/>
      <c r="K30" s="2610"/>
      <c r="L30" s="2607"/>
      <c r="M30" s="2607"/>
      <c r="N30" s="2433"/>
      <c r="O30" s="2444"/>
      <c r="P30" s="2433"/>
      <c r="Q30" s="2433"/>
      <c r="R30" s="2433"/>
      <c r="S30" s="2433"/>
      <c r="T30" s="2433"/>
      <c r="U30" s="2433"/>
      <c r="V30" s="2433"/>
    </row>
    <row r="31" spans="1:28">
      <c r="A31" s="3545" t="s">
        <v>2217</v>
      </c>
      <c r="B31" s="2416"/>
      <c r="C31" s="2319" t="str">
        <f>IF(B31="现房","成新及维护状况正常否",IF(B31="在建","工程状态是否正常",IF(B31="土地","是否闲置","-")))</f>
        <v>-</v>
      </c>
      <c r="D31" s="1372"/>
      <c r="E31" s="2417"/>
      <c r="F31" s="2658"/>
      <c r="G31" s="2658"/>
      <c r="H31" s="2658"/>
      <c r="I31" s="2658"/>
      <c r="J31" s="2433"/>
      <c r="K31" s="2609"/>
      <c r="L31" s="2607"/>
      <c r="M31" s="2607"/>
      <c r="N31" s="2433"/>
      <c r="O31" s="2444"/>
      <c r="P31" s="2433"/>
      <c r="Q31" s="2433"/>
      <c r="R31" s="2433"/>
      <c r="S31" s="2433"/>
      <c r="T31" s="2433"/>
      <c r="U31" s="2433"/>
      <c r="V31" s="2433"/>
    </row>
    <row r="32" spans="1:28">
      <c r="A32" s="3546"/>
      <c r="B32" s="2416"/>
      <c r="C32" s="2319" t="str">
        <f>IF(B32="现房","成新及维护状况是否正常",IF(B32="在建","工程状态是否正常",IF(B32="土地","是否闲置","-")))</f>
        <v>-</v>
      </c>
      <c r="D32" s="1372"/>
      <c r="E32" s="2417"/>
      <c r="F32" s="2658"/>
      <c r="G32" s="2658"/>
      <c r="H32" s="2658"/>
      <c r="I32" s="2658"/>
      <c r="J32" s="2433"/>
      <c r="K32" s="2610"/>
      <c r="L32" s="2607"/>
      <c r="M32" s="2607"/>
      <c r="N32" s="2433"/>
      <c r="O32" s="2444"/>
      <c r="P32" s="2433"/>
      <c r="Q32" s="2433"/>
      <c r="R32" s="2433"/>
      <c r="S32" s="2433"/>
      <c r="T32" s="2433"/>
      <c r="U32" s="2433"/>
      <c r="V32" s="2433"/>
    </row>
    <row r="33" spans="1:30">
      <c r="A33" s="3546"/>
      <c r="B33" s="2419"/>
      <c r="C33" s="1589" t="str">
        <f>IF(B33="现房","成新及维护状况是否正常",IF(B33="在建","工程状态是否正常",IF(B33="土地","是否闲置","-")))</f>
        <v>-</v>
      </c>
      <c r="D33" s="1364"/>
      <c r="E33" s="2420"/>
      <c r="F33" s="2658"/>
      <c r="G33" s="2658"/>
      <c r="H33" s="2658"/>
      <c r="I33" s="2658"/>
      <c r="J33" s="2433"/>
      <c r="K33" s="2610"/>
      <c r="L33" s="2607"/>
      <c r="M33" s="2607"/>
      <c r="N33" s="2433"/>
      <c r="O33" s="2444"/>
      <c r="P33" s="2433"/>
      <c r="Q33" s="2433"/>
      <c r="R33" s="2433"/>
      <c r="S33" s="2433"/>
      <c r="T33" s="2433"/>
      <c r="U33" s="2433"/>
      <c r="V33" s="2433"/>
    </row>
    <row r="34" spans="1:30">
      <c r="A34" s="302" t="s">
        <v>2218</v>
      </c>
      <c r="B34" s="2022"/>
      <c r="C34" s="2022"/>
      <c r="D34" s="2022"/>
      <c r="E34" s="2022"/>
      <c r="F34" s="2022"/>
      <c r="G34" s="2022"/>
      <c r="H34" s="2022"/>
      <c r="I34" s="2658"/>
      <c r="J34" s="2433"/>
      <c r="K34" s="2421">
        <f>COUNTIF(B34:H34,"——")</f>
        <v>0</v>
      </c>
      <c r="L34" s="323" t="s">
        <v>2219</v>
      </c>
      <c r="M34" s="323" t="s">
        <v>2220</v>
      </c>
      <c r="N34" s="323" t="s">
        <v>2221</v>
      </c>
      <c r="O34" s="323" t="s">
        <v>2222</v>
      </c>
      <c r="P34" s="323" t="s">
        <v>2223</v>
      </c>
      <c r="Q34" s="323" t="s">
        <v>2224</v>
      </c>
      <c r="R34" s="323" t="s">
        <v>2225</v>
      </c>
      <c r="S34" s="3540" t="s">
        <v>2226</v>
      </c>
      <c r="T34" s="2422" t="str">
        <f>NUMBERSTRING(7-K34,1)&amp;"通"</f>
        <v>七通</v>
      </c>
      <c r="U34" s="2433"/>
      <c r="V34" s="2433"/>
    </row>
    <row r="35" spans="1:30">
      <c r="A35" s="2423"/>
      <c r="B35" s="3547" t="s">
        <v>2227</v>
      </c>
      <c r="C35" s="3547"/>
      <c r="D35" s="3547"/>
      <c r="E35" s="3547"/>
      <c r="F35" s="664">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0"/>
      <c r="T35" s="329" t="str">
        <f>IF(T34="一通",L35,IF(T34="二通",M35,IF(T34="三通",N35,IF(T34="四通",O35,IF(T34="五通",P35,IF(T34="六通",Q35,R35))))))</f>
        <v>、、、、、、</v>
      </c>
      <c r="U35" s="2433"/>
      <c r="V35" s="2433"/>
    </row>
    <row r="36" spans="1:30">
      <c r="A36" s="2424"/>
      <c r="B36" s="664" t="s">
        <v>2183</v>
      </c>
      <c r="C36" s="664" t="s">
        <v>2184</v>
      </c>
      <c r="D36" s="664" t="s">
        <v>2182</v>
      </c>
      <c r="E36" s="664" t="s">
        <v>2187</v>
      </c>
      <c r="F36" s="3059" t="s">
        <v>2580</v>
      </c>
      <c r="G36" s="2658"/>
      <c r="H36" s="2658"/>
      <c r="I36" s="2658"/>
      <c r="J36" s="2433"/>
      <c r="K36" s="2610"/>
      <c r="L36" s="2607"/>
      <c r="M36" s="2607"/>
      <c r="N36" s="2433"/>
      <c r="O36" s="2444"/>
      <c r="P36" s="2433"/>
      <c r="Q36" s="2433"/>
      <c r="R36" s="2433"/>
      <c r="S36" s="2433"/>
      <c r="T36" s="2433"/>
      <c r="U36" s="2433"/>
      <c r="V36" s="2433"/>
    </row>
    <row r="37" spans="1:30">
      <c r="A37" s="2624" t="s">
        <v>2228</v>
      </c>
      <c r="B37" s="2425"/>
      <c r="C37" s="2425" t="s">
        <v>305</v>
      </c>
      <c r="D37" s="2425" t="s">
        <v>305</v>
      </c>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2229</v>
      </c>
      <c r="B38" s="2426"/>
      <c r="C38" s="2426" t="s">
        <v>299</v>
      </c>
      <c r="D38" s="2426" t="s">
        <v>299</v>
      </c>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2230</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6"/>
      <c r="B40" s="2366"/>
      <c r="C40" s="2366"/>
      <c r="D40" s="2366"/>
      <c r="E40" s="2366"/>
      <c r="F40" s="2366"/>
      <c r="G40" s="2366"/>
      <c r="H40" s="2366"/>
      <c r="I40" s="1577"/>
      <c r="J40" s="2503"/>
      <c r="K40" s="2609"/>
      <c r="L40" s="2445"/>
      <c r="M40" s="2445"/>
      <c r="N40" s="2503"/>
      <c r="O40" s="2445"/>
      <c r="P40" s="2433"/>
      <c r="Q40" s="2433"/>
      <c r="R40" s="2433"/>
      <c r="S40" s="2433"/>
      <c r="T40" s="2433"/>
      <c r="U40" s="2433"/>
      <c r="V40" s="2433"/>
    </row>
    <row r="41" spans="1:30">
      <c r="A41" s="2430" t="s">
        <v>2231</v>
      </c>
      <c r="B41" s="1756"/>
      <c r="C41" s="1372"/>
      <c r="D41" s="2366"/>
      <c r="E41" s="2366"/>
      <c r="F41" s="2366"/>
      <c r="G41" s="2366"/>
      <c r="H41" s="2366"/>
      <c r="I41" s="1575"/>
      <c r="J41" s="2433"/>
      <c r="K41" s="2610"/>
      <c r="L41" s="2607"/>
      <c r="M41" s="2607"/>
      <c r="N41" s="2433"/>
      <c r="O41" s="2444"/>
      <c r="P41" s="2433"/>
      <c r="Q41" s="2433"/>
      <c r="R41" s="2433"/>
      <c r="S41" s="2433"/>
      <c r="T41" s="2433"/>
      <c r="U41" s="2433"/>
      <c r="V41" s="2433"/>
    </row>
    <row r="42" spans="1:30" ht="25.5">
      <c r="A42" s="323" t="s">
        <v>2232</v>
      </c>
      <c r="B42" s="8" t="s">
        <v>2233</v>
      </c>
      <c r="C42" s="8" t="s">
        <v>2234</v>
      </c>
      <c r="D42" s="8" t="s">
        <v>2235</v>
      </c>
      <c r="E42" s="8" t="s">
        <v>2236</v>
      </c>
      <c r="F42" s="8" t="s">
        <v>2237</v>
      </c>
      <c r="G42" s="8" t="s">
        <v>2238</v>
      </c>
      <c r="H42" s="8" t="s">
        <v>2239</v>
      </c>
      <c r="I42" s="8" t="s">
        <v>2240</v>
      </c>
      <c r="J42" s="2620" t="s">
        <v>2241</v>
      </c>
      <c r="K42" s="2621" t="s">
        <v>2242</v>
      </c>
      <c r="L42" s="2621" t="s">
        <v>2243</v>
      </c>
      <c r="M42" s="2621" t="s">
        <v>2244</v>
      </c>
      <c r="N42" s="2614" t="s">
        <v>2245</v>
      </c>
      <c r="O42" s="2614" t="s">
        <v>2246</v>
      </c>
      <c r="P42" s="2614" t="s">
        <v>2247</v>
      </c>
      <c r="Q42" s="2615" t="s">
        <v>2248</v>
      </c>
      <c r="R42" s="2615" t="s">
        <v>2249</v>
      </c>
      <c r="S42" s="2433"/>
      <c r="T42" s="2433"/>
      <c r="U42" s="2433"/>
      <c r="V42" s="2433"/>
    </row>
    <row r="43" spans="1:30" s="1742" customFormat="1">
      <c r="A43" s="1569"/>
      <c r="B43" s="1051"/>
      <c r="C43" s="1051"/>
      <c r="D43" s="1051"/>
      <c r="E43" s="1051"/>
      <c r="F43" s="1051"/>
      <c r="G43" s="1051"/>
      <c r="H43" s="1051"/>
      <c r="I43" s="1051"/>
      <c r="J43" s="2431"/>
      <c r="K43" s="2432"/>
      <c r="L43" s="2432"/>
      <c r="M43" s="1051"/>
      <c r="N43" s="1051"/>
      <c r="O43" s="1051"/>
      <c r="P43" s="1051"/>
      <c r="Q43" s="1051"/>
      <c r="R43" s="1051"/>
      <c r="S43" s="2433"/>
      <c r="T43" s="2433"/>
      <c r="U43" s="2433"/>
      <c r="V43" s="2433"/>
    </row>
    <row r="44" spans="1:30" s="1742" customFormat="1">
      <c r="A44" s="1569"/>
      <c r="B44" s="1569"/>
      <c r="C44" s="1051"/>
      <c r="D44" s="1051"/>
      <c r="E44" s="1051"/>
      <c r="F44" s="1051"/>
      <c r="G44" s="1051"/>
      <c r="H44" s="1051"/>
      <c r="I44" s="1051"/>
      <c r="J44" s="2431"/>
      <c r="K44" s="2432"/>
      <c r="L44" s="2432"/>
      <c r="M44" s="1051"/>
      <c r="N44" s="1051"/>
      <c r="O44" s="1051"/>
      <c r="P44" s="1051"/>
      <c r="Q44" s="1051"/>
      <c r="R44" s="1051"/>
      <c r="S44" s="2433"/>
      <c r="T44" s="2433"/>
      <c r="U44" s="2433"/>
      <c r="V44" s="2433"/>
    </row>
    <row r="45" spans="1:30" s="1742" customFormat="1">
      <c r="A45" s="1569"/>
      <c r="B45" s="1569"/>
      <c r="C45" s="1051"/>
      <c r="D45" s="1051"/>
      <c r="E45" s="1051"/>
      <c r="F45" s="1051"/>
      <c r="G45" s="1051"/>
      <c r="H45" s="1051"/>
      <c r="I45" s="1051"/>
      <c r="J45" s="2431"/>
      <c r="K45" s="2432"/>
      <c r="L45" s="2432"/>
      <c r="M45" s="1051"/>
      <c r="N45" s="1051"/>
      <c r="O45" s="1051"/>
      <c r="P45" s="1051"/>
      <c r="Q45" s="1051"/>
      <c r="R45" s="1051"/>
      <c r="S45" s="2433"/>
      <c r="T45" s="2433"/>
      <c r="U45" s="2433"/>
      <c r="V45" s="2433"/>
    </row>
    <row r="46" spans="1:30" s="1742" customFormat="1">
      <c r="A46" s="1569"/>
      <c r="B46" s="1569"/>
      <c r="C46" s="1051"/>
      <c r="D46" s="1051"/>
      <c r="E46" s="1051"/>
      <c r="F46" s="1051"/>
      <c r="G46" s="1051"/>
      <c r="H46" s="1051"/>
      <c r="I46" s="1051"/>
      <c r="J46" s="2431"/>
      <c r="K46" s="2432"/>
      <c r="L46" s="2432"/>
      <c r="M46" s="1051"/>
      <c r="N46" s="1051"/>
      <c r="O46" s="1051"/>
      <c r="P46" s="1051"/>
      <c r="Q46" s="1051"/>
      <c r="R46" s="1051"/>
      <c r="S46" s="2433"/>
      <c r="T46" s="2433"/>
      <c r="U46" s="2433"/>
      <c r="V46" s="2433"/>
    </row>
    <row r="47" spans="1:30" s="1742" customFormat="1">
      <c r="A47" s="1569"/>
      <c r="B47" s="1569"/>
      <c r="C47" s="1051"/>
      <c r="D47" s="1051"/>
      <c r="E47" s="1051"/>
      <c r="F47" s="1051"/>
      <c r="G47" s="1051"/>
      <c r="H47" s="1051"/>
      <c r="I47" s="1051"/>
      <c r="J47" s="2431"/>
      <c r="K47" s="2432"/>
      <c r="L47" s="2432"/>
      <c r="M47" s="1051"/>
      <c r="N47" s="1051"/>
      <c r="O47" s="1051"/>
      <c r="P47" s="1051"/>
      <c r="Q47" s="1051"/>
      <c r="R47" s="1051"/>
      <c r="S47" s="2433"/>
      <c r="T47" s="2433"/>
      <c r="U47" s="2433"/>
      <c r="V47" s="2433"/>
    </row>
    <row r="48" spans="1:30" s="1742" customFormat="1">
      <c r="A48" s="1569"/>
      <c r="B48" s="1569"/>
      <c r="C48" s="1051"/>
      <c r="D48" s="1051"/>
      <c r="E48" s="1051"/>
      <c r="F48" s="1051"/>
      <c r="G48" s="1051"/>
      <c r="H48" s="1051"/>
      <c r="I48" s="1051"/>
      <c r="J48" s="2431"/>
      <c r="K48" s="2432"/>
      <c r="L48" s="2432"/>
      <c r="M48" s="1051"/>
      <c r="N48" s="1051"/>
      <c r="O48" s="1051"/>
      <c r="P48" s="1051"/>
      <c r="Q48" s="1051"/>
      <c r="R48" s="1051"/>
      <c r="S48" s="2433"/>
      <c r="T48" s="2433"/>
      <c r="U48" s="2433"/>
      <c r="V48" s="2433"/>
    </row>
    <row r="49" spans="1:22" s="1742" customFormat="1">
      <c r="A49" s="1569"/>
      <c r="B49" s="1569"/>
      <c r="C49" s="1051"/>
      <c r="D49" s="1051"/>
      <c r="E49" s="1051"/>
      <c r="F49" s="1051"/>
      <c r="G49" s="1051"/>
      <c r="H49" s="1051"/>
      <c r="I49" s="1051"/>
      <c r="J49" s="2431"/>
      <c r="K49" s="2432"/>
      <c r="L49" s="2432"/>
      <c r="M49" s="1051"/>
      <c r="N49" s="1051"/>
      <c r="O49" s="1051"/>
      <c r="P49" s="1051"/>
      <c r="Q49" s="1051"/>
      <c r="R49" s="1051"/>
      <c r="S49" s="2433"/>
      <c r="T49" s="2433"/>
      <c r="U49" s="2433"/>
      <c r="V49" s="2433"/>
    </row>
    <row r="50" spans="1:22" s="1742" customFormat="1">
      <c r="A50" s="1569"/>
      <c r="B50" s="1569"/>
      <c r="C50" s="1051"/>
      <c r="D50" s="1051"/>
      <c r="E50" s="1051"/>
      <c r="F50" s="1051"/>
      <c r="G50" s="1051"/>
      <c r="H50" s="1051"/>
      <c r="I50" s="1051"/>
      <c r="J50" s="2431"/>
      <c r="K50" s="2432"/>
      <c r="L50" s="2432"/>
      <c r="M50" s="1051"/>
      <c r="N50" s="1051"/>
      <c r="O50" s="1051"/>
      <c r="P50" s="1051"/>
      <c r="Q50" s="1051"/>
      <c r="R50" s="1051"/>
      <c r="S50" s="2433"/>
      <c r="T50" s="2433"/>
      <c r="U50" s="2433"/>
      <c r="V50" s="2433"/>
    </row>
    <row r="51" spans="1:22" s="1742" customFormat="1">
      <c r="A51" s="1569"/>
      <c r="B51" s="1569"/>
      <c r="C51" s="1051"/>
      <c r="D51" s="1051"/>
      <c r="E51" s="1051"/>
      <c r="F51" s="1051"/>
      <c r="G51" s="1051"/>
      <c r="H51" s="1051"/>
      <c r="I51" s="1051"/>
      <c r="J51" s="2431"/>
      <c r="K51" s="2432"/>
      <c r="L51" s="2432"/>
      <c r="M51" s="1051"/>
      <c r="N51" s="1051"/>
      <c r="O51" s="1051"/>
      <c r="P51" s="1051"/>
      <c r="Q51" s="1051"/>
      <c r="R51" s="1051"/>
    </row>
    <row r="52" spans="1:22" s="1742" customFormat="1">
      <c r="A52" s="1569"/>
      <c r="B52" s="1569"/>
      <c r="C52" s="1569"/>
      <c r="D52" s="1569"/>
      <c r="E52" s="1569"/>
      <c r="F52" s="1051"/>
      <c r="G52" s="1569"/>
      <c r="H52" s="1569"/>
      <c r="I52" s="1569"/>
      <c r="J52" s="2434"/>
      <c r="K52" s="2432"/>
      <c r="L52" s="2432"/>
      <c r="M52" s="2432"/>
      <c r="N52" s="1569"/>
      <c r="O52" s="1569"/>
      <c r="P52" s="1569"/>
      <c r="Q52" s="1569"/>
      <c r="R52" s="1569"/>
    </row>
    <row r="53" spans="1:22" s="1742" customFormat="1">
      <c r="A53" s="1569"/>
      <c r="B53" s="1569"/>
      <c r="C53" s="1569"/>
      <c r="D53" s="1569"/>
      <c r="E53" s="1569"/>
      <c r="F53" s="1051"/>
      <c r="G53" s="1569"/>
      <c r="H53" s="1569"/>
      <c r="I53" s="1569"/>
      <c r="J53" s="2434"/>
      <c r="K53" s="2432"/>
      <c r="L53" s="2432"/>
      <c r="M53" s="2432"/>
      <c r="N53" s="1569"/>
      <c r="O53" s="1569"/>
      <c r="P53" s="1569"/>
      <c r="Q53" s="1569"/>
      <c r="R53" s="1569"/>
    </row>
    <row r="54" spans="1:22" s="1742" customFormat="1">
      <c r="A54" s="1569"/>
      <c r="B54" s="1569"/>
      <c r="C54" s="1569"/>
      <c r="D54" s="1569"/>
      <c r="E54" s="1569"/>
      <c r="F54" s="1051"/>
      <c r="G54" s="1569"/>
      <c r="H54" s="1569"/>
      <c r="I54" s="1569"/>
      <c r="J54" s="2434"/>
      <c r="K54" s="2432"/>
      <c r="L54" s="2432"/>
      <c r="M54" s="2432"/>
      <c r="N54" s="1569"/>
      <c r="O54" s="1569"/>
      <c r="P54" s="1569"/>
      <c r="Q54" s="1569"/>
      <c r="R54" s="1569"/>
    </row>
    <row r="55" spans="1:22" s="1742" customFormat="1">
      <c r="A55" s="1569"/>
      <c r="B55" s="1569"/>
      <c r="C55" s="1569"/>
      <c r="D55" s="1569"/>
      <c r="E55" s="1569"/>
      <c r="F55" s="1051"/>
      <c r="G55" s="1569"/>
      <c r="H55" s="1569"/>
      <c r="I55" s="1569"/>
      <c r="J55" s="2434"/>
      <c r="K55" s="2432"/>
      <c r="L55" s="2432"/>
      <c r="M55" s="2432"/>
      <c r="N55" s="1569"/>
      <c r="O55" s="1569"/>
      <c r="P55" s="1569"/>
      <c r="Q55" s="1569"/>
      <c r="R55" s="1569"/>
    </row>
    <row r="56" spans="1:22" s="1742" customFormat="1">
      <c r="A56" s="1569"/>
      <c r="B56" s="1569"/>
      <c r="C56" s="1569"/>
      <c r="D56" s="1569"/>
      <c r="E56" s="1569"/>
      <c r="F56" s="1051"/>
      <c r="G56" s="1569"/>
      <c r="H56" s="1569"/>
      <c r="I56" s="1569"/>
      <c r="J56" s="2434"/>
      <c r="K56" s="2432"/>
      <c r="L56" s="2432"/>
      <c r="M56" s="2432"/>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11.25" style="1572" customWidth="1"/>
    <col min="11" max="11" width="11" style="1572" customWidth="1"/>
    <col min="12" max="14" width="9.5" style="1572"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3" width="10.5" style="1572" bestFit="1" customWidth="1"/>
    <col min="54" max="54" width="14.75" style="1572" bestFit="1" customWidth="1"/>
    <col min="55"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39121.32</v>
      </c>
      <c r="B3" s="11">
        <f>IF(C3="否",G5-AT5,G5)</f>
        <v>141319.32</v>
      </c>
      <c r="C3" s="1579" t="s">
        <v>3384</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141319.32</v>
      </c>
      <c r="H5" s="13">
        <f t="shared" ref="H5:AT5" si="0">SUM(H13:H656)</f>
        <v>126339.2</v>
      </c>
      <c r="I5" s="13">
        <f t="shared" si="0"/>
        <v>83858.930000000022</v>
      </c>
      <c r="J5" s="13">
        <f t="shared" si="0"/>
        <v>68881.33</v>
      </c>
      <c r="K5" s="13">
        <f t="shared" si="0"/>
        <v>5373.0999999999995</v>
      </c>
      <c r="L5" s="13">
        <f t="shared" si="0"/>
        <v>0</v>
      </c>
      <c r="M5" s="13">
        <f t="shared" si="0"/>
        <v>37107.17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3825.3700000000003</v>
      </c>
      <c r="AD5" s="13">
        <f t="shared" si="0"/>
        <v>2302.63</v>
      </c>
      <c r="AE5" s="13">
        <f t="shared" si="0"/>
        <v>2302.63</v>
      </c>
      <c r="AF5" s="13">
        <f t="shared" si="0"/>
        <v>0</v>
      </c>
      <c r="AG5" s="13">
        <f t="shared" si="0"/>
        <v>0</v>
      </c>
      <c r="AH5" s="13">
        <f t="shared" si="0"/>
        <v>0</v>
      </c>
      <c r="AI5" s="13">
        <f t="shared" si="0"/>
        <v>0</v>
      </c>
      <c r="AJ5" s="13">
        <f t="shared" si="0"/>
        <v>0</v>
      </c>
      <c r="AK5" s="13">
        <f t="shared" si="0"/>
        <v>0</v>
      </c>
      <c r="AL5" s="13">
        <f t="shared" si="0"/>
        <v>302.67</v>
      </c>
      <c r="AM5" s="13">
        <f t="shared" si="0"/>
        <v>302.67</v>
      </c>
      <c r="AN5" s="13">
        <f t="shared" si="0"/>
        <v>1220.0700000000002</v>
      </c>
      <c r="AO5" s="13">
        <f t="shared" si="0"/>
        <v>1220.0700000000002</v>
      </c>
      <c r="AP5" s="13">
        <f t="shared" si="0"/>
        <v>0</v>
      </c>
      <c r="AQ5" s="13">
        <f t="shared" si="0"/>
        <v>0</v>
      </c>
      <c r="AR5" s="13">
        <f t="shared" si="0"/>
        <v>0</v>
      </c>
      <c r="AS5" s="13">
        <f t="shared" si="0"/>
        <v>0</v>
      </c>
      <c r="AT5" s="13">
        <f t="shared" si="0"/>
        <v>11154.75</v>
      </c>
      <c r="AU5" s="1345"/>
      <c r="AV5" s="12" t="s">
        <v>1070</v>
      </c>
      <c r="AW5" s="1346"/>
      <c r="AX5" s="1346"/>
      <c r="AY5" s="14" t="s">
        <v>2</v>
      </c>
      <c r="AZ5" s="15">
        <f t="shared" ref="AZ5:BT5" si="1">SUM(AZ13:AZ656)</f>
        <v>57457.869999999995</v>
      </c>
      <c r="BA5" s="15">
        <f t="shared" si="1"/>
        <v>57457.869999999995</v>
      </c>
      <c r="BB5" s="15">
        <f t="shared" si="1"/>
        <v>14977.599999999997</v>
      </c>
      <c r="BC5" s="15">
        <f t="shared" si="1"/>
        <v>5373.0999999999995</v>
      </c>
      <c r="BD5" s="15">
        <f t="shared" si="1"/>
        <v>37107.17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1071</v>
      </c>
      <c r="B6" s="1585"/>
      <c r="C6" s="1585"/>
      <c r="D6" s="1586"/>
      <c r="E6" s="13">
        <f>H6+AC6+AT6</f>
        <v>39121.32</v>
      </c>
      <c r="F6" s="13" t="s">
        <v>0</v>
      </c>
      <c r="G6" s="13" t="s">
        <v>1</v>
      </c>
      <c r="H6" s="17">
        <f>SUMIF(I$12:AB$12,"总值",I6:AB6)</f>
        <v>34974.379999999997</v>
      </c>
      <c r="I6" s="13">
        <f t="shared" ref="I6:AB6" si="2">ROUND($A$3*I5/$B$3,2)</f>
        <v>23214.6</v>
      </c>
      <c r="J6" s="13">
        <f t="shared" si="2"/>
        <v>19068.37</v>
      </c>
      <c r="K6" s="13">
        <f t="shared" si="2"/>
        <v>1487.43</v>
      </c>
      <c r="L6" s="13">
        <f t="shared" si="2"/>
        <v>0</v>
      </c>
      <c r="M6" s="13">
        <f t="shared" si="2"/>
        <v>10272.35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1058.98</v>
      </c>
      <c r="AD6" s="13">
        <f t="shared" ref="AD6:AS6" si="3">ROUND($A$3*AD5/$B$3,2)</f>
        <v>637.44000000000005</v>
      </c>
      <c r="AE6" s="13">
        <f t="shared" si="3"/>
        <v>637.44000000000005</v>
      </c>
      <c r="AF6" s="13">
        <f t="shared" si="3"/>
        <v>0</v>
      </c>
      <c r="AG6" s="13">
        <f t="shared" si="3"/>
        <v>0</v>
      </c>
      <c r="AH6" s="13">
        <f t="shared" si="3"/>
        <v>0</v>
      </c>
      <c r="AI6" s="13">
        <f t="shared" si="3"/>
        <v>0</v>
      </c>
      <c r="AJ6" s="13">
        <f t="shared" si="3"/>
        <v>0</v>
      </c>
      <c r="AK6" s="13">
        <f t="shared" si="3"/>
        <v>0</v>
      </c>
      <c r="AL6" s="13">
        <f t="shared" si="3"/>
        <v>83.79</v>
      </c>
      <c r="AM6" s="13">
        <f t="shared" si="3"/>
        <v>83.79</v>
      </c>
      <c r="AN6" s="13">
        <f t="shared" si="3"/>
        <v>337.75</v>
      </c>
      <c r="AO6" s="13">
        <f t="shared" si="3"/>
        <v>337.75</v>
      </c>
      <c r="AP6" s="13">
        <f t="shared" si="3"/>
        <v>0</v>
      </c>
      <c r="AQ6" s="13">
        <f t="shared" si="3"/>
        <v>0</v>
      </c>
      <c r="AR6" s="13">
        <f t="shared" si="3"/>
        <v>0</v>
      </c>
      <c r="AS6" s="13">
        <f t="shared" si="3"/>
        <v>0</v>
      </c>
      <c r="AT6" s="17">
        <f>IF(C3="是",ROUND($A$3*AT5/$B$3,2),0)</f>
        <v>3087.96</v>
      </c>
      <c r="AU6" s="1587"/>
      <c r="AV6" s="12" t="s">
        <v>1071</v>
      </c>
      <c r="AW6" s="1585"/>
      <c r="AX6" s="1585"/>
      <c r="AY6" s="18">
        <f>IF(AY3&gt;0,AY3,ROUND($A$3*AZ5/$B$3,2))</f>
        <v>15906.02</v>
      </c>
      <c r="AZ6" s="13" t="s">
        <v>2</v>
      </c>
      <c r="BA6" s="13">
        <f>ROUND($AY$6*BA5/$AZ$5,2)</f>
        <v>15906.02</v>
      </c>
      <c r="BB6" s="13">
        <f>ROUND($AY$6*BB5/$AZ$5,2)</f>
        <v>4146.24</v>
      </c>
      <c r="BC6" s="13">
        <f t="shared" ref="BC6:BH6" si="4">ROUND($AY$6*BC5/$AZ$5,2)</f>
        <v>1487.43</v>
      </c>
      <c r="BD6" s="13">
        <f t="shared" si="4"/>
        <v>10272.35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9" t="s">
        <v>1085</v>
      </c>
      <c r="AD8" s="1599"/>
      <c r="AE8" s="1591"/>
      <c r="AF8" s="1359"/>
      <c r="AG8" s="1359"/>
      <c r="AH8" s="1359"/>
      <c r="AI8" s="1359"/>
      <c r="AJ8" s="1359"/>
      <c r="AK8" s="1359"/>
      <c r="AL8" s="1359"/>
      <c r="AM8" s="1359"/>
      <c r="AN8" s="1359"/>
      <c r="AO8" s="1359"/>
      <c r="AP8" s="1359"/>
      <c r="AQ8" s="1359"/>
      <c r="AR8" s="1359"/>
      <c r="AS8" s="1359"/>
      <c r="AT8" s="1070" t="s">
        <v>1086</v>
      </c>
      <c r="AU8" s="1593" t="s">
        <v>1087</v>
      </c>
      <c r="AV8" s="1070"/>
      <c r="AW8" s="1576"/>
      <c r="AX8" s="1070"/>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1090</v>
      </c>
      <c r="I9" s="1602" t="s">
        <v>3385</v>
      </c>
      <c r="J9" s="809"/>
      <c r="K9" s="1602" t="s">
        <v>3387</v>
      </c>
      <c r="L9" s="809"/>
      <c r="M9" s="1602" t="s">
        <v>3387</v>
      </c>
      <c r="N9" s="809"/>
      <c r="O9" s="1602"/>
      <c r="P9" s="809"/>
      <c r="Q9" s="1602"/>
      <c r="R9" s="809"/>
      <c r="S9" s="1602"/>
      <c r="T9" s="809"/>
      <c r="U9" s="1602"/>
      <c r="V9" s="809"/>
      <c r="W9" s="1602"/>
      <c r="X9" s="1603"/>
      <c r="Y9" s="1602"/>
      <c r="Z9" s="809"/>
      <c r="AA9" s="1602"/>
      <c r="AB9" s="809"/>
      <c r="AC9" s="1594"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4"/>
      <c r="AT9" s="1593"/>
      <c r="AU9" s="1593" t="s">
        <v>1093</v>
      </c>
      <c r="AV9" s="1070"/>
      <c r="AW9" s="1576"/>
      <c r="AX9" s="1070"/>
      <c r="AY9" s="25"/>
      <c r="AZ9" s="25" t="s">
        <v>1083</v>
      </c>
      <c r="BA9" s="1605" t="s">
        <v>1094</v>
      </c>
      <c r="BB9" s="1606"/>
      <c r="BC9" s="1088"/>
      <c r="BD9" s="1088"/>
      <c r="BE9" s="1088"/>
      <c r="BF9" s="1088"/>
      <c r="BG9" s="1088"/>
      <c r="BH9" s="1088"/>
      <c r="BI9" s="1088"/>
      <c r="BJ9" s="1088"/>
      <c r="BK9" s="1607"/>
      <c r="BL9" s="12" t="s">
        <v>1095</v>
      </c>
      <c r="BM9" s="1359"/>
      <c r="BN9" s="1596"/>
      <c r="BO9" s="1359"/>
      <c r="BP9" s="1359"/>
      <c r="BQ9" s="1359"/>
      <c r="BR9" s="1359"/>
      <c r="BS9" s="1359"/>
      <c r="BT9" s="23"/>
    </row>
    <row r="10" spans="1:72" s="1600" customFormat="1" ht="12.75">
      <c r="A10" s="1593"/>
      <c r="B10" s="1593"/>
      <c r="C10" s="1593"/>
      <c r="D10" s="1593"/>
      <c r="E10" s="1593"/>
      <c r="F10" s="1593"/>
      <c r="G10" s="1070"/>
      <c r="H10" s="25"/>
      <c r="I10" s="1602" t="s">
        <v>3386</v>
      </c>
      <c r="J10" s="809"/>
      <c r="K10" s="1608" t="s">
        <v>3339</v>
      </c>
      <c r="L10" s="809"/>
      <c r="M10" s="1608" t="s">
        <v>3338</v>
      </c>
      <c r="N10" s="809"/>
      <c r="O10" s="1608"/>
      <c r="P10" s="809"/>
      <c r="Q10" s="1608"/>
      <c r="R10" s="809"/>
      <c r="S10" s="1608"/>
      <c r="T10" s="809"/>
      <c r="U10" s="1608"/>
      <c r="V10" s="809"/>
      <c r="W10" s="1608"/>
      <c r="X10" s="809"/>
      <c r="Y10" s="1608"/>
      <c r="Z10" s="809"/>
      <c r="AA10" s="1608"/>
      <c r="AB10" s="809"/>
      <c r="AC10" s="1070"/>
      <c r="AD10" s="12" t="s">
        <v>1096</v>
      </c>
      <c r="AE10" s="1609"/>
      <c r="AF10" s="12" t="s">
        <v>1096</v>
      </c>
      <c r="AG10" s="1609"/>
      <c r="AH10" s="12" t="s">
        <v>1097</v>
      </c>
      <c r="AI10" s="1609"/>
      <c r="AJ10" s="12" t="s">
        <v>1097</v>
      </c>
      <c r="AK10" s="1609"/>
      <c r="AL10" s="12" t="s">
        <v>1098</v>
      </c>
      <c r="AM10" s="1076"/>
      <c r="AN10" s="12" t="s">
        <v>1098</v>
      </c>
      <c r="AO10" s="1076"/>
      <c r="AP10" s="12" t="s">
        <v>1099</v>
      </c>
      <c r="AQ10" s="1076"/>
      <c r="AR10" s="12" t="s">
        <v>1099</v>
      </c>
      <c r="AS10" s="1076"/>
      <c r="AT10" s="1593"/>
      <c r="AU10" s="1593"/>
      <c r="AV10" s="1070"/>
      <c r="AW10" s="1576"/>
      <c r="AX10" s="1070"/>
      <c r="AY10" s="25"/>
      <c r="AZ10" s="25"/>
      <c r="BA10" s="1610" t="s">
        <v>1090</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t="str">
        <f>K10</f>
        <v>仓储</v>
      </c>
      <c r="BD11" s="1598" t="str">
        <f>M10</f>
        <v>车库</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t="s">
        <v>3448</v>
      </c>
      <c r="D13" s="1624" t="s">
        <v>3384</v>
      </c>
      <c r="E13" s="13">
        <f>IF($C$3="是",ROUND($A$3*G13/$B$3,2),ROUND($A$3*(G13-AT13)/$B$3,2))</f>
        <v>2639.95</v>
      </c>
      <c r="F13" s="29"/>
      <c r="G13" s="30">
        <f>H13+AC13+AT13</f>
        <v>9536.3700000000008</v>
      </c>
      <c r="H13" s="17">
        <f>SUMIF(I$12:AB$12,"总值",I13:AB13)</f>
        <v>9536.3700000000008</v>
      </c>
      <c r="I13" s="1625">
        <v>9018</v>
      </c>
      <c r="J13" s="1625">
        <f>I13-抵押物清单!J3</f>
        <v>7426.98</v>
      </c>
      <c r="K13" s="1625">
        <v>518.37</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04-1#住宅</v>
      </c>
      <c r="AY13" s="1348">
        <f>ROUND($AY$6*AZ13/$AZ$5,2)</f>
        <v>583.94000000000005</v>
      </c>
      <c r="AZ13" s="13">
        <f>BA13+BL13</f>
        <v>2109.3900000000003</v>
      </c>
      <c r="BA13" s="13">
        <f>SUM(BB13:BK13)</f>
        <v>2109.3900000000003</v>
      </c>
      <c r="BB13" s="13">
        <f>IF($D13="是",I13-J13,0)</f>
        <v>1591.0200000000004</v>
      </c>
      <c r="BC13" s="13">
        <f>IF($D13="是",K13-L13,0)</f>
        <v>518.37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t="s">
        <v>3449</v>
      </c>
      <c r="D14" s="1624" t="s">
        <v>3384</v>
      </c>
      <c r="E14" s="13">
        <f>IF($C$3="是",ROUND($A$3*G14/$B$3,2),ROUND($A$3*(G14-AT14)/$B$3,2))</f>
        <v>1526.94</v>
      </c>
      <c r="F14" s="29"/>
      <c r="G14" s="30">
        <f>H14+AC14+AT14</f>
        <v>5515.81</v>
      </c>
      <c r="H14" s="17">
        <f>SUMIF(I$12:AB$12,"总值",I14:AB14)</f>
        <v>5515.81</v>
      </c>
      <c r="I14" s="1625">
        <v>5230.6000000000004</v>
      </c>
      <c r="J14" s="1625">
        <f>I14-抵押物清单!J4</f>
        <v>4982.01</v>
      </c>
      <c r="K14" s="1625">
        <v>285.20999999999998</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04-2#住宅</v>
      </c>
      <c r="AY14" s="1348">
        <f>ROUND($AY$6*AZ14/$AZ$5,2)</f>
        <v>147.77000000000001</v>
      </c>
      <c r="AZ14" s="13">
        <f>BA14+BL14</f>
        <v>533.80000000000018</v>
      </c>
      <c r="BA14" s="13">
        <f>SUM(BB14:BK14)</f>
        <v>533.80000000000018</v>
      </c>
      <c r="BB14" s="13">
        <f>IF($D14="是",I14-J14,0)</f>
        <v>248.59000000000015</v>
      </c>
      <c r="BC14" s="13">
        <f>IF($D14="是",K14-L14,0)</f>
        <v>285.20999999999998</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t="s">
        <v>3450</v>
      </c>
      <c r="D15" s="1624" t="s">
        <v>3384</v>
      </c>
      <c r="E15" s="13">
        <f>IF($C$3="是",ROUND($A$3*G15/$B$3,2),ROUND($A$3*(G15-AT15)/$B$3,2))</f>
        <v>1526.94</v>
      </c>
      <c r="F15" s="29"/>
      <c r="G15" s="30">
        <f>H15+AC15+AT15</f>
        <v>5515.81</v>
      </c>
      <c r="H15" s="17">
        <f>SUMIF(I$12:AB$12,"总值",I15:AB15)</f>
        <v>5515.81</v>
      </c>
      <c r="I15" s="1625">
        <v>5230.6000000000004</v>
      </c>
      <c r="J15" s="1625">
        <f>I15-抵押物清单!J5</f>
        <v>5053.5</v>
      </c>
      <c r="K15" s="1625">
        <v>285.20999999999998</v>
      </c>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04-3#住宅</v>
      </c>
      <c r="AY15" s="1348">
        <f>ROUND($AY$6*AZ15/$AZ$5,2)</f>
        <v>127.98</v>
      </c>
      <c r="AZ15" s="13">
        <f>BA15+BL15</f>
        <v>462.31000000000034</v>
      </c>
      <c r="BA15" s="13">
        <f>SUM(BB15:BK15)</f>
        <v>462.31000000000034</v>
      </c>
      <c r="BB15" s="13">
        <f>IF($D15="是",I15-J15,0)</f>
        <v>177.10000000000036</v>
      </c>
      <c r="BC15" s="13">
        <f>IF($D15="是",K15-L15,0)</f>
        <v>285.20999999999998</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t="s">
        <v>3451</v>
      </c>
      <c r="D16" s="1624" t="s">
        <v>3384</v>
      </c>
      <c r="E16" s="13">
        <f>IF($C$3="是",ROUND($A$3*G16/$B$3,2),ROUND($A$3*(G16-AT16)/$B$3,2))</f>
        <v>1523.59</v>
      </c>
      <c r="F16" s="29"/>
      <c r="G16" s="30">
        <f>H16+AC16+AT16</f>
        <v>5503.72</v>
      </c>
      <c r="H16" s="17">
        <f>SUMIF(I$12:AB$12,"总值",I16:AB16)</f>
        <v>5503.72</v>
      </c>
      <c r="I16" s="1625">
        <v>5201.76</v>
      </c>
      <c r="J16" s="1625">
        <f>I16-抵押物清单!J6</f>
        <v>5114.47</v>
      </c>
      <c r="K16" s="1625">
        <v>301.95999999999998</v>
      </c>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04-4#住宅</v>
      </c>
      <c r="AY16" s="1348">
        <f>ROUND($AY$6*AZ16/$AZ$5,2)</f>
        <v>107.76</v>
      </c>
      <c r="AZ16" s="13">
        <f>BA16+BL16</f>
        <v>389.24999999999994</v>
      </c>
      <c r="BA16" s="13">
        <f>SUM(BB16:BK16)</f>
        <v>389.24999999999994</v>
      </c>
      <c r="BB16" s="13">
        <f>IF($D16="是",I16-J16,0)</f>
        <v>87.289999999999964</v>
      </c>
      <c r="BC16" s="13">
        <f>IF($D16="是",K16-L16,0)</f>
        <v>301.95999999999998</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t="s">
        <v>3452</v>
      </c>
      <c r="D17" s="1624" t="s">
        <v>3384</v>
      </c>
      <c r="E17" s="13">
        <f>IF($C$3="是",ROUND($A$3*G17/$B$3,2),ROUND($A$3*(G17-AT17)/$B$3,2))</f>
        <v>585.6</v>
      </c>
      <c r="F17" s="29"/>
      <c r="G17" s="30">
        <f>H17+AC17+AT17</f>
        <v>2115.38</v>
      </c>
      <c r="H17" s="17">
        <f>SUMIF(I$12:AB$12,"总值",I17:AB17)</f>
        <v>2115.38</v>
      </c>
      <c r="I17" s="1625">
        <v>1961.63</v>
      </c>
      <c r="J17" s="1625">
        <f>I17-抵押物清单!J7</f>
        <v>1694.46</v>
      </c>
      <c r="K17" s="1625">
        <v>153.75</v>
      </c>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04-5#住宅</v>
      </c>
      <c r="AY17" s="1348">
        <f>ROUND($AY$6*AZ17/$AZ$5,2)</f>
        <v>116.52</v>
      </c>
      <c r="AZ17" s="13">
        <f>BA17+BL17</f>
        <v>420.92000000000007</v>
      </c>
      <c r="BA17" s="13">
        <f>SUM(BB17:BK17)</f>
        <v>420.92000000000007</v>
      </c>
      <c r="BB17" s="13">
        <f>IF($D17="是",I17-J17,0)</f>
        <v>267.17000000000007</v>
      </c>
      <c r="BC17" s="13">
        <f>IF($D17="是",K17-L17,0)</f>
        <v>153.75</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3453</v>
      </c>
      <c r="D18" s="1624" t="s">
        <v>3384</v>
      </c>
      <c r="E18" s="32">
        <f t="shared" ref="E18:E112" si="7">IF($C$3="是",ROUND($A$3*G18/$B$3,2),ROUND($A$3*(G18-AT18)/$B$3,2))</f>
        <v>1532.87</v>
      </c>
      <c r="F18" s="33"/>
      <c r="G18" s="34">
        <f t="shared" ref="G18:G109" si="8">H18+AC18+AT18</f>
        <v>5537.25</v>
      </c>
      <c r="H18" s="35">
        <f t="shared" ref="H18:H109" si="9">SUMIF(I$12:AB$12,"总值",I18:AB18)</f>
        <v>5537.25</v>
      </c>
      <c r="I18" s="1625">
        <v>5231.1400000000003</v>
      </c>
      <c r="J18" s="1625">
        <f>I18-抵押物清单!J8</f>
        <v>1672.6500000000028</v>
      </c>
      <c r="K18" s="36">
        <v>306.11</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t="str">
        <f t="shared" ref="AX18:AX112" si="13">C18</f>
        <v>04-6#住宅</v>
      </c>
      <c r="AY18" s="39">
        <f t="shared" ref="AY18:AY109" si="14">ROUND($AY$6*AZ18/$AZ$5,2)</f>
        <v>1069.83</v>
      </c>
      <c r="AZ18" s="32">
        <f t="shared" ref="AZ18:AZ109" si="15">BA18+BL18</f>
        <v>3864.5999999999976</v>
      </c>
      <c r="BA18" s="32">
        <f t="shared" ref="BA18:BA109" si="16">SUM(BB18:BK18)</f>
        <v>3864.5999999999976</v>
      </c>
      <c r="BB18" s="32">
        <f t="shared" ref="BB18:BB109" si="17">IF($D18="是",I18-J18,0)</f>
        <v>3558.4899999999975</v>
      </c>
      <c r="BC18" s="32">
        <f t="shared" ref="BC18:BC109" si="18">IF($D18="是",K18-L18,0)</f>
        <v>306.11</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t="s">
        <v>3454</v>
      </c>
      <c r="D19" s="1624" t="s">
        <v>3384</v>
      </c>
      <c r="E19" s="32">
        <f t="shared" si="7"/>
        <v>1532.88</v>
      </c>
      <c r="F19" s="33"/>
      <c r="G19" s="34">
        <f t="shared" si="8"/>
        <v>5537.2800000000007</v>
      </c>
      <c r="H19" s="35">
        <f t="shared" si="9"/>
        <v>5537.2800000000007</v>
      </c>
      <c r="I19" s="1625">
        <v>5231.1400000000003</v>
      </c>
      <c r="J19" s="1625">
        <f>I19-抵押物清单!J9</f>
        <v>2814.84</v>
      </c>
      <c r="K19" s="36">
        <v>306.14</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t="str">
        <f t="shared" si="13"/>
        <v>04-7#住宅</v>
      </c>
      <c r="AY19" s="39">
        <f t="shared" si="14"/>
        <v>753.65</v>
      </c>
      <c r="AZ19" s="32">
        <f t="shared" si="15"/>
        <v>2722.44</v>
      </c>
      <c r="BA19" s="32">
        <f t="shared" si="16"/>
        <v>2722.44</v>
      </c>
      <c r="BB19" s="32">
        <f t="shared" si="17"/>
        <v>2416.3000000000002</v>
      </c>
      <c r="BC19" s="32">
        <f t="shared" si="18"/>
        <v>306.14</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t="s">
        <v>3455</v>
      </c>
      <c r="D20" s="1624" t="s">
        <v>3384</v>
      </c>
      <c r="E20" s="32">
        <f t="shared" si="7"/>
        <v>2479.38</v>
      </c>
      <c r="F20" s="33"/>
      <c r="G20" s="34">
        <f t="shared" si="8"/>
        <v>8956.36</v>
      </c>
      <c r="H20" s="35">
        <f t="shared" si="9"/>
        <v>8956.36</v>
      </c>
      <c r="I20" s="1625">
        <v>8425.34</v>
      </c>
      <c r="J20" s="1625">
        <f>I20-抵押物清单!J10</f>
        <v>7646.54</v>
      </c>
      <c r="K20" s="36">
        <v>531.02</v>
      </c>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t="str">
        <f t="shared" si="13"/>
        <v>04-8#住宅</v>
      </c>
      <c r="AY20" s="39">
        <f t="shared" si="14"/>
        <v>362.6</v>
      </c>
      <c r="AZ20" s="32">
        <f t="shared" si="15"/>
        <v>1309.8200000000002</v>
      </c>
      <c r="BA20" s="32">
        <f t="shared" si="16"/>
        <v>1309.8200000000002</v>
      </c>
      <c r="BB20" s="32">
        <f t="shared" si="17"/>
        <v>778.80000000000018</v>
      </c>
      <c r="BC20" s="32">
        <f t="shared" si="18"/>
        <v>531.02</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t="s">
        <v>3456</v>
      </c>
      <c r="D21" s="1624" t="s">
        <v>3384</v>
      </c>
      <c r="E21" s="32">
        <f t="shared" si="7"/>
        <v>1531.73</v>
      </c>
      <c r="F21" s="33"/>
      <c r="G21" s="34">
        <f t="shared" si="8"/>
        <v>5533.11</v>
      </c>
      <c r="H21" s="35">
        <f t="shared" si="9"/>
        <v>5533.11</v>
      </c>
      <c r="I21" s="1625">
        <v>5162.08</v>
      </c>
      <c r="J21" s="1625">
        <f>I21-抵押物清单!J11</f>
        <v>1055.5800000000008</v>
      </c>
      <c r="K21" s="36">
        <v>371.03</v>
      </c>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t="str">
        <f t="shared" si="13"/>
        <v>04-9#住宅</v>
      </c>
      <c r="AY21" s="39">
        <f t="shared" si="14"/>
        <v>1239.51</v>
      </c>
      <c r="AZ21" s="32">
        <f t="shared" si="15"/>
        <v>4477.5299999999988</v>
      </c>
      <c r="BA21" s="32">
        <f t="shared" si="16"/>
        <v>4477.5299999999988</v>
      </c>
      <c r="BB21" s="32">
        <f t="shared" si="17"/>
        <v>4106.4999999999991</v>
      </c>
      <c r="BC21" s="32">
        <f t="shared" si="18"/>
        <v>371.03</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28.5">
      <c r="A22" s="6"/>
      <c r="B22" s="31"/>
      <c r="C22" s="31" t="s">
        <v>3457</v>
      </c>
      <c r="D22" s="1624" t="s">
        <v>3384</v>
      </c>
      <c r="E22" s="32">
        <f t="shared" si="7"/>
        <v>1531.71</v>
      </c>
      <c r="F22" s="33"/>
      <c r="G22" s="34">
        <f t="shared" si="8"/>
        <v>5533.06</v>
      </c>
      <c r="H22" s="35">
        <f t="shared" si="9"/>
        <v>5533.06</v>
      </c>
      <c r="I22" s="1625">
        <v>5162.5200000000004</v>
      </c>
      <c r="J22" s="1625">
        <f>I22-抵押物清单!J12</f>
        <v>4106.6500000000005</v>
      </c>
      <c r="K22" s="36">
        <v>370.54</v>
      </c>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t="str">
        <f t="shared" si="13"/>
        <v>04-10#住宅</v>
      </c>
      <c r="AY22" s="39">
        <f t="shared" si="14"/>
        <v>394.87</v>
      </c>
      <c r="AZ22" s="32">
        <f t="shared" si="15"/>
        <v>1426.4099999999999</v>
      </c>
      <c r="BA22" s="32">
        <f t="shared" si="16"/>
        <v>1426.4099999999999</v>
      </c>
      <c r="BB22" s="32">
        <f t="shared" si="17"/>
        <v>1055.8699999999999</v>
      </c>
      <c r="BC22" s="32">
        <f t="shared" si="18"/>
        <v>370.54</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ht="28.5">
      <c r="A23" s="6"/>
      <c r="B23" s="31"/>
      <c r="C23" s="31" t="s">
        <v>3458</v>
      </c>
      <c r="D23" s="1624" t="s">
        <v>3384</v>
      </c>
      <c r="E23" s="32">
        <f t="shared" si="7"/>
        <v>1396.53</v>
      </c>
      <c r="F23" s="33"/>
      <c r="G23" s="34">
        <f t="shared" si="8"/>
        <v>5044.75</v>
      </c>
      <c r="H23" s="35">
        <f t="shared" si="9"/>
        <v>5044.75</v>
      </c>
      <c r="I23" s="1625">
        <v>4771.07</v>
      </c>
      <c r="J23" s="1625">
        <f>I23-抵押物清单!J13</f>
        <v>4771.07</v>
      </c>
      <c r="K23" s="36">
        <v>273.68</v>
      </c>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t="str">
        <f t="shared" si="13"/>
        <v>04-11#住宅</v>
      </c>
      <c r="AY23" s="39">
        <f t="shared" si="14"/>
        <v>75.760000000000005</v>
      </c>
      <c r="AZ23" s="32">
        <f t="shared" si="15"/>
        <v>273.68</v>
      </c>
      <c r="BA23" s="32">
        <f t="shared" si="16"/>
        <v>273.68</v>
      </c>
      <c r="BB23" s="32">
        <f t="shared" si="17"/>
        <v>0</v>
      </c>
      <c r="BC23" s="32">
        <f t="shared" si="18"/>
        <v>273.68</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ht="28.5">
      <c r="A24" s="6"/>
      <c r="B24" s="31"/>
      <c r="C24" s="31" t="s">
        <v>3459</v>
      </c>
      <c r="D24" s="1624" t="s">
        <v>3384</v>
      </c>
      <c r="E24" s="32">
        <f t="shared" si="7"/>
        <v>1301.08</v>
      </c>
      <c r="F24" s="33"/>
      <c r="G24" s="34">
        <f t="shared" si="8"/>
        <v>4699.92</v>
      </c>
      <c r="H24" s="35">
        <f t="shared" si="9"/>
        <v>4699.92</v>
      </c>
      <c r="I24" s="1625">
        <v>4398.34</v>
      </c>
      <c r="J24" s="1625">
        <f>I24-抵押物清单!J14</f>
        <v>4224.1500000000005</v>
      </c>
      <c r="K24" s="36">
        <v>301.58</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t="str">
        <f t="shared" si="13"/>
        <v>04-12#住宅</v>
      </c>
      <c r="AY24" s="39">
        <f t="shared" si="14"/>
        <v>131.71</v>
      </c>
      <c r="AZ24" s="32">
        <f t="shared" si="15"/>
        <v>475.76999999999958</v>
      </c>
      <c r="BA24" s="32">
        <f t="shared" si="16"/>
        <v>475.76999999999958</v>
      </c>
      <c r="BB24" s="32">
        <f t="shared" si="17"/>
        <v>174.1899999999996</v>
      </c>
      <c r="BC24" s="32">
        <f t="shared" si="18"/>
        <v>301.58</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ht="28.5">
      <c r="A25" s="6"/>
      <c r="B25" s="31"/>
      <c r="C25" s="31" t="s">
        <v>3460</v>
      </c>
      <c r="D25" s="1624" t="s">
        <v>3384</v>
      </c>
      <c r="E25" s="32">
        <f t="shared" si="7"/>
        <v>1396.5</v>
      </c>
      <c r="F25" s="33"/>
      <c r="G25" s="34">
        <f t="shared" si="8"/>
        <v>5044.6200000000008</v>
      </c>
      <c r="H25" s="35">
        <f t="shared" si="9"/>
        <v>5044.6200000000008</v>
      </c>
      <c r="I25" s="1625">
        <v>4742.6400000000003</v>
      </c>
      <c r="J25" s="1625">
        <f>I25-抵押物清单!J15</f>
        <v>4569.7800000000007</v>
      </c>
      <c r="K25" s="36">
        <v>301.98</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t="str">
        <f t="shared" si="13"/>
        <v>04-13#住宅</v>
      </c>
      <c r="AY25" s="39">
        <f t="shared" si="14"/>
        <v>131.44999999999999</v>
      </c>
      <c r="AZ25" s="32">
        <f t="shared" si="15"/>
        <v>474.83999999999969</v>
      </c>
      <c r="BA25" s="32">
        <f t="shared" si="16"/>
        <v>474.83999999999969</v>
      </c>
      <c r="BB25" s="32">
        <f t="shared" si="17"/>
        <v>172.85999999999967</v>
      </c>
      <c r="BC25" s="32">
        <f t="shared" si="18"/>
        <v>301.98</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ht="28.5">
      <c r="A26" s="6"/>
      <c r="B26" s="31"/>
      <c r="C26" s="31" t="s">
        <v>3461</v>
      </c>
      <c r="D26" s="1624" t="s">
        <v>3384</v>
      </c>
      <c r="E26" s="32">
        <f t="shared" si="7"/>
        <v>1772.35</v>
      </c>
      <c r="F26" s="33"/>
      <c r="G26" s="34">
        <f t="shared" si="8"/>
        <v>6402.34</v>
      </c>
      <c r="H26" s="35">
        <f t="shared" si="9"/>
        <v>6402.34</v>
      </c>
      <c r="I26" s="1625">
        <v>6020.14</v>
      </c>
      <c r="J26" s="1625">
        <f>I26-抵押物清单!J16</f>
        <v>5947.55</v>
      </c>
      <c r="K26" s="36">
        <v>382.2</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t="str">
        <f t="shared" si="13"/>
        <v>04-14#住宅</v>
      </c>
      <c r="AY26" s="39">
        <f t="shared" si="14"/>
        <v>125.9</v>
      </c>
      <c r="AZ26" s="32">
        <f t="shared" si="15"/>
        <v>454.79000000000013</v>
      </c>
      <c r="BA26" s="32">
        <f t="shared" si="16"/>
        <v>454.79000000000013</v>
      </c>
      <c r="BB26" s="32">
        <f t="shared" si="17"/>
        <v>72.590000000000146</v>
      </c>
      <c r="BC26" s="32">
        <f t="shared" si="18"/>
        <v>382.2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ht="28.5">
      <c r="A27" s="6"/>
      <c r="B27" s="31"/>
      <c r="C27" s="31" t="s">
        <v>3462</v>
      </c>
      <c r="D27" s="1624" t="s">
        <v>3384</v>
      </c>
      <c r="E27" s="32">
        <f t="shared" si="7"/>
        <v>1480.45</v>
      </c>
      <c r="F27" s="33"/>
      <c r="G27" s="34">
        <f t="shared" si="8"/>
        <v>5347.88</v>
      </c>
      <c r="H27" s="35">
        <f t="shared" si="9"/>
        <v>5347.88</v>
      </c>
      <c r="I27" s="1625">
        <v>4931.5200000000004</v>
      </c>
      <c r="J27" s="1625">
        <f>I27-抵押物清单!J17</f>
        <v>4931.5200000000004</v>
      </c>
      <c r="K27" s="36">
        <v>416.36</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t="str">
        <f t="shared" si="13"/>
        <v>04-15#住宅</v>
      </c>
      <c r="AY27" s="39">
        <f t="shared" si="14"/>
        <v>115.26</v>
      </c>
      <c r="AZ27" s="32">
        <f t="shared" si="15"/>
        <v>416.36</v>
      </c>
      <c r="BA27" s="32">
        <f t="shared" si="16"/>
        <v>416.36</v>
      </c>
      <c r="BB27" s="32">
        <f t="shared" si="17"/>
        <v>0</v>
      </c>
      <c r="BC27" s="32">
        <f t="shared" si="18"/>
        <v>416.36</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ht="28.5">
      <c r="A28" s="6"/>
      <c r="B28" s="31"/>
      <c r="C28" s="31" t="s">
        <v>3463</v>
      </c>
      <c r="D28" s="1624" t="s">
        <v>3384</v>
      </c>
      <c r="E28" s="32">
        <f t="shared" si="7"/>
        <v>943.54</v>
      </c>
      <c r="F28" s="33"/>
      <c r="G28" s="34">
        <f t="shared" si="8"/>
        <v>3408.37</v>
      </c>
      <c r="H28" s="35">
        <f t="shared" si="9"/>
        <v>3408.37</v>
      </c>
      <c r="I28" s="36">
        <v>3140.41</v>
      </c>
      <c r="J28" s="1625">
        <f>I28-抵押物清单!J18</f>
        <v>2869.58</v>
      </c>
      <c r="K28" s="36">
        <v>267.95999999999998</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t="str">
        <f t="shared" si="13"/>
        <v>04-16#住宅</v>
      </c>
      <c r="AY28" s="39">
        <f t="shared" si="14"/>
        <v>149.15</v>
      </c>
      <c r="AZ28" s="32">
        <f t="shared" si="15"/>
        <v>538.79</v>
      </c>
      <c r="BA28" s="32">
        <f t="shared" si="16"/>
        <v>538.79</v>
      </c>
      <c r="BB28" s="32">
        <f t="shared" si="17"/>
        <v>270.82999999999993</v>
      </c>
      <c r="BC28" s="32">
        <f t="shared" si="18"/>
        <v>267.95999999999998</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ht="28.5">
      <c r="A29" s="6"/>
      <c r="B29" s="31"/>
      <c r="C29" s="31" t="s">
        <v>3464</v>
      </c>
      <c r="D29" s="1624" t="s">
        <v>3384</v>
      </c>
      <c r="E29" s="32">
        <f t="shared" si="7"/>
        <v>208.57</v>
      </c>
      <c r="F29" s="33"/>
      <c r="G29" s="34">
        <f t="shared" si="8"/>
        <v>753.41</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753.41</v>
      </c>
      <c r="AD29" s="37">
        <v>753.41</v>
      </c>
      <c r="AE29" s="37">
        <v>753.41</v>
      </c>
      <c r="AF29" s="37"/>
      <c r="AG29" s="37"/>
      <c r="AH29" s="37"/>
      <c r="AI29" s="37"/>
      <c r="AJ29" s="37"/>
      <c r="AK29" s="37"/>
      <c r="AL29" s="37"/>
      <c r="AM29" s="37"/>
      <c r="AN29" s="37"/>
      <c r="AO29" s="37"/>
      <c r="AP29" s="37"/>
      <c r="AQ29" s="37"/>
      <c r="AR29" s="37"/>
      <c r="AS29" s="37"/>
      <c r="AT29" s="38"/>
      <c r="AU29" s="1630"/>
      <c r="AV29" s="1342">
        <f t="shared" si="11"/>
        <v>0</v>
      </c>
      <c r="AW29" s="1342">
        <f t="shared" si="12"/>
        <v>0</v>
      </c>
      <c r="AX29" s="1342" t="str">
        <f t="shared" si="13"/>
        <v>04-S1#配套</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ht="28.5">
      <c r="A30" s="6"/>
      <c r="B30" s="31"/>
      <c r="C30" s="31" t="s">
        <v>3465</v>
      </c>
      <c r="D30" s="1624" t="s">
        <v>3384</v>
      </c>
      <c r="E30" s="32">
        <f t="shared" si="7"/>
        <v>138.47999999999999</v>
      </c>
      <c r="F30" s="33"/>
      <c r="G30" s="34">
        <f t="shared" si="8"/>
        <v>500.24</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500.24</v>
      </c>
      <c r="AD30" s="37">
        <v>500.24</v>
      </c>
      <c r="AE30" s="37">
        <v>500.24</v>
      </c>
      <c r="AF30" s="37"/>
      <c r="AG30" s="37"/>
      <c r="AH30" s="37"/>
      <c r="AI30" s="37"/>
      <c r="AJ30" s="37"/>
      <c r="AK30" s="37"/>
      <c r="AL30" s="37"/>
      <c r="AM30" s="37"/>
      <c r="AN30" s="37"/>
      <c r="AO30" s="37"/>
      <c r="AP30" s="37"/>
      <c r="AQ30" s="37"/>
      <c r="AR30" s="37"/>
      <c r="AS30" s="37"/>
      <c r="AT30" s="38"/>
      <c r="AU30" s="1630"/>
      <c r="AV30" s="1342">
        <f t="shared" si="11"/>
        <v>0</v>
      </c>
      <c r="AW30" s="1342">
        <f t="shared" si="12"/>
        <v>0</v>
      </c>
      <c r="AX30" s="1342" t="str">
        <f t="shared" si="13"/>
        <v>04-S2#配套</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ht="28.5">
      <c r="A31" s="6"/>
      <c r="B31" s="31"/>
      <c r="C31" s="31" t="s">
        <v>3466</v>
      </c>
      <c r="D31" s="1624" t="s">
        <v>3384</v>
      </c>
      <c r="E31" s="32">
        <f t="shared" si="7"/>
        <v>141.76</v>
      </c>
      <c r="F31" s="33"/>
      <c r="G31" s="34">
        <f t="shared" si="8"/>
        <v>512.09</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512.09</v>
      </c>
      <c r="AD31" s="37">
        <v>512.09</v>
      </c>
      <c r="AE31" s="37">
        <v>512.09</v>
      </c>
      <c r="AF31" s="37"/>
      <c r="AG31" s="37"/>
      <c r="AH31" s="37"/>
      <c r="AI31" s="37"/>
      <c r="AJ31" s="37"/>
      <c r="AK31" s="37"/>
      <c r="AL31" s="37"/>
      <c r="AM31" s="37"/>
      <c r="AN31" s="37"/>
      <c r="AO31" s="37"/>
      <c r="AP31" s="37"/>
      <c r="AQ31" s="37"/>
      <c r="AR31" s="37"/>
      <c r="AS31" s="37"/>
      <c r="AT31" s="38"/>
      <c r="AU31" s="1630"/>
      <c r="AV31" s="1342">
        <f t="shared" si="11"/>
        <v>0</v>
      </c>
      <c r="AW31" s="1342">
        <f t="shared" si="12"/>
        <v>0</v>
      </c>
      <c r="AX31" s="1342" t="str">
        <f t="shared" si="13"/>
        <v>04-S3#配套</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ht="28.5">
      <c r="A32" s="6"/>
      <c r="B32" s="31"/>
      <c r="C32" s="31" t="s">
        <v>3467</v>
      </c>
      <c r="D32" s="1624" t="s">
        <v>3384</v>
      </c>
      <c r="E32" s="32">
        <f t="shared" si="7"/>
        <v>148.63</v>
      </c>
      <c r="F32" s="33"/>
      <c r="G32" s="34">
        <f t="shared" si="8"/>
        <v>536.89</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536.89</v>
      </c>
      <c r="AD32" s="37">
        <v>536.89</v>
      </c>
      <c r="AE32" s="37">
        <v>536.89</v>
      </c>
      <c r="AF32" s="37"/>
      <c r="AG32" s="37"/>
      <c r="AH32" s="37"/>
      <c r="AI32" s="37"/>
      <c r="AJ32" s="37"/>
      <c r="AK32" s="37"/>
      <c r="AL32" s="37"/>
      <c r="AM32" s="37"/>
      <c r="AN32" s="37"/>
      <c r="AO32" s="37"/>
      <c r="AP32" s="37"/>
      <c r="AQ32" s="37"/>
      <c r="AR32" s="37"/>
      <c r="AS32" s="37"/>
      <c r="AT32" s="38"/>
      <c r="AU32" s="1630"/>
      <c r="AV32" s="1342">
        <f t="shared" si="11"/>
        <v>0</v>
      </c>
      <c r="AW32" s="1342">
        <f t="shared" si="12"/>
        <v>0</v>
      </c>
      <c r="AX32" s="1342" t="str">
        <f t="shared" si="13"/>
        <v>04-S4#配套</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ht="28.5">
      <c r="A33" s="6"/>
      <c r="B33" s="31"/>
      <c r="C33" s="31" t="s">
        <v>3468</v>
      </c>
      <c r="D33" s="1624" t="s">
        <v>3384</v>
      </c>
      <c r="E33" s="32">
        <f t="shared" si="7"/>
        <v>83.79</v>
      </c>
      <c r="F33" s="33"/>
      <c r="G33" s="34">
        <f t="shared" si="8"/>
        <v>302.67</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302.67</v>
      </c>
      <c r="AD33" s="37"/>
      <c r="AE33" s="37"/>
      <c r="AF33" s="37"/>
      <c r="AG33" s="37"/>
      <c r="AH33" s="37"/>
      <c r="AI33" s="37"/>
      <c r="AJ33" s="37"/>
      <c r="AK33" s="37"/>
      <c r="AL33" s="37">
        <v>302.67</v>
      </c>
      <c r="AM33" s="37">
        <v>302.67</v>
      </c>
      <c r="AN33" s="37"/>
      <c r="AO33" s="37"/>
      <c r="AP33" s="37"/>
      <c r="AQ33" s="37"/>
      <c r="AR33" s="37"/>
      <c r="AS33" s="37"/>
      <c r="AT33" s="38"/>
      <c r="AU33" s="1630"/>
      <c r="AV33" s="1342">
        <f t="shared" si="11"/>
        <v>0</v>
      </c>
      <c r="AW33" s="1342">
        <f t="shared" si="12"/>
        <v>0</v>
      </c>
      <c r="AX33" s="1342" t="str">
        <f t="shared" si="13"/>
        <v>04-S5#配套</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ht="28.5">
      <c r="A34" s="6"/>
      <c r="B34" s="31"/>
      <c r="C34" s="31" t="s">
        <v>3469</v>
      </c>
      <c r="D34" s="1624" t="s">
        <v>3384</v>
      </c>
      <c r="E34" s="32">
        <f t="shared" si="7"/>
        <v>10610.1</v>
      </c>
      <c r="F34" s="33"/>
      <c r="G34" s="34">
        <f t="shared" si="8"/>
        <v>38327.24</v>
      </c>
      <c r="H34" s="35">
        <f t="shared" si="9"/>
        <v>37107.17</v>
      </c>
      <c r="I34" s="36"/>
      <c r="J34" s="36"/>
      <c r="K34" s="36"/>
      <c r="L34" s="36"/>
      <c r="M34" s="36">
        <v>37107.17</v>
      </c>
      <c r="N34" s="36"/>
      <c r="O34" s="36"/>
      <c r="P34" s="36"/>
      <c r="Q34" s="36"/>
      <c r="R34" s="36"/>
      <c r="S34" s="36"/>
      <c r="T34" s="36"/>
      <c r="U34" s="36"/>
      <c r="V34" s="36"/>
      <c r="W34" s="36"/>
      <c r="X34" s="36"/>
      <c r="Y34" s="36"/>
      <c r="Z34" s="36"/>
      <c r="AA34" s="36"/>
      <c r="AB34" s="36"/>
      <c r="AC34" s="32">
        <f t="shared" si="10"/>
        <v>1220.0700000000002</v>
      </c>
      <c r="AD34" s="37"/>
      <c r="AE34" s="37"/>
      <c r="AF34" s="37"/>
      <c r="AG34" s="37"/>
      <c r="AH34" s="37"/>
      <c r="AI34" s="37"/>
      <c r="AJ34" s="37"/>
      <c r="AK34" s="37"/>
      <c r="AL34" s="37"/>
      <c r="AM34" s="37"/>
      <c r="AN34" s="37">
        <v>1220.0700000000002</v>
      </c>
      <c r="AO34" s="37">
        <v>1220.0700000000002</v>
      </c>
      <c r="AP34" s="37"/>
      <c r="AQ34" s="37"/>
      <c r="AR34" s="37"/>
      <c r="AS34" s="37"/>
      <c r="AT34" s="38"/>
      <c r="AU34" s="1630"/>
      <c r="AV34" s="1342">
        <f t="shared" si="11"/>
        <v>0</v>
      </c>
      <c r="AW34" s="1342">
        <f t="shared" si="12"/>
        <v>0</v>
      </c>
      <c r="AX34" s="1342" t="str">
        <f t="shared" si="13"/>
        <v>04-17#地下车库</v>
      </c>
      <c r="AY34" s="39">
        <f t="shared" si="14"/>
        <v>10272.35</v>
      </c>
      <c r="AZ34" s="32">
        <f t="shared" si="15"/>
        <v>37107.17</v>
      </c>
      <c r="BA34" s="32">
        <f t="shared" si="16"/>
        <v>37107.17</v>
      </c>
      <c r="BB34" s="32">
        <f t="shared" si="17"/>
        <v>0</v>
      </c>
      <c r="BC34" s="32">
        <f t="shared" si="18"/>
        <v>0</v>
      </c>
      <c r="BD34" s="32">
        <f t="shared" si="19"/>
        <v>37107.17</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t="s">
        <v>3383</v>
      </c>
      <c r="D35" s="1624" t="s">
        <v>3384</v>
      </c>
      <c r="E35" s="32">
        <f t="shared" si="7"/>
        <v>3087.96</v>
      </c>
      <c r="F35" s="33"/>
      <c r="G35" s="34">
        <f t="shared" si="8"/>
        <v>11154.75</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v>11154.75</v>
      </c>
      <c r="AU35" s="1630"/>
      <c r="AV35" s="1342">
        <f t="shared" si="11"/>
        <v>0</v>
      </c>
      <c r="AW35" s="1342">
        <f t="shared" si="12"/>
        <v>0</v>
      </c>
      <c r="AX35" s="1342" t="str">
        <f t="shared" si="13"/>
        <v>人防</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399"/>
  <sheetViews>
    <sheetView topLeftCell="F1" workbookViewId="0">
      <selection activeCell="L23" sqref="L23"/>
    </sheetView>
  </sheetViews>
  <sheetFormatPr defaultColWidth="8.875" defaultRowHeight="13.5"/>
  <cols>
    <col min="1" max="1" width="13.625" style="3845" customWidth="1"/>
    <col min="2" max="2" width="13.125" style="3845" customWidth="1"/>
    <col min="3" max="4" width="15.125" style="3845" customWidth="1"/>
    <col min="5" max="6" width="18.875" style="3845" customWidth="1"/>
    <col min="7" max="16384" width="8.875" style="3836"/>
  </cols>
  <sheetData>
    <row r="1" spans="1:11" s="3834" customFormat="1" ht="33" customHeight="1">
      <c r="A1" s="3833" t="s">
        <v>3472</v>
      </c>
      <c r="B1" s="3833"/>
      <c r="C1" s="3833"/>
      <c r="D1" s="3833"/>
      <c r="E1" s="3833"/>
      <c r="F1" s="3833"/>
    </row>
    <row r="2" spans="1:11">
      <c r="A2" s="3835" t="s">
        <v>3473</v>
      </c>
      <c r="B2" s="3835" t="s">
        <v>3474</v>
      </c>
      <c r="C2" s="3835" t="s">
        <v>3475</v>
      </c>
      <c r="D2" s="3835" t="s">
        <v>3476</v>
      </c>
      <c r="E2" s="3835" t="s">
        <v>3477</v>
      </c>
      <c r="F2" s="3835" t="s">
        <v>3478</v>
      </c>
      <c r="I2" s="3834"/>
      <c r="J2" s="3846" t="s">
        <v>4563</v>
      </c>
      <c r="K2" s="3846" t="s">
        <v>4564</v>
      </c>
    </row>
    <row r="3" spans="1:11">
      <c r="A3" s="3837" t="s">
        <v>3448</v>
      </c>
      <c r="B3" s="3837">
        <v>1</v>
      </c>
      <c r="C3" s="3837">
        <v>101</v>
      </c>
      <c r="D3" s="3837" t="str">
        <f t="shared" ref="D3:D8" si="0">"1单元-"&amp;C3</f>
        <v>1单元-101</v>
      </c>
      <c r="E3" s="3837" t="s">
        <v>3386</v>
      </c>
      <c r="F3" s="3837">
        <v>88.39</v>
      </c>
      <c r="H3" s="3847" t="s">
        <v>4565</v>
      </c>
      <c r="I3" s="3847" t="s">
        <v>4566</v>
      </c>
      <c r="J3" s="3836">
        <f>SUM(F3:F20)</f>
        <v>1591.0200000000007</v>
      </c>
      <c r="K3" s="3836">
        <v>18</v>
      </c>
    </row>
    <row r="4" spans="1:11">
      <c r="A4" s="3837" t="s">
        <v>3448</v>
      </c>
      <c r="B4" s="3837">
        <v>1</v>
      </c>
      <c r="C4" s="3837">
        <v>201</v>
      </c>
      <c r="D4" s="3837" t="str">
        <f t="shared" si="0"/>
        <v>1单元-201</v>
      </c>
      <c r="E4" s="3837" t="s">
        <v>3386</v>
      </c>
      <c r="F4" s="3837">
        <v>88.39</v>
      </c>
      <c r="I4" s="3846" t="s">
        <v>4567</v>
      </c>
      <c r="J4" s="3834">
        <f>SUM(F36:F38)</f>
        <v>248.58999999999997</v>
      </c>
      <c r="K4" s="3834">
        <v>3</v>
      </c>
    </row>
    <row r="5" spans="1:11">
      <c r="A5" s="3837" t="s">
        <v>3448</v>
      </c>
      <c r="B5" s="3837">
        <v>1</v>
      </c>
      <c r="C5" s="3837">
        <v>301</v>
      </c>
      <c r="D5" s="3837" t="str">
        <f t="shared" si="0"/>
        <v>1单元-301</v>
      </c>
      <c r="E5" s="3837" t="s">
        <v>3386</v>
      </c>
      <c r="F5" s="3837">
        <v>88.39</v>
      </c>
      <c r="I5" s="3846" t="s">
        <v>4568</v>
      </c>
      <c r="J5" s="3834">
        <f>SUM(F48:F49)</f>
        <v>177.1</v>
      </c>
      <c r="K5" s="3834">
        <v>2</v>
      </c>
    </row>
    <row r="6" spans="1:11">
      <c r="A6" s="3837" t="s">
        <v>3448</v>
      </c>
      <c r="B6" s="3837">
        <v>1</v>
      </c>
      <c r="C6" s="3837">
        <v>1301</v>
      </c>
      <c r="D6" s="3837" t="str">
        <f t="shared" si="0"/>
        <v>1单元-1301</v>
      </c>
      <c r="E6" s="3837" t="s">
        <v>3386</v>
      </c>
      <c r="F6" s="3837">
        <v>88.39</v>
      </c>
      <c r="I6" s="3847" t="s">
        <v>4569</v>
      </c>
      <c r="J6" s="3836">
        <f>SUM(F59)</f>
        <v>87.29</v>
      </c>
      <c r="K6" s="3836">
        <v>1</v>
      </c>
    </row>
    <row r="7" spans="1:11">
      <c r="A7" s="3837" t="s">
        <v>3448</v>
      </c>
      <c r="B7" s="3837">
        <v>1</v>
      </c>
      <c r="C7" s="3837">
        <v>1401</v>
      </c>
      <c r="D7" s="3837" t="str">
        <f t="shared" si="0"/>
        <v>1单元-1401</v>
      </c>
      <c r="E7" s="3837" t="s">
        <v>3386</v>
      </c>
      <c r="F7" s="3837">
        <v>88.39</v>
      </c>
      <c r="I7" s="3847" t="s">
        <v>4570</v>
      </c>
      <c r="J7" s="3836">
        <f>SUM(F70:F72)</f>
        <v>267.16999999999996</v>
      </c>
      <c r="K7" s="3836">
        <v>3</v>
      </c>
    </row>
    <row r="8" spans="1:11">
      <c r="A8" s="3837" t="s">
        <v>3448</v>
      </c>
      <c r="B8" s="3837">
        <v>1</v>
      </c>
      <c r="C8" s="3837">
        <v>1501</v>
      </c>
      <c r="D8" s="3837" t="str">
        <f t="shared" si="0"/>
        <v>1单元-1501</v>
      </c>
      <c r="E8" s="3837" t="s">
        <v>3386</v>
      </c>
      <c r="F8" s="3837">
        <v>88.39</v>
      </c>
      <c r="I8" s="3847" t="s">
        <v>4571</v>
      </c>
      <c r="J8" s="3836">
        <f>SUM(F78:F118)</f>
        <v>3558.4899999999975</v>
      </c>
      <c r="K8" s="3836">
        <v>41</v>
      </c>
    </row>
    <row r="9" spans="1:11">
      <c r="A9" s="3837" t="s">
        <v>3448</v>
      </c>
      <c r="B9" s="3837">
        <v>4</v>
      </c>
      <c r="C9" s="3837">
        <v>102</v>
      </c>
      <c r="D9" s="3837" t="str">
        <f t="shared" ref="D9:D11" si="1">"4单元-"&amp;C9</f>
        <v>4单元-102</v>
      </c>
      <c r="E9" s="3837" t="s">
        <v>3386</v>
      </c>
      <c r="F9" s="3837">
        <v>88.39</v>
      </c>
      <c r="I9" s="3847" t="s">
        <v>4572</v>
      </c>
      <c r="J9" s="3836">
        <f>SUM(F129:F156)</f>
        <v>2416.3000000000002</v>
      </c>
      <c r="K9" s="3836">
        <v>28</v>
      </c>
    </row>
    <row r="10" spans="1:11">
      <c r="A10" s="3837" t="s">
        <v>3448</v>
      </c>
      <c r="B10" s="3837">
        <v>4</v>
      </c>
      <c r="C10" s="3837">
        <v>202</v>
      </c>
      <c r="D10" s="3837" t="str">
        <f t="shared" si="1"/>
        <v>4单元-202</v>
      </c>
      <c r="E10" s="3837" t="s">
        <v>3386</v>
      </c>
      <c r="F10" s="3837">
        <v>88.39</v>
      </c>
      <c r="I10" s="3847" t="s">
        <v>4573</v>
      </c>
      <c r="J10" s="3836">
        <f>SUM(F167:F176)</f>
        <v>778.80000000000007</v>
      </c>
      <c r="K10" s="3836">
        <v>10</v>
      </c>
    </row>
    <row r="11" spans="1:11">
      <c r="A11" s="3837" t="s">
        <v>3448</v>
      </c>
      <c r="B11" s="3837">
        <v>4</v>
      </c>
      <c r="C11" s="3837">
        <v>402</v>
      </c>
      <c r="D11" s="3837" t="str">
        <f t="shared" si="1"/>
        <v>4单元-402</v>
      </c>
      <c r="E11" s="3837" t="s">
        <v>3386</v>
      </c>
      <c r="F11" s="3837">
        <v>88.39</v>
      </c>
      <c r="I11" s="3847" t="s">
        <v>4574</v>
      </c>
      <c r="J11" s="3836">
        <f>SUM(F193:F227)</f>
        <v>4106.4999999999991</v>
      </c>
      <c r="K11" s="3836">
        <v>35</v>
      </c>
    </row>
    <row r="12" spans="1:11">
      <c r="A12" s="3837" t="s">
        <v>3448</v>
      </c>
      <c r="B12" s="3837">
        <v>4</v>
      </c>
      <c r="C12" s="3837">
        <v>502</v>
      </c>
      <c r="D12" s="3837" t="str">
        <f>"4单元-"&amp;C12</f>
        <v>4单元-502</v>
      </c>
      <c r="E12" s="3837" t="s">
        <v>3386</v>
      </c>
      <c r="F12" s="3837">
        <v>88.39</v>
      </c>
      <c r="I12" s="3847" t="s">
        <v>4575</v>
      </c>
      <c r="J12" s="3836">
        <f>SUM(F240:F248)</f>
        <v>1055.8700000000001</v>
      </c>
      <c r="K12" s="3836">
        <v>9</v>
      </c>
    </row>
    <row r="13" spans="1:11">
      <c r="A13" s="3837" t="s">
        <v>3448</v>
      </c>
      <c r="B13" s="3837">
        <v>4</v>
      </c>
      <c r="C13" s="3837">
        <v>802</v>
      </c>
      <c r="D13" s="3837" t="str">
        <f t="shared" ref="D13:D20" si="2">"4单元-"&amp;C13</f>
        <v>4单元-802</v>
      </c>
      <c r="E13" s="3837" t="s">
        <v>3386</v>
      </c>
      <c r="F13" s="3837">
        <v>88.39</v>
      </c>
      <c r="I13" s="3847" t="s">
        <v>4576</v>
      </c>
      <c r="J13" s="3836">
        <v>0</v>
      </c>
      <c r="K13" s="3836">
        <v>0</v>
      </c>
    </row>
    <row r="14" spans="1:11">
      <c r="A14" s="3837" t="s">
        <v>3448</v>
      </c>
      <c r="B14" s="3837">
        <v>4</v>
      </c>
      <c r="C14" s="3837">
        <v>902</v>
      </c>
      <c r="D14" s="3837" t="str">
        <f t="shared" si="2"/>
        <v>4单元-902</v>
      </c>
      <c r="E14" s="3837" t="s">
        <v>3386</v>
      </c>
      <c r="F14" s="3837">
        <v>88.39</v>
      </c>
      <c r="I14" s="3847" t="s">
        <v>4577</v>
      </c>
      <c r="J14" s="3836">
        <f>SUM(F270:F271)</f>
        <v>174.19</v>
      </c>
      <c r="K14" s="3836">
        <v>2</v>
      </c>
    </row>
    <row r="15" spans="1:11">
      <c r="A15" s="3837" t="s">
        <v>3448</v>
      </c>
      <c r="B15" s="3837">
        <v>4</v>
      </c>
      <c r="C15" s="3837">
        <v>1002</v>
      </c>
      <c r="D15" s="3837" t="str">
        <f t="shared" si="2"/>
        <v>4单元-1002</v>
      </c>
      <c r="E15" s="3837" t="s">
        <v>3386</v>
      </c>
      <c r="F15" s="3837">
        <v>88.39</v>
      </c>
      <c r="I15" s="3847" t="s">
        <v>4578</v>
      </c>
      <c r="J15" s="3836">
        <f>SUM(F282:F283)</f>
        <v>172.86</v>
      </c>
      <c r="K15" s="3836">
        <v>2</v>
      </c>
    </row>
    <row r="16" spans="1:11">
      <c r="A16" s="3837" t="s">
        <v>3448</v>
      </c>
      <c r="B16" s="3837">
        <v>4</v>
      </c>
      <c r="C16" s="3837">
        <v>1102</v>
      </c>
      <c r="D16" s="3837" t="str">
        <f t="shared" si="2"/>
        <v>4单元-1102</v>
      </c>
      <c r="E16" s="3837" t="s">
        <v>3386</v>
      </c>
      <c r="F16" s="3837">
        <v>88.39</v>
      </c>
      <c r="I16" s="3847" t="s">
        <v>4579</v>
      </c>
      <c r="J16" s="3836">
        <f>F294</f>
        <v>72.59</v>
      </c>
      <c r="K16" s="3836">
        <v>1</v>
      </c>
    </row>
    <row r="17" spans="1:11">
      <c r="A17" s="3837" t="s">
        <v>3448</v>
      </c>
      <c r="B17" s="3837">
        <v>4</v>
      </c>
      <c r="C17" s="3837">
        <v>1202</v>
      </c>
      <c r="D17" s="3837" t="str">
        <f t="shared" si="2"/>
        <v>4单元-1202</v>
      </c>
      <c r="E17" s="3837" t="s">
        <v>3386</v>
      </c>
      <c r="F17" s="3837">
        <v>88.39</v>
      </c>
      <c r="I17" s="3847" t="s">
        <v>4580</v>
      </c>
      <c r="J17" s="3836">
        <v>0</v>
      </c>
      <c r="K17" s="3836">
        <v>0</v>
      </c>
    </row>
    <row r="18" spans="1:11">
      <c r="A18" s="3837" t="s">
        <v>3448</v>
      </c>
      <c r="B18" s="3837">
        <v>4</v>
      </c>
      <c r="C18" s="3837">
        <v>1302</v>
      </c>
      <c r="D18" s="3837" t="str">
        <f t="shared" si="2"/>
        <v>4单元-1302</v>
      </c>
      <c r="E18" s="3837" t="s">
        <v>3386</v>
      </c>
      <c r="F18" s="3837">
        <v>88.39</v>
      </c>
      <c r="I18" s="3847" t="s">
        <v>4581</v>
      </c>
      <c r="J18" s="3836">
        <f>SUM(F321:F323)</f>
        <v>270.83</v>
      </c>
      <c r="K18" s="3836">
        <v>3</v>
      </c>
    </row>
    <row r="19" spans="1:11">
      <c r="A19" s="3837" t="s">
        <v>3448</v>
      </c>
      <c r="B19" s="3837">
        <v>4</v>
      </c>
      <c r="C19" s="3837">
        <v>1402</v>
      </c>
      <c r="D19" s="3837" t="str">
        <f t="shared" si="2"/>
        <v>4单元-1402</v>
      </c>
      <c r="E19" s="3837" t="s">
        <v>3386</v>
      </c>
      <c r="F19" s="3837">
        <v>88.39</v>
      </c>
      <c r="I19" s="3847" t="s">
        <v>4584</v>
      </c>
      <c r="J19" s="3836">
        <f>SUBTOTAL(9,J3:J18)</f>
        <v>14977.6</v>
      </c>
      <c r="K19" s="3836">
        <f>SUBTOTAL(9,K3:K18)</f>
        <v>158</v>
      </c>
    </row>
    <row r="20" spans="1:11">
      <c r="A20" s="3837" t="s">
        <v>3448</v>
      </c>
      <c r="B20" s="3837">
        <v>4</v>
      </c>
      <c r="C20" s="3837">
        <v>1502</v>
      </c>
      <c r="D20" s="3837" t="str">
        <f t="shared" si="2"/>
        <v>4单元-1502</v>
      </c>
      <c r="E20" s="3837" t="s">
        <v>3386</v>
      </c>
      <c r="F20" s="3837">
        <v>88.39</v>
      </c>
      <c r="H20" s="3847" t="s">
        <v>4582</v>
      </c>
      <c r="J20" s="3836">
        <f>SUM(F21:F35,F39:F47,F50:F58,F60:F69,F73:F77,F119:F128,F157:F166,F177:F192,F228:F239,F249:F269,F272:F281,F284:F293,F295:F320,F324:F332)</f>
        <v>5373.100000000004</v>
      </c>
      <c r="K20" s="3836">
        <v>172</v>
      </c>
    </row>
    <row r="21" spans="1:11">
      <c r="A21" s="3837" t="s">
        <v>3448</v>
      </c>
      <c r="B21" s="3837"/>
      <c r="C21" s="3837" t="s">
        <v>3479</v>
      </c>
      <c r="D21" s="3837" t="str">
        <f t="shared" ref="D21:D35" si="3">"-"&amp;C21</f>
        <v>--101</v>
      </c>
      <c r="E21" s="3837" t="s">
        <v>3480</v>
      </c>
      <c r="F21" s="3837">
        <v>40.92</v>
      </c>
      <c r="H21" s="3847" t="s">
        <v>4583</v>
      </c>
      <c r="J21" s="3836">
        <f>SUM(F333:F1398)</f>
        <v>37107.169999999256</v>
      </c>
      <c r="K21" s="3836">
        <v>1066</v>
      </c>
    </row>
    <row r="22" spans="1:11">
      <c r="A22" s="3837" t="s">
        <v>3448</v>
      </c>
      <c r="B22" s="3837"/>
      <c r="C22" s="3837" t="s">
        <v>3481</v>
      </c>
      <c r="D22" s="3837" t="str">
        <f t="shared" si="3"/>
        <v>--102</v>
      </c>
      <c r="E22" s="3837" t="s">
        <v>3480</v>
      </c>
      <c r="F22" s="3837">
        <v>29.97</v>
      </c>
      <c r="J22" s="3836">
        <f>SUM(J19:J21)</f>
        <v>57457.86999999926</v>
      </c>
    </row>
    <row r="23" spans="1:11">
      <c r="A23" s="3837" t="s">
        <v>3448</v>
      </c>
      <c r="B23" s="3837"/>
      <c r="C23" s="3837" t="s">
        <v>3482</v>
      </c>
      <c r="D23" s="3837" t="str">
        <f t="shared" si="3"/>
        <v>--103</v>
      </c>
      <c r="E23" s="3837" t="s">
        <v>3480</v>
      </c>
      <c r="F23" s="3837">
        <v>31.12</v>
      </c>
    </row>
    <row r="24" spans="1:11">
      <c r="A24" s="3837" t="s">
        <v>3448</v>
      </c>
      <c r="B24" s="3837"/>
      <c r="C24" s="3837" t="s">
        <v>3483</v>
      </c>
      <c r="D24" s="3837" t="str">
        <f t="shared" si="3"/>
        <v>--104</v>
      </c>
      <c r="E24" s="3837" t="s">
        <v>3480</v>
      </c>
      <c r="F24" s="3837">
        <v>33.03</v>
      </c>
    </row>
    <row r="25" spans="1:11">
      <c r="A25" s="3837" t="s">
        <v>3448</v>
      </c>
      <c r="B25" s="3837"/>
      <c r="C25" s="3837" t="s">
        <v>3484</v>
      </c>
      <c r="D25" s="3837" t="str">
        <f t="shared" si="3"/>
        <v>--105</v>
      </c>
      <c r="E25" s="3837" t="s">
        <v>3480</v>
      </c>
      <c r="F25" s="3837">
        <v>30.96</v>
      </c>
    </row>
    <row r="26" spans="1:11">
      <c r="A26" s="3837" t="s">
        <v>3448</v>
      </c>
      <c r="B26" s="3837"/>
      <c r="C26" s="3837" t="s">
        <v>3485</v>
      </c>
      <c r="D26" s="3837" t="str">
        <f t="shared" si="3"/>
        <v>--106</v>
      </c>
      <c r="E26" s="3837" t="s">
        <v>3480</v>
      </c>
      <c r="F26" s="3837">
        <v>33.19</v>
      </c>
    </row>
    <row r="27" spans="1:11">
      <c r="A27" s="3837" t="s">
        <v>3448</v>
      </c>
      <c r="B27" s="3837"/>
      <c r="C27" s="3837" t="s">
        <v>3486</v>
      </c>
      <c r="D27" s="3837" t="str">
        <f t="shared" si="3"/>
        <v>--107</v>
      </c>
      <c r="E27" s="3837" t="s">
        <v>3480</v>
      </c>
      <c r="F27" s="3837">
        <v>55.84</v>
      </c>
    </row>
    <row r="28" spans="1:11">
      <c r="A28" s="3837" t="s">
        <v>3448</v>
      </c>
      <c r="B28" s="3837"/>
      <c r="C28" s="3837" t="s">
        <v>3487</v>
      </c>
      <c r="D28" s="3837" t="str">
        <f t="shared" si="3"/>
        <v>--108</v>
      </c>
      <c r="E28" s="3837" t="s">
        <v>3480</v>
      </c>
      <c r="F28" s="3837">
        <v>30.96</v>
      </c>
    </row>
    <row r="29" spans="1:11">
      <c r="A29" s="3837" t="s">
        <v>3448</v>
      </c>
      <c r="B29" s="3837"/>
      <c r="C29" s="3837" t="s">
        <v>3488</v>
      </c>
      <c r="D29" s="3837" t="str">
        <f t="shared" si="3"/>
        <v>--109</v>
      </c>
      <c r="E29" s="3837" t="s">
        <v>3480</v>
      </c>
      <c r="F29" s="3837">
        <v>33.19</v>
      </c>
    </row>
    <row r="30" spans="1:11">
      <c r="A30" s="3837" t="s">
        <v>3448</v>
      </c>
      <c r="B30" s="3837"/>
      <c r="C30" s="3837" t="s">
        <v>3489</v>
      </c>
      <c r="D30" s="3837" t="str">
        <f t="shared" si="3"/>
        <v>--110</v>
      </c>
      <c r="E30" s="3837" t="s">
        <v>3480</v>
      </c>
      <c r="F30" s="3837">
        <v>33.19</v>
      </c>
    </row>
    <row r="31" spans="1:11">
      <c r="A31" s="3837" t="s">
        <v>3448</v>
      </c>
      <c r="B31" s="3837"/>
      <c r="C31" s="3837" t="s">
        <v>3490</v>
      </c>
      <c r="D31" s="3837" t="str">
        <f t="shared" si="3"/>
        <v>--111</v>
      </c>
      <c r="E31" s="3837" t="s">
        <v>3480</v>
      </c>
      <c r="F31" s="3837">
        <v>30.96</v>
      </c>
    </row>
    <row r="32" spans="1:11">
      <c r="A32" s="3837" t="s">
        <v>3448</v>
      </c>
      <c r="B32" s="3837"/>
      <c r="C32" s="3837" t="s">
        <v>3491</v>
      </c>
      <c r="D32" s="3837" t="str">
        <f t="shared" si="3"/>
        <v>--112</v>
      </c>
      <c r="E32" s="3837" t="s">
        <v>3480</v>
      </c>
      <c r="F32" s="3837">
        <v>30.96</v>
      </c>
    </row>
    <row r="33" spans="1:6">
      <c r="A33" s="3837" t="s">
        <v>3448</v>
      </c>
      <c r="B33" s="3837"/>
      <c r="C33" s="3837" t="s">
        <v>3492</v>
      </c>
      <c r="D33" s="3837" t="str">
        <f t="shared" si="3"/>
        <v>--113</v>
      </c>
      <c r="E33" s="3837" t="s">
        <v>3480</v>
      </c>
      <c r="F33" s="3837">
        <v>33.19</v>
      </c>
    </row>
    <row r="34" spans="1:6">
      <c r="A34" s="3837" t="s">
        <v>3448</v>
      </c>
      <c r="B34" s="3837"/>
      <c r="C34" s="3837" t="s">
        <v>3493</v>
      </c>
      <c r="D34" s="3837" t="str">
        <f t="shared" si="3"/>
        <v>--114</v>
      </c>
      <c r="E34" s="3837" t="s">
        <v>3480</v>
      </c>
      <c r="F34" s="3837">
        <v>29.97</v>
      </c>
    </row>
    <row r="35" spans="1:6">
      <c r="A35" s="3837" t="s">
        <v>3448</v>
      </c>
      <c r="B35" s="3837"/>
      <c r="C35" s="3837" t="s">
        <v>3494</v>
      </c>
      <c r="D35" s="3837" t="str">
        <f t="shared" si="3"/>
        <v>--115</v>
      </c>
      <c r="E35" s="3837" t="s">
        <v>3480</v>
      </c>
      <c r="F35" s="3837">
        <v>40.92</v>
      </c>
    </row>
    <row r="36" spans="1:6">
      <c r="A36" s="3838" t="s">
        <v>3449</v>
      </c>
      <c r="B36" s="3838">
        <v>1</v>
      </c>
      <c r="C36" s="3838">
        <v>1401</v>
      </c>
      <c r="D36" s="3837" t="str">
        <f>"1单元-"&amp;C36</f>
        <v>1单元-1401</v>
      </c>
      <c r="E36" s="3838" t="s">
        <v>3386</v>
      </c>
      <c r="F36" s="3838">
        <v>88.55</v>
      </c>
    </row>
    <row r="37" spans="1:6">
      <c r="A37" s="3838" t="s">
        <v>3449</v>
      </c>
      <c r="B37" s="3838">
        <v>2</v>
      </c>
      <c r="C37" s="3838">
        <v>101</v>
      </c>
      <c r="D37" s="3837" t="str">
        <f>"2单元-"&amp;C37</f>
        <v>2单元-101</v>
      </c>
      <c r="E37" s="3838" t="s">
        <v>3386</v>
      </c>
      <c r="F37" s="3838">
        <v>71.489999999999995</v>
      </c>
    </row>
    <row r="38" spans="1:6">
      <c r="A38" s="3838" t="s">
        <v>3449</v>
      </c>
      <c r="B38" s="3838">
        <v>2</v>
      </c>
      <c r="C38" s="3838">
        <v>102</v>
      </c>
      <c r="D38" s="3837" t="str">
        <f>"2单元-"&amp;C38</f>
        <v>2单元-102</v>
      </c>
      <c r="E38" s="3838" t="s">
        <v>3386</v>
      </c>
      <c r="F38" s="3838">
        <v>88.55</v>
      </c>
    </row>
    <row r="39" spans="1:6">
      <c r="A39" s="3838" t="s">
        <v>3449</v>
      </c>
      <c r="B39" s="3838"/>
      <c r="C39" s="3838" t="s">
        <v>3479</v>
      </c>
      <c r="D39" s="3837" t="str">
        <f t="shared" ref="D39:D47" si="4">"-"&amp;C39</f>
        <v>--101</v>
      </c>
      <c r="E39" s="3838" t="s">
        <v>3480</v>
      </c>
      <c r="F39" s="3838">
        <v>33.119999999999997</v>
      </c>
    </row>
    <row r="40" spans="1:6">
      <c r="A40" s="3838" t="s">
        <v>3449</v>
      </c>
      <c r="B40" s="3838"/>
      <c r="C40" s="3838" t="s">
        <v>3481</v>
      </c>
      <c r="D40" s="3837" t="str">
        <f t="shared" si="4"/>
        <v>--102</v>
      </c>
      <c r="E40" s="3838" t="s">
        <v>3480</v>
      </c>
      <c r="F40" s="3838">
        <v>22.97</v>
      </c>
    </row>
    <row r="41" spans="1:6">
      <c r="A41" s="3838" t="s">
        <v>3449</v>
      </c>
      <c r="B41" s="3838"/>
      <c r="C41" s="3838" t="s">
        <v>3482</v>
      </c>
      <c r="D41" s="3837" t="str">
        <f t="shared" si="4"/>
        <v>--103</v>
      </c>
      <c r="E41" s="3838" t="s">
        <v>3480</v>
      </c>
      <c r="F41" s="3838">
        <v>52.6</v>
      </c>
    </row>
    <row r="42" spans="1:6">
      <c r="A42" s="3838" t="s">
        <v>3449</v>
      </c>
      <c r="B42" s="3838"/>
      <c r="C42" s="3838" t="s">
        <v>3483</v>
      </c>
      <c r="D42" s="3837" t="str">
        <f t="shared" si="4"/>
        <v>--104</v>
      </c>
      <c r="E42" s="3838" t="s">
        <v>3480</v>
      </c>
      <c r="F42" s="3838">
        <v>22.87</v>
      </c>
    </row>
    <row r="43" spans="1:6">
      <c r="A43" s="3838" t="s">
        <v>3449</v>
      </c>
      <c r="B43" s="3838"/>
      <c r="C43" s="3838" t="s">
        <v>3484</v>
      </c>
      <c r="D43" s="3837" t="str">
        <f t="shared" si="4"/>
        <v>--105</v>
      </c>
      <c r="E43" s="3838" t="s">
        <v>3480</v>
      </c>
      <c r="F43" s="3838">
        <v>22.87</v>
      </c>
    </row>
    <row r="44" spans="1:6">
      <c r="A44" s="3838" t="s">
        <v>3449</v>
      </c>
      <c r="B44" s="3838"/>
      <c r="C44" s="3838" t="s">
        <v>3485</v>
      </c>
      <c r="D44" s="3837" t="str">
        <f t="shared" si="4"/>
        <v>--106</v>
      </c>
      <c r="E44" s="3838" t="s">
        <v>3480</v>
      </c>
      <c r="F44" s="3838">
        <v>52.6</v>
      </c>
    </row>
    <row r="45" spans="1:6">
      <c r="A45" s="3838" t="s">
        <v>3449</v>
      </c>
      <c r="B45" s="3838"/>
      <c r="C45" s="3838" t="s">
        <v>3486</v>
      </c>
      <c r="D45" s="3837" t="str">
        <f t="shared" si="4"/>
        <v>--107</v>
      </c>
      <c r="E45" s="3838" t="s">
        <v>3480</v>
      </c>
      <c r="F45" s="3838">
        <v>22.09</v>
      </c>
    </row>
    <row r="46" spans="1:6">
      <c r="A46" s="3838" t="s">
        <v>3449</v>
      </c>
      <c r="B46" s="3838"/>
      <c r="C46" s="3838" t="s">
        <v>3487</v>
      </c>
      <c r="D46" s="3837" t="str">
        <f t="shared" si="4"/>
        <v>--108</v>
      </c>
      <c r="E46" s="3838" t="s">
        <v>3480</v>
      </c>
      <c r="F46" s="3838">
        <v>22.97</v>
      </c>
    </row>
    <row r="47" spans="1:6">
      <c r="A47" s="3838" t="s">
        <v>3449</v>
      </c>
      <c r="B47" s="3838"/>
      <c r="C47" s="3838" t="s">
        <v>3488</v>
      </c>
      <c r="D47" s="3837" t="str">
        <f t="shared" si="4"/>
        <v>--109</v>
      </c>
      <c r="E47" s="3838" t="s">
        <v>3480</v>
      </c>
      <c r="F47" s="3838">
        <v>33.119999999999997</v>
      </c>
    </row>
    <row r="48" spans="1:6">
      <c r="A48" s="3838" t="s">
        <v>3450</v>
      </c>
      <c r="B48" s="3838">
        <v>1</v>
      </c>
      <c r="C48" s="3838">
        <v>101</v>
      </c>
      <c r="D48" s="3837" t="str">
        <f>"1单元-"&amp;C48</f>
        <v>1单元-101</v>
      </c>
      <c r="E48" s="3838" t="s">
        <v>3386</v>
      </c>
      <c r="F48" s="3838">
        <v>88.55</v>
      </c>
    </row>
    <row r="49" spans="1:6">
      <c r="A49" s="3838" t="s">
        <v>3450</v>
      </c>
      <c r="B49" s="3838">
        <v>2</v>
      </c>
      <c r="C49" s="3838">
        <v>102</v>
      </c>
      <c r="D49" s="3837" t="str">
        <f>"2单元-"&amp;C49</f>
        <v>2单元-102</v>
      </c>
      <c r="E49" s="3838" t="s">
        <v>3386</v>
      </c>
      <c r="F49" s="3838">
        <v>88.55</v>
      </c>
    </row>
    <row r="50" spans="1:6">
      <c r="A50" s="3838" t="s">
        <v>3450</v>
      </c>
      <c r="B50" s="3838"/>
      <c r="C50" s="3839" t="s">
        <v>3479</v>
      </c>
      <c r="D50" s="3837" t="str">
        <f t="shared" ref="D50:D58" si="5">"-"&amp;C50</f>
        <v>--101</v>
      </c>
      <c r="E50" s="3838" t="s">
        <v>3480</v>
      </c>
      <c r="F50" s="3840">
        <v>33.119999999999997</v>
      </c>
    </row>
    <row r="51" spans="1:6">
      <c r="A51" s="3838" t="s">
        <v>3450</v>
      </c>
      <c r="B51" s="3838"/>
      <c r="C51" s="3839" t="s">
        <v>3481</v>
      </c>
      <c r="D51" s="3837" t="str">
        <f t="shared" si="5"/>
        <v>--102</v>
      </c>
      <c r="E51" s="3838" t="s">
        <v>3480</v>
      </c>
      <c r="F51" s="3840">
        <v>22.97</v>
      </c>
    </row>
    <row r="52" spans="1:6">
      <c r="A52" s="3838" t="s">
        <v>3450</v>
      </c>
      <c r="B52" s="3838"/>
      <c r="C52" s="3839" t="s">
        <v>3482</v>
      </c>
      <c r="D52" s="3837" t="str">
        <f t="shared" si="5"/>
        <v>--103</v>
      </c>
      <c r="E52" s="3838" t="s">
        <v>3480</v>
      </c>
      <c r="F52" s="3840">
        <v>52.6</v>
      </c>
    </row>
    <row r="53" spans="1:6">
      <c r="A53" s="3838" t="s">
        <v>3450</v>
      </c>
      <c r="B53" s="3838"/>
      <c r="C53" s="3839" t="s">
        <v>3483</v>
      </c>
      <c r="D53" s="3837" t="str">
        <f t="shared" si="5"/>
        <v>--104</v>
      </c>
      <c r="E53" s="3838" t="s">
        <v>3480</v>
      </c>
      <c r="F53" s="3840">
        <v>22.87</v>
      </c>
    </row>
    <row r="54" spans="1:6">
      <c r="A54" s="3838" t="s">
        <v>3450</v>
      </c>
      <c r="B54" s="3838"/>
      <c r="C54" s="3839" t="s">
        <v>3484</v>
      </c>
      <c r="D54" s="3837" t="str">
        <f t="shared" si="5"/>
        <v>--105</v>
      </c>
      <c r="E54" s="3838" t="s">
        <v>3480</v>
      </c>
      <c r="F54" s="3840">
        <v>22.87</v>
      </c>
    </row>
    <row r="55" spans="1:6">
      <c r="A55" s="3838" t="s">
        <v>3450</v>
      </c>
      <c r="B55" s="3838"/>
      <c r="C55" s="3839" t="s">
        <v>3485</v>
      </c>
      <c r="D55" s="3837" t="str">
        <f t="shared" si="5"/>
        <v>--106</v>
      </c>
      <c r="E55" s="3838" t="s">
        <v>3480</v>
      </c>
      <c r="F55" s="3840">
        <v>52.6</v>
      </c>
    </row>
    <row r="56" spans="1:6">
      <c r="A56" s="3838" t="s">
        <v>3450</v>
      </c>
      <c r="B56" s="3838"/>
      <c r="C56" s="3839" t="s">
        <v>3486</v>
      </c>
      <c r="D56" s="3837" t="str">
        <f t="shared" si="5"/>
        <v>--107</v>
      </c>
      <c r="E56" s="3838" t="s">
        <v>3480</v>
      </c>
      <c r="F56" s="3840">
        <v>22.09</v>
      </c>
    </row>
    <row r="57" spans="1:6">
      <c r="A57" s="3838" t="s">
        <v>3450</v>
      </c>
      <c r="B57" s="3838"/>
      <c r="C57" s="3839" t="s">
        <v>3487</v>
      </c>
      <c r="D57" s="3837" t="str">
        <f t="shared" si="5"/>
        <v>--108</v>
      </c>
      <c r="E57" s="3838" t="s">
        <v>3480</v>
      </c>
      <c r="F57" s="3840">
        <v>22.97</v>
      </c>
    </row>
    <row r="58" spans="1:6">
      <c r="A58" s="3838" t="s">
        <v>3450</v>
      </c>
      <c r="B58" s="3838"/>
      <c r="C58" s="3839" t="s">
        <v>3488</v>
      </c>
      <c r="D58" s="3837" t="str">
        <f t="shared" si="5"/>
        <v>--109</v>
      </c>
      <c r="E58" s="3838" t="s">
        <v>3480</v>
      </c>
      <c r="F58" s="3840">
        <v>33.119999999999997</v>
      </c>
    </row>
    <row r="59" spans="1:6">
      <c r="A59" s="3838" t="s">
        <v>3451</v>
      </c>
      <c r="B59" s="3838">
        <v>2</v>
      </c>
      <c r="C59" s="3838">
        <v>102</v>
      </c>
      <c r="D59" s="3837" t="str">
        <f>"2单元-"&amp;C59</f>
        <v>2单元-102</v>
      </c>
      <c r="E59" s="3838" t="s">
        <v>3386</v>
      </c>
      <c r="F59" s="3838">
        <v>87.29</v>
      </c>
    </row>
    <row r="60" spans="1:6">
      <c r="A60" s="3838" t="s">
        <v>3451</v>
      </c>
      <c r="B60" s="3838"/>
      <c r="C60" s="3839" t="s">
        <v>3479</v>
      </c>
      <c r="D60" s="3837" t="str">
        <f t="shared" ref="D60:D69" si="6">"-"&amp;C60</f>
        <v>--101</v>
      </c>
      <c r="E60" s="3838" t="s">
        <v>3480</v>
      </c>
      <c r="F60" s="3840">
        <v>40.51</v>
      </c>
    </row>
    <row r="61" spans="1:6">
      <c r="A61" s="3838" t="s">
        <v>3451</v>
      </c>
      <c r="B61" s="3838"/>
      <c r="C61" s="3839" t="s">
        <v>3481</v>
      </c>
      <c r="D61" s="3837" t="str">
        <f t="shared" si="6"/>
        <v>--102</v>
      </c>
      <c r="E61" s="3838" t="s">
        <v>3480</v>
      </c>
      <c r="F61" s="3840">
        <v>29.67</v>
      </c>
    </row>
    <row r="62" spans="1:6">
      <c r="A62" s="3838" t="s">
        <v>3451</v>
      </c>
      <c r="B62" s="3838"/>
      <c r="C62" s="3839" t="s">
        <v>3482</v>
      </c>
      <c r="D62" s="3837" t="str">
        <f t="shared" si="6"/>
        <v>--103</v>
      </c>
      <c r="E62" s="3838" t="s">
        <v>3480</v>
      </c>
      <c r="F62" s="3840">
        <v>47.82</v>
      </c>
    </row>
    <row r="63" spans="1:6">
      <c r="A63" s="3838" t="s">
        <v>3451</v>
      </c>
      <c r="B63" s="3838"/>
      <c r="C63" s="3839" t="s">
        <v>3483</v>
      </c>
      <c r="D63" s="3837" t="str">
        <f t="shared" si="6"/>
        <v>--104</v>
      </c>
      <c r="E63" s="3838" t="s">
        <v>3480</v>
      </c>
      <c r="F63" s="3840">
        <v>20.75</v>
      </c>
    </row>
    <row r="64" spans="1:6">
      <c r="A64" s="3838" t="s">
        <v>3451</v>
      </c>
      <c r="B64" s="3838"/>
      <c r="C64" s="3839" t="s">
        <v>3484</v>
      </c>
      <c r="D64" s="3837" t="str">
        <f t="shared" si="6"/>
        <v>--105</v>
      </c>
      <c r="E64" s="3838" t="s">
        <v>3480</v>
      </c>
      <c r="F64" s="3840">
        <v>20.75</v>
      </c>
    </row>
    <row r="65" spans="1:6">
      <c r="A65" s="3838" t="s">
        <v>3451</v>
      </c>
      <c r="B65" s="3838"/>
      <c r="C65" s="3839" t="s">
        <v>3485</v>
      </c>
      <c r="D65" s="3837" t="str">
        <f t="shared" si="6"/>
        <v>--106</v>
      </c>
      <c r="E65" s="3838" t="s">
        <v>3480</v>
      </c>
      <c r="F65" s="3840">
        <v>48.08</v>
      </c>
    </row>
    <row r="66" spans="1:6">
      <c r="A66" s="3838" t="s">
        <v>3451</v>
      </c>
      <c r="B66" s="3838"/>
      <c r="C66" s="3839" t="s">
        <v>3486</v>
      </c>
      <c r="D66" s="3837" t="str">
        <f t="shared" si="6"/>
        <v>--107</v>
      </c>
      <c r="E66" s="3838" t="s">
        <v>3480</v>
      </c>
      <c r="F66" s="3840">
        <v>29.67</v>
      </c>
    </row>
    <row r="67" spans="1:6">
      <c r="A67" s="3838" t="s">
        <v>3451</v>
      </c>
      <c r="B67" s="3838"/>
      <c r="C67" s="3839" t="s">
        <v>3487</v>
      </c>
      <c r="D67" s="3837" t="str">
        <f t="shared" si="6"/>
        <v>--108</v>
      </c>
      <c r="E67" s="3838" t="s">
        <v>3480</v>
      </c>
      <c r="F67" s="3840">
        <v>40.51</v>
      </c>
    </row>
    <row r="68" spans="1:6">
      <c r="A68" s="3838" t="s">
        <v>3451</v>
      </c>
      <c r="B68" s="3838"/>
      <c r="C68" s="3839" t="s">
        <v>3488</v>
      </c>
      <c r="D68" s="3837" t="str">
        <f t="shared" si="6"/>
        <v>--109</v>
      </c>
      <c r="E68" s="3838" t="s">
        <v>3480</v>
      </c>
      <c r="F68" s="3840">
        <v>12.1</v>
      </c>
    </row>
    <row r="69" spans="1:6">
      <c r="A69" s="3838" t="s">
        <v>3451</v>
      </c>
      <c r="B69" s="3838"/>
      <c r="C69" s="3839" t="s">
        <v>3489</v>
      </c>
      <c r="D69" s="3837" t="str">
        <f t="shared" si="6"/>
        <v>--110</v>
      </c>
      <c r="E69" s="3838" t="s">
        <v>3480</v>
      </c>
      <c r="F69" s="3840">
        <v>12.1</v>
      </c>
    </row>
    <row r="70" spans="1:6">
      <c r="A70" s="3838" t="s">
        <v>3452</v>
      </c>
      <c r="B70" s="3838"/>
      <c r="C70" s="3838">
        <v>101</v>
      </c>
      <c r="D70" s="3837">
        <f>C70</f>
        <v>101</v>
      </c>
      <c r="E70" s="3838" t="s">
        <v>3386</v>
      </c>
      <c r="F70" s="3838">
        <v>88.84</v>
      </c>
    </row>
    <row r="71" spans="1:6">
      <c r="A71" s="3838" t="s">
        <v>3452</v>
      </c>
      <c r="B71" s="3838"/>
      <c r="C71" s="3838">
        <v>102</v>
      </c>
      <c r="D71" s="3837">
        <f>C71</f>
        <v>102</v>
      </c>
      <c r="E71" s="3838" t="s">
        <v>3386</v>
      </c>
      <c r="F71" s="3838">
        <v>89.49</v>
      </c>
    </row>
    <row r="72" spans="1:6">
      <c r="A72" s="3838" t="s">
        <v>3452</v>
      </c>
      <c r="B72" s="3838"/>
      <c r="C72" s="3838">
        <v>201</v>
      </c>
      <c r="D72" s="3837">
        <f>C72</f>
        <v>201</v>
      </c>
      <c r="E72" s="3838" t="s">
        <v>3386</v>
      </c>
      <c r="F72" s="3838">
        <v>88.84</v>
      </c>
    </row>
    <row r="73" spans="1:6">
      <c r="A73" s="3838" t="s">
        <v>3452</v>
      </c>
      <c r="B73" s="3838"/>
      <c r="C73" s="3839" t="s">
        <v>3479</v>
      </c>
      <c r="D73" s="3837" t="str">
        <f>"-"&amp;C73</f>
        <v>--101</v>
      </c>
      <c r="E73" s="3838" t="s">
        <v>3480</v>
      </c>
      <c r="F73" s="3840">
        <v>40.58</v>
      </c>
    </row>
    <row r="74" spans="1:6">
      <c r="A74" s="3838" t="s">
        <v>3452</v>
      </c>
      <c r="B74" s="3838"/>
      <c r="C74" s="3839" t="s">
        <v>3481</v>
      </c>
      <c r="D74" s="3837" t="str">
        <f>"-"&amp;C74</f>
        <v>--102</v>
      </c>
      <c r="E74" s="3838" t="s">
        <v>3480</v>
      </c>
      <c r="F74" s="3840">
        <v>28.8</v>
      </c>
    </row>
    <row r="75" spans="1:6">
      <c r="A75" s="3838" t="s">
        <v>3452</v>
      </c>
      <c r="B75" s="3838"/>
      <c r="C75" s="3839" t="s">
        <v>3482</v>
      </c>
      <c r="D75" s="3837" t="str">
        <f>"-"&amp;C75</f>
        <v>--103</v>
      </c>
      <c r="E75" s="3838" t="s">
        <v>3480</v>
      </c>
      <c r="F75" s="3840">
        <v>27.38</v>
      </c>
    </row>
    <row r="76" spans="1:6">
      <c r="A76" s="3838" t="s">
        <v>3452</v>
      </c>
      <c r="B76" s="3838"/>
      <c r="C76" s="3839" t="s">
        <v>3483</v>
      </c>
      <c r="D76" s="3837" t="str">
        <f>"-"&amp;C76</f>
        <v>--104</v>
      </c>
      <c r="E76" s="3838" t="s">
        <v>3480</v>
      </c>
      <c r="F76" s="3840">
        <v>27.38</v>
      </c>
    </row>
    <row r="77" spans="1:6">
      <c r="A77" s="3838" t="s">
        <v>3452</v>
      </c>
      <c r="B77" s="3838"/>
      <c r="C77" s="3839" t="s">
        <v>3484</v>
      </c>
      <c r="D77" s="3837" t="str">
        <f>"-"&amp;C77</f>
        <v>--105</v>
      </c>
      <c r="E77" s="3838" t="s">
        <v>3480</v>
      </c>
      <c r="F77" s="3840">
        <v>29.61</v>
      </c>
    </row>
    <row r="78" spans="1:6">
      <c r="A78" s="3838" t="s">
        <v>3453</v>
      </c>
      <c r="B78" s="3838">
        <v>1</v>
      </c>
      <c r="C78" s="3838">
        <v>101</v>
      </c>
      <c r="D78" s="3837" t="str">
        <f t="shared" ref="D78:D97" si="7">"1单元-"&amp;C78</f>
        <v>1单元-101</v>
      </c>
      <c r="E78" s="3838" t="s">
        <v>3386</v>
      </c>
      <c r="F78" s="3838">
        <v>87.22</v>
      </c>
    </row>
    <row r="79" spans="1:6">
      <c r="A79" s="3838" t="s">
        <v>3453</v>
      </c>
      <c r="B79" s="3838">
        <v>1</v>
      </c>
      <c r="C79" s="3838">
        <v>102</v>
      </c>
      <c r="D79" s="3837" t="str">
        <f t="shared" si="7"/>
        <v>1单元-102</v>
      </c>
      <c r="E79" s="3838" t="s">
        <v>3386</v>
      </c>
      <c r="F79" s="3838">
        <v>88.41</v>
      </c>
    </row>
    <row r="80" spans="1:6">
      <c r="A80" s="3838" t="s">
        <v>3453</v>
      </c>
      <c r="B80" s="3838">
        <v>1</v>
      </c>
      <c r="C80" s="3838">
        <v>201</v>
      </c>
      <c r="D80" s="3837" t="str">
        <f t="shared" si="7"/>
        <v>1单元-201</v>
      </c>
      <c r="E80" s="3838" t="s">
        <v>3386</v>
      </c>
      <c r="F80" s="3838">
        <v>87.22</v>
      </c>
    </row>
    <row r="81" spans="1:6">
      <c r="A81" s="3838" t="s">
        <v>3453</v>
      </c>
      <c r="B81" s="3838">
        <v>1</v>
      </c>
      <c r="C81" s="3838">
        <v>202</v>
      </c>
      <c r="D81" s="3837" t="str">
        <f t="shared" si="7"/>
        <v>1单元-202</v>
      </c>
      <c r="E81" s="3838" t="s">
        <v>3386</v>
      </c>
      <c r="F81" s="3838">
        <v>88.41</v>
      </c>
    </row>
    <row r="82" spans="1:6">
      <c r="A82" s="3838" t="s">
        <v>3453</v>
      </c>
      <c r="B82" s="3838">
        <v>1</v>
      </c>
      <c r="C82" s="3838">
        <v>301</v>
      </c>
      <c r="D82" s="3837" t="str">
        <f t="shared" si="7"/>
        <v>1单元-301</v>
      </c>
      <c r="E82" s="3838" t="s">
        <v>3386</v>
      </c>
      <c r="F82" s="3838">
        <v>87.22</v>
      </c>
    </row>
    <row r="83" spans="1:6">
      <c r="A83" s="3838" t="s">
        <v>3453</v>
      </c>
      <c r="B83" s="3838">
        <v>1</v>
      </c>
      <c r="C83" s="3838">
        <v>302</v>
      </c>
      <c r="D83" s="3837" t="str">
        <f t="shared" si="7"/>
        <v>1单元-302</v>
      </c>
      <c r="E83" s="3838" t="s">
        <v>3386</v>
      </c>
      <c r="F83" s="3838">
        <v>88.41</v>
      </c>
    </row>
    <row r="84" spans="1:6">
      <c r="A84" s="3838" t="s">
        <v>3453</v>
      </c>
      <c r="B84" s="3838">
        <v>1</v>
      </c>
      <c r="C84" s="3838">
        <v>401</v>
      </c>
      <c r="D84" s="3837" t="str">
        <f t="shared" si="7"/>
        <v>1单元-401</v>
      </c>
      <c r="E84" s="3838" t="s">
        <v>3386</v>
      </c>
      <c r="F84" s="3838">
        <v>87.22</v>
      </c>
    </row>
    <row r="85" spans="1:6">
      <c r="A85" s="3838" t="s">
        <v>3453</v>
      </c>
      <c r="B85" s="3838">
        <v>1</v>
      </c>
      <c r="C85" s="3838">
        <v>402</v>
      </c>
      <c r="D85" s="3837" t="str">
        <f t="shared" si="7"/>
        <v>1单元-402</v>
      </c>
      <c r="E85" s="3838" t="s">
        <v>3386</v>
      </c>
      <c r="F85" s="3838">
        <v>88.41</v>
      </c>
    </row>
    <row r="86" spans="1:6">
      <c r="A86" s="3838" t="s">
        <v>3453</v>
      </c>
      <c r="B86" s="3838">
        <v>1</v>
      </c>
      <c r="C86" s="3838">
        <v>501</v>
      </c>
      <c r="D86" s="3837" t="str">
        <f t="shared" si="7"/>
        <v>1单元-501</v>
      </c>
      <c r="E86" s="3838" t="s">
        <v>3386</v>
      </c>
      <c r="F86" s="3838">
        <v>87.22</v>
      </c>
    </row>
    <row r="87" spans="1:6">
      <c r="A87" s="3838" t="s">
        <v>3453</v>
      </c>
      <c r="B87" s="3838">
        <v>1</v>
      </c>
      <c r="C87" s="3838">
        <v>502</v>
      </c>
      <c r="D87" s="3837" t="str">
        <f t="shared" si="7"/>
        <v>1单元-502</v>
      </c>
      <c r="E87" s="3838" t="s">
        <v>3386</v>
      </c>
      <c r="F87" s="3838">
        <v>88.41</v>
      </c>
    </row>
    <row r="88" spans="1:6">
      <c r="A88" s="3838" t="s">
        <v>3453</v>
      </c>
      <c r="B88" s="3838">
        <v>1</v>
      </c>
      <c r="C88" s="3838">
        <v>601</v>
      </c>
      <c r="D88" s="3837" t="str">
        <f t="shared" si="7"/>
        <v>1单元-601</v>
      </c>
      <c r="E88" s="3838" t="s">
        <v>3386</v>
      </c>
      <c r="F88" s="3838">
        <v>87.22</v>
      </c>
    </row>
    <row r="89" spans="1:6">
      <c r="A89" s="3838" t="s">
        <v>3453</v>
      </c>
      <c r="B89" s="3838">
        <v>1</v>
      </c>
      <c r="C89" s="3838">
        <v>701</v>
      </c>
      <c r="D89" s="3837" t="str">
        <f t="shared" si="7"/>
        <v>1单元-701</v>
      </c>
      <c r="E89" s="3838" t="s">
        <v>3386</v>
      </c>
      <c r="F89" s="3838">
        <v>87.22</v>
      </c>
    </row>
    <row r="90" spans="1:6">
      <c r="A90" s="3838" t="s">
        <v>3453</v>
      </c>
      <c r="B90" s="3838">
        <v>1</v>
      </c>
      <c r="C90" s="3838">
        <v>901</v>
      </c>
      <c r="D90" s="3837" t="str">
        <f t="shared" si="7"/>
        <v>1单元-901</v>
      </c>
      <c r="E90" s="3838" t="s">
        <v>3386</v>
      </c>
      <c r="F90" s="3838">
        <v>87.22</v>
      </c>
    </row>
    <row r="91" spans="1:6">
      <c r="A91" s="3838" t="s">
        <v>3453</v>
      </c>
      <c r="B91" s="3838">
        <v>1</v>
      </c>
      <c r="C91" s="3838">
        <v>1001</v>
      </c>
      <c r="D91" s="3837" t="str">
        <f t="shared" si="7"/>
        <v>1单元-1001</v>
      </c>
      <c r="E91" s="3838" t="s">
        <v>3386</v>
      </c>
      <c r="F91" s="3838">
        <v>87.22</v>
      </c>
    </row>
    <row r="92" spans="1:6">
      <c r="A92" s="3838" t="s">
        <v>3453</v>
      </c>
      <c r="B92" s="3838">
        <v>1</v>
      </c>
      <c r="C92" s="3838">
        <v>1301</v>
      </c>
      <c r="D92" s="3837" t="str">
        <f t="shared" si="7"/>
        <v>1单元-1301</v>
      </c>
      <c r="E92" s="3838" t="s">
        <v>3386</v>
      </c>
      <c r="F92" s="3838">
        <v>87.22</v>
      </c>
    </row>
    <row r="93" spans="1:6">
      <c r="A93" s="3838" t="s">
        <v>3453</v>
      </c>
      <c r="B93" s="3838">
        <v>1</v>
      </c>
      <c r="C93" s="3838">
        <v>1302</v>
      </c>
      <c r="D93" s="3837" t="str">
        <f t="shared" si="7"/>
        <v>1单元-1302</v>
      </c>
      <c r="E93" s="3838" t="s">
        <v>3386</v>
      </c>
      <c r="F93" s="3838">
        <v>88.41</v>
      </c>
    </row>
    <row r="94" spans="1:6">
      <c r="A94" s="3838" t="s">
        <v>3453</v>
      </c>
      <c r="B94" s="3838">
        <v>1</v>
      </c>
      <c r="C94" s="3838">
        <v>1401</v>
      </c>
      <c r="D94" s="3837" t="str">
        <f t="shared" si="7"/>
        <v>1单元-1401</v>
      </c>
      <c r="E94" s="3838" t="s">
        <v>3386</v>
      </c>
      <c r="F94" s="3838">
        <v>87.22</v>
      </c>
    </row>
    <row r="95" spans="1:6">
      <c r="A95" s="3838" t="s">
        <v>3453</v>
      </c>
      <c r="B95" s="3838">
        <v>1</v>
      </c>
      <c r="C95" s="3838">
        <v>1402</v>
      </c>
      <c r="D95" s="3837" t="str">
        <f t="shared" si="7"/>
        <v>1单元-1402</v>
      </c>
      <c r="E95" s="3838" t="s">
        <v>3386</v>
      </c>
      <c r="F95" s="3838">
        <v>69.53</v>
      </c>
    </row>
    <row r="96" spans="1:6">
      <c r="A96" s="3838" t="s">
        <v>3453</v>
      </c>
      <c r="B96" s="3838">
        <v>1</v>
      </c>
      <c r="C96" s="3838">
        <v>1501</v>
      </c>
      <c r="D96" s="3837" t="str">
        <f t="shared" si="7"/>
        <v>1单元-1501</v>
      </c>
      <c r="E96" s="3838" t="s">
        <v>3386</v>
      </c>
      <c r="F96" s="3838">
        <v>87.22</v>
      </c>
    </row>
    <row r="97" spans="1:6">
      <c r="A97" s="3838" t="s">
        <v>3453</v>
      </c>
      <c r="B97" s="3838">
        <v>1</v>
      </c>
      <c r="C97" s="3838">
        <v>1502</v>
      </c>
      <c r="D97" s="3837" t="str">
        <f t="shared" si="7"/>
        <v>1单元-1502</v>
      </c>
      <c r="E97" s="3838" t="s">
        <v>3386</v>
      </c>
      <c r="F97" s="3838">
        <v>88.41</v>
      </c>
    </row>
    <row r="98" spans="1:6">
      <c r="A98" s="3838" t="s">
        <v>3453</v>
      </c>
      <c r="B98" s="3838">
        <v>2</v>
      </c>
      <c r="C98" s="3838">
        <v>101</v>
      </c>
      <c r="D98" s="3837" t="str">
        <f t="shared" ref="D98:D118" si="8">"2单元-"&amp;C98</f>
        <v>2单元-101</v>
      </c>
      <c r="E98" s="3838" t="s">
        <v>3386</v>
      </c>
      <c r="F98" s="3838">
        <v>88.41</v>
      </c>
    </row>
    <row r="99" spans="1:6">
      <c r="A99" s="3838" t="s">
        <v>3453</v>
      </c>
      <c r="B99" s="3838">
        <v>2</v>
      </c>
      <c r="C99" s="3838">
        <v>102</v>
      </c>
      <c r="D99" s="3837" t="str">
        <f t="shared" si="8"/>
        <v>2单元-102</v>
      </c>
      <c r="E99" s="3838" t="s">
        <v>3386</v>
      </c>
      <c r="F99" s="3838">
        <v>87.22</v>
      </c>
    </row>
    <row r="100" spans="1:6">
      <c r="A100" s="3838" t="s">
        <v>3453</v>
      </c>
      <c r="B100" s="3838">
        <v>2</v>
      </c>
      <c r="C100" s="3838">
        <v>201</v>
      </c>
      <c r="D100" s="3837" t="str">
        <f t="shared" si="8"/>
        <v>2单元-201</v>
      </c>
      <c r="E100" s="3838" t="s">
        <v>3386</v>
      </c>
      <c r="F100" s="3838">
        <v>88.41</v>
      </c>
    </row>
    <row r="101" spans="1:6">
      <c r="A101" s="3838" t="s">
        <v>3453</v>
      </c>
      <c r="B101" s="3838">
        <v>2</v>
      </c>
      <c r="C101" s="3838">
        <v>202</v>
      </c>
      <c r="D101" s="3837" t="str">
        <f t="shared" si="8"/>
        <v>2单元-202</v>
      </c>
      <c r="E101" s="3838" t="s">
        <v>3386</v>
      </c>
      <c r="F101" s="3838">
        <v>87.22</v>
      </c>
    </row>
    <row r="102" spans="1:6">
      <c r="A102" s="3838" t="s">
        <v>3453</v>
      </c>
      <c r="B102" s="3838">
        <v>2</v>
      </c>
      <c r="C102" s="3838">
        <v>301</v>
      </c>
      <c r="D102" s="3837" t="str">
        <f t="shared" si="8"/>
        <v>2单元-301</v>
      </c>
      <c r="E102" s="3838" t="s">
        <v>3386</v>
      </c>
      <c r="F102" s="3838">
        <v>88.41</v>
      </c>
    </row>
    <row r="103" spans="1:6">
      <c r="A103" s="3838" t="s">
        <v>3453</v>
      </c>
      <c r="B103" s="3838">
        <v>2</v>
      </c>
      <c r="C103" s="3838">
        <v>302</v>
      </c>
      <c r="D103" s="3837" t="str">
        <f t="shared" si="8"/>
        <v>2单元-302</v>
      </c>
      <c r="E103" s="3838" t="s">
        <v>3386</v>
      </c>
      <c r="F103" s="3838">
        <v>87.22</v>
      </c>
    </row>
    <row r="104" spans="1:6">
      <c r="A104" s="3838" t="s">
        <v>3453</v>
      </c>
      <c r="B104" s="3838">
        <v>2</v>
      </c>
      <c r="C104" s="3838">
        <v>401</v>
      </c>
      <c r="D104" s="3837" t="str">
        <f t="shared" si="8"/>
        <v>2单元-401</v>
      </c>
      <c r="E104" s="3838" t="s">
        <v>3386</v>
      </c>
      <c r="F104" s="3838">
        <v>88.41</v>
      </c>
    </row>
    <row r="105" spans="1:6">
      <c r="A105" s="3838" t="s">
        <v>3453</v>
      </c>
      <c r="B105" s="3838">
        <v>2</v>
      </c>
      <c r="C105" s="3838">
        <v>402</v>
      </c>
      <c r="D105" s="3837" t="str">
        <f t="shared" si="8"/>
        <v>2单元-402</v>
      </c>
      <c r="E105" s="3838" t="s">
        <v>3386</v>
      </c>
      <c r="F105" s="3838">
        <v>87.22</v>
      </c>
    </row>
    <row r="106" spans="1:6">
      <c r="A106" s="3838" t="s">
        <v>3453</v>
      </c>
      <c r="B106" s="3838">
        <v>2</v>
      </c>
      <c r="C106" s="3838">
        <v>501</v>
      </c>
      <c r="D106" s="3837" t="str">
        <f t="shared" si="8"/>
        <v>2单元-501</v>
      </c>
      <c r="E106" s="3838" t="s">
        <v>3386</v>
      </c>
      <c r="F106" s="3838">
        <v>88.41</v>
      </c>
    </row>
    <row r="107" spans="1:6">
      <c r="A107" s="3838" t="s">
        <v>3453</v>
      </c>
      <c r="B107" s="3838">
        <v>2</v>
      </c>
      <c r="C107" s="3838">
        <v>502</v>
      </c>
      <c r="D107" s="3837" t="str">
        <f t="shared" si="8"/>
        <v>2单元-502</v>
      </c>
      <c r="E107" s="3838" t="s">
        <v>3386</v>
      </c>
      <c r="F107" s="3838">
        <v>87.22</v>
      </c>
    </row>
    <row r="108" spans="1:6">
      <c r="A108" s="3838" t="s">
        <v>3453</v>
      </c>
      <c r="B108" s="3838">
        <v>2</v>
      </c>
      <c r="C108" s="3838">
        <v>601</v>
      </c>
      <c r="D108" s="3837" t="str">
        <f t="shared" si="8"/>
        <v>2单元-601</v>
      </c>
      <c r="E108" s="3838" t="s">
        <v>3386</v>
      </c>
      <c r="F108" s="3838">
        <v>88.41</v>
      </c>
    </row>
    <row r="109" spans="1:6">
      <c r="A109" s="3838" t="s">
        <v>3453</v>
      </c>
      <c r="B109" s="3838">
        <v>2</v>
      </c>
      <c r="C109" s="3838">
        <v>702</v>
      </c>
      <c r="D109" s="3837" t="str">
        <f t="shared" si="8"/>
        <v>2单元-702</v>
      </c>
      <c r="E109" s="3838" t="s">
        <v>3386</v>
      </c>
      <c r="F109" s="3838">
        <v>87.22</v>
      </c>
    </row>
    <row r="110" spans="1:6">
      <c r="A110" s="3838" t="s">
        <v>3453</v>
      </c>
      <c r="B110" s="3838">
        <v>2</v>
      </c>
      <c r="C110" s="3838">
        <v>902</v>
      </c>
      <c r="D110" s="3837" t="str">
        <f t="shared" si="8"/>
        <v>2单元-902</v>
      </c>
      <c r="E110" s="3838" t="s">
        <v>3386</v>
      </c>
      <c r="F110" s="3838">
        <v>87.22</v>
      </c>
    </row>
    <row r="111" spans="1:6">
      <c r="A111" s="3838" t="s">
        <v>3453</v>
      </c>
      <c r="B111" s="3838">
        <v>2</v>
      </c>
      <c r="C111" s="3838">
        <v>1002</v>
      </c>
      <c r="D111" s="3837" t="str">
        <f t="shared" si="8"/>
        <v>2单元-1002</v>
      </c>
      <c r="E111" s="3838" t="s">
        <v>3386</v>
      </c>
      <c r="F111" s="3838">
        <v>87.22</v>
      </c>
    </row>
    <row r="112" spans="1:6">
      <c r="A112" s="3838" t="s">
        <v>3453</v>
      </c>
      <c r="B112" s="3838">
        <v>2</v>
      </c>
      <c r="C112" s="3838">
        <v>1102</v>
      </c>
      <c r="D112" s="3837" t="str">
        <f t="shared" si="8"/>
        <v>2单元-1102</v>
      </c>
      <c r="E112" s="3838" t="s">
        <v>3386</v>
      </c>
      <c r="F112" s="3838">
        <v>87.22</v>
      </c>
    </row>
    <row r="113" spans="1:6">
      <c r="A113" s="3838" t="s">
        <v>3453</v>
      </c>
      <c r="B113" s="3838">
        <v>2</v>
      </c>
      <c r="C113" s="3838">
        <v>1301</v>
      </c>
      <c r="D113" s="3837" t="str">
        <f t="shared" si="8"/>
        <v>2单元-1301</v>
      </c>
      <c r="E113" s="3838" t="s">
        <v>3386</v>
      </c>
      <c r="F113" s="3838">
        <v>88.41</v>
      </c>
    </row>
    <row r="114" spans="1:6">
      <c r="A114" s="3838" t="s">
        <v>3453</v>
      </c>
      <c r="B114" s="3838">
        <v>2</v>
      </c>
      <c r="C114" s="3838">
        <v>1302</v>
      </c>
      <c r="D114" s="3837" t="str">
        <f t="shared" si="8"/>
        <v>2单元-1302</v>
      </c>
      <c r="E114" s="3838" t="s">
        <v>3386</v>
      </c>
      <c r="F114" s="3838">
        <v>87.22</v>
      </c>
    </row>
    <row r="115" spans="1:6">
      <c r="A115" s="3838" t="s">
        <v>3453</v>
      </c>
      <c r="B115" s="3838">
        <v>2</v>
      </c>
      <c r="C115" s="3838">
        <v>1401</v>
      </c>
      <c r="D115" s="3837" t="str">
        <f t="shared" si="8"/>
        <v>2单元-1401</v>
      </c>
      <c r="E115" s="3838" t="s">
        <v>3386</v>
      </c>
      <c r="F115" s="3838">
        <v>69.53</v>
      </c>
    </row>
    <row r="116" spans="1:6">
      <c r="A116" s="3838" t="s">
        <v>3453</v>
      </c>
      <c r="B116" s="3838">
        <v>2</v>
      </c>
      <c r="C116" s="3838">
        <v>1402</v>
      </c>
      <c r="D116" s="3837" t="str">
        <f t="shared" si="8"/>
        <v>2单元-1402</v>
      </c>
      <c r="E116" s="3838" t="s">
        <v>3386</v>
      </c>
      <c r="F116" s="3838">
        <v>87.22</v>
      </c>
    </row>
    <row r="117" spans="1:6">
      <c r="A117" s="3838" t="s">
        <v>3453</v>
      </c>
      <c r="B117" s="3838">
        <v>2</v>
      </c>
      <c r="C117" s="3838">
        <v>1501</v>
      </c>
      <c r="D117" s="3837" t="str">
        <f t="shared" si="8"/>
        <v>2单元-1501</v>
      </c>
      <c r="E117" s="3838" t="s">
        <v>3386</v>
      </c>
      <c r="F117" s="3838">
        <v>88.41</v>
      </c>
    </row>
    <row r="118" spans="1:6">
      <c r="A118" s="3838" t="s">
        <v>3453</v>
      </c>
      <c r="B118" s="3838">
        <v>2</v>
      </c>
      <c r="C118" s="3838">
        <v>1502</v>
      </c>
      <c r="D118" s="3837" t="str">
        <f t="shared" si="8"/>
        <v>2单元-1502</v>
      </c>
      <c r="E118" s="3838" t="s">
        <v>3386</v>
      </c>
      <c r="F118" s="3838">
        <v>87.22</v>
      </c>
    </row>
    <row r="119" spans="1:6">
      <c r="A119" s="3838" t="s">
        <v>3453</v>
      </c>
      <c r="B119" s="3838"/>
      <c r="C119" s="3841" t="s">
        <v>3479</v>
      </c>
      <c r="D119" s="3837" t="str">
        <f t="shared" ref="D119:D128" si="9">"-"&amp;C119</f>
        <v>--101</v>
      </c>
      <c r="E119" s="3838" t="s">
        <v>3480</v>
      </c>
      <c r="F119" s="3842">
        <v>40.72</v>
      </c>
    </row>
    <row r="120" spans="1:6">
      <c r="A120" s="3838" t="s">
        <v>3453</v>
      </c>
      <c r="B120" s="3838"/>
      <c r="C120" s="3841" t="s">
        <v>3481</v>
      </c>
      <c r="D120" s="3837" t="str">
        <f t="shared" si="9"/>
        <v>--102</v>
      </c>
      <c r="E120" s="3838" t="s">
        <v>3480</v>
      </c>
      <c r="F120" s="3842">
        <v>29.81</v>
      </c>
    </row>
    <row r="121" spans="1:6">
      <c r="A121" s="3838" t="s">
        <v>3453</v>
      </c>
      <c r="B121" s="3838"/>
      <c r="C121" s="3841" t="s">
        <v>3482</v>
      </c>
      <c r="D121" s="3837" t="str">
        <f t="shared" si="9"/>
        <v>--103</v>
      </c>
      <c r="E121" s="3838" t="s">
        <v>3480</v>
      </c>
      <c r="F121" s="3842">
        <v>48.73</v>
      </c>
    </row>
    <row r="122" spans="1:6">
      <c r="A122" s="3838" t="s">
        <v>3453</v>
      </c>
      <c r="B122" s="3838"/>
      <c r="C122" s="3841" t="s">
        <v>3483</v>
      </c>
      <c r="D122" s="3837" t="str">
        <f t="shared" si="9"/>
        <v>--104</v>
      </c>
      <c r="E122" s="3838" t="s">
        <v>3480</v>
      </c>
      <c r="F122" s="3842">
        <v>21.72</v>
      </c>
    </row>
    <row r="123" spans="1:6">
      <c r="A123" s="3838" t="s">
        <v>3453</v>
      </c>
      <c r="B123" s="3838"/>
      <c r="C123" s="3841" t="s">
        <v>3484</v>
      </c>
      <c r="D123" s="3837" t="str">
        <f t="shared" si="9"/>
        <v>--105</v>
      </c>
      <c r="E123" s="3838" t="s">
        <v>3480</v>
      </c>
      <c r="F123" s="3842">
        <v>21.72</v>
      </c>
    </row>
    <row r="124" spans="1:6">
      <c r="A124" s="3838" t="s">
        <v>3453</v>
      </c>
      <c r="B124" s="3838"/>
      <c r="C124" s="3841" t="s">
        <v>3485</v>
      </c>
      <c r="D124" s="3837" t="str">
        <f t="shared" si="9"/>
        <v>--106</v>
      </c>
      <c r="E124" s="3838" t="s">
        <v>3480</v>
      </c>
      <c r="F124" s="3842">
        <v>48.73</v>
      </c>
    </row>
    <row r="125" spans="1:6">
      <c r="A125" s="3838" t="s">
        <v>3453</v>
      </c>
      <c r="B125" s="3838"/>
      <c r="C125" s="3841" t="s">
        <v>3486</v>
      </c>
      <c r="D125" s="3837" t="str">
        <f t="shared" si="9"/>
        <v>--107</v>
      </c>
      <c r="E125" s="3838" t="s">
        <v>3480</v>
      </c>
      <c r="F125" s="3842">
        <v>29.81</v>
      </c>
    </row>
    <row r="126" spans="1:6">
      <c r="A126" s="3838" t="s">
        <v>3453</v>
      </c>
      <c r="B126" s="3838"/>
      <c r="C126" s="3841" t="s">
        <v>3487</v>
      </c>
      <c r="D126" s="3837" t="str">
        <f t="shared" si="9"/>
        <v>--108</v>
      </c>
      <c r="E126" s="3838" t="s">
        <v>3480</v>
      </c>
      <c r="F126" s="3842">
        <v>40.549999999999997</v>
      </c>
    </row>
    <row r="127" spans="1:6">
      <c r="A127" s="3838" t="s">
        <v>3453</v>
      </c>
      <c r="B127" s="3838"/>
      <c r="C127" s="3841" t="s">
        <v>3488</v>
      </c>
      <c r="D127" s="3837" t="str">
        <f t="shared" si="9"/>
        <v>--109</v>
      </c>
      <c r="E127" s="3838" t="s">
        <v>3480</v>
      </c>
      <c r="F127" s="3842">
        <v>12.16</v>
      </c>
    </row>
    <row r="128" spans="1:6">
      <c r="A128" s="3838" t="s">
        <v>3453</v>
      </c>
      <c r="B128" s="3838"/>
      <c r="C128" s="3841" t="s">
        <v>3489</v>
      </c>
      <c r="D128" s="3837" t="str">
        <f t="shared" si="9"/>
        <v>--110</v>
      </c>
      <c r="E128" s="3838" t="s">
        <v>3480</v>
      </c>
      <c r="F128" s="3842">
        <v>12.16</v>
      </c>
    </row>
    <row r="129" spans="1:6">
      <c r="A129" s="3838" t="s">
        <v>3454</v>
      </c>
      <c r="B129" s="3838">
        <v>1</v>
      </c>
      <c r="C129" s="3838">
        <v>101</v>
      </c>
      <c r="D129" s="3837" t="str">
        <f t="shared" ref="D129:D142" si="10">"1单元-"&amp;C129</f>
        <v>1单元-101</v>
      </c>
      <c r="E129" s="3838" t="s">
        <v>3386</v>
      </c>
      <c r="F129" s="3838">
        <v>87.22</v>
      </c>
    </row>
    <row r="130" spans="1:6">
      <c r="A130" s="3838" t="s">
        <v>3454</v>
      </c>
      <c r="B130" s="3838">
        <v>1</v>
      </c>
      <c r="C130" s="3838">
        <v>102</v>
      </c>
      <c r="D130" s="3837" t="str">
        <f t="shared" si="10"/>
        <v>1单元-102</v>
      </c>
      <c r="E130" s="3838" t="s">
        <v>3386</v>
      </c>
      <c r="F130" s="3838">
        <v>88.41</v>
      </c>
    </row>
    <row r="131" spans="1:6">
      <c r="A131" s="3838" t="s">
        <v>3454</v>
      </c>
      <c r="B131" s="3838">
        <v>1</v>
      </c>
      <c r="C131" s="3838">
        <v>201</v>
      </c>
      <c r="D131" s="3837" t="str">
        <f t="shared" si="10"/>
        <v>1单元-201</v>
      </c>
      <c r="E131" s="3838" t="s">
        <v>3386</v>
      </c>
      <c r="F131" s="3838">
        <v>87.22</v>
      </c>
    </row>
    <row r="132" spans="1:6">
      <c r="A132" s="3838" t="s">
        <v>3454</v>
      </c>
      <c r="B132" s="3838">
        <v>1</v>
      </c>
      <c r="C132" s="3838">
        <v>202</v>
      </c>
      <c r="D132" s="3837" t="str">
        <f t="shared" si="10"/>
        <v>1单元-202</v>
      </c>
      <c r="E132" s="3838" t="s">
        <v>3386</v>
      </c>
      <c r="F132" s="3838">
        <v>88.41</v>
      </c>
    </row>
    <row r="133" spans="1:6">
      <c r="A133" s="3838" t="s">
        <v>3454</v>
      </c>
      <c r="B133" s="3838">
        <v>1</v>
      </c>
      <c r="C133" s="3838">
        <v>301</v>
      </c>
      <c r="D133" s="3837" t="str">
        <f t="shared" si="10"/>
        <v>1单元-301</v>
      </c>
      <c r="E133" s="3838" t="s">
        <v>3386</v>
      </c>
      <c r="F133" s="3838">
        <v>87.22</v>
      </c>
    </row>
    <row r="134" spans="1:6">
      <c r="A134" s="3838" t="s">
        <v>3454</v>
      </c>
      <c r="B134" s="3838">
        <v>1</v>
      </c>
      <c r="C134" s="3838">
        <v>401</v>
      </c>
      <c r="D134" s="3837" t="str">
        <f t="shared" si="10"/>
        <v>1单元-401</v>
      </c>
      <c r="E134" s="3838" t="s">
        <v>3386</v>
      </c>
      <c r="F134" s="3838">
        <v>87.22</v>
      </c>
    </row>
    <row r="135" spans="1:6">
      <c r="A135" s="3838" t="s">
        <v>3454</v>
      </c>
      <c r="B135" s="3838">
        <v>1</v>
      </c>
      <c r="C135" s="3838">
        <v>501</v>
      </c>
      <c r="D135" s="3837" t="str">
        <f t="shared" si="10"/>
        <v>1单元-501</v>
      </c>
      <c r="E135" s="3838" t="s">
        <v>3386</v>
      </c>
      <c r="F135" s="3838">
        <v>87.22</v>
      </c>
    </row>
    <row r="136" spans="1:6">
      <c r="A136" s="3838" t="s">
        <v>3454</v>
      </c>
      <c r="B136" s="3838">
        <v>1</v>
      </c>
      <c r="C136" s="3838">
        <v>1001</v>
      </c>
      <c r="D136" s="3837" t="str">
        <f t="shared" si="10"/>
        <v>1单元-1001</v>
      </c>
      <c r="E136" s="3838" t="s">
        <v>3386</v>
      </c>
      <c r="F136" s="3838">
        <v>87.22</v>
      </c>
    </row>
    <row r="137" spans="1:6">
      <c r="A137" s="3838" t="s">
        <v>3454</v>
      </c>
      <c r="B137" s="3838">
        <v>1</v>
      </c>
      <c r="C137" s="3838">
        <v>1201</v>
      </c>
      <c r="D137" s="3837" t="str">
        <f t="shared" si="10"/>
        <v>1单元-1201</v>
      </c>
      <c r="E137" s="3838" t="s">
        <v>3386</v>
      </c>
      <c r="F137" s="3838">
        <v>87.22</v>
      </c>
    </row>
    <row r="138" spans="1:6">
      <c r="A138" s="3838" t="s">
        <v>3454</v>
      </c>
      <c r="B138" s="3838">
        <v>1</v>
      </c>
      <c r="C138" s="3838">
        <v>1302</v>
      </c>
      <c r="D138" s="3837" t="str">
        <f t="shared" si="10"/>
        <v>1单元-1302</v>
      </c>
      <c r="E138" s="3838" t="s">
        <v>3386</v>
      </c>
      <c r="F138" s="3838">
        <v>88.41</v>
      </c>
    </row>
    <row r="139" spans="1:6">
      <c r="A139" s="3838" t="s">
        <v>3454</v>
      </c>
      <c r="B139" s="3838">
        <v>1</v>
      </c>
      <c r="C139" s="3838">
        <v>1401</v>
      </c>
      <c r="D139" s="3837" t="str">
        <f t="shared" si="10"/>
        <v>1单元-1401</v>
      </c>
      <c r="E139" s="3838" t="s">
        <v>3386</v>
      </c>
      <c r="F139" s="3838">
        <v>87.22</v>
      </c>
    </row>
    <row r="140" spans="1:6">
      <c r="A140" s="3838" t="s">
        <v>3454</v>
      </c>
      <c r="B140" s="3838">
        <v>1</v>
      </c>
      <c r="C140" s="3838">
        <v>1402</v>
      </c>
      <c r="D140" s="3837" t="str">
        <f t="shared" si="10"/>
        <v>1单元-1402</v>
      </c>
      <c r="E140" s="3838" t="s">
        <v>3386</v>
      </c>
      <c r="F140" s="3838">
        <v>69.53</v>
      </c>
    </row>
    <row r="141" spans="1:6">
      <c r="A141" s="3838" t="s">
        <v>3454</v>
      </c>
      <c r="B141" s="3838">
        <v>1</v>
      </c>
      <c r="C141" s="3838">
        <v>1501</v>
      </c>
      <c r="D141" s="3837" t="str">
        <f t="shared" si="10"/>
        <v>1单元-1501</v>
      </c>
      <c r="E141" s="3838" t="s">
        <v>3386</v>
      </c>
      <c r="F141" s="3838">
        <v>87.22</v>
      </c>
    </row>
    <row r="142" spans="1:6">
      <c r="A142" s="3838" t="s">
        <v>3454</v>
      </c>
      <c r="B142" s="3838">
        <v>1</v>
      </c>
      <c r="C142" s="3838">
        <v>1502</v>
      </c>
      <c r="D142" s="3837" t="str">
        <f t="shared" si="10"/>
        <v>1单元-1502</v>
      </c>
      <c r="E142" s="3838" t="s">
        <v>3386</v>
      </c>
      <c r="F142" s="3838">
        <v>88.41</v>
      </c>
    </row>
    <row r="143" spans="1:6">
      <c r="A143" s="3838" t="s">
        <v>3454</v>
      </c>
      <c r="B143" s="3838">
        <v>2</v>
      </c>
      <c r="C143" s="3838">
        <v>101</v>
      </c>
      <c r="D143" s="3837" t="str">
        <f t="shared" ref="D143:D156" si="11">"2单元-"&amp;C143</f>
        <v>2单元-101</v>
      </c>
      <c r="E143" s="3838" t="s">
        <v>3386</v>
      </c>
      <c r="F143" s="3838">
        <v>88.41</v>
      </c>
    </row>
    <row r="144" spans="1:6">
      <c r="A144" s="3838" t="s">
        <v>3454</v>
      </c>
      <c r="B144" s="3838">
        <v>2</v>
      </c>
      <c r="C144" s="3838">
        <v>102</v>
      </c>
      <c r="D144" s="3837" t="str">
        <f t="shared" si="11"/>
        <v>2单元-102</v>
      </c>
      <c r="E144" s="3838" t="s">
        <v>3386</v>
      </c>
      <c r="F144" s="3838">
        <v>87.22</v>
      </c>
    </row>
    <row r="145" spans="1:6">
      <c r="A145" s="3838" t="s">
        <v>3454</v>
      </c>
      <c r="B145" s="3838">
        <v>2</v>
      </c>
      <c r="C145" s="3838">
        <v>201</v>
      </c>
      <c r="D145" s="3837" t="str">
        <f t="shared" si="11"/>
        <v>2单元-201</v>
      </c>
      <c r="E145" s="3838" t="s">
        <v>3386</v>
      </c>
      <c r="F145" s="3838">
        <v>88.41</v>
      </c>
    </row>
    <row r="146" spans="1:6">
      <c r="A146" s="3838" t="s">
        <v>3454</v>
      </c>
      <c r="B146" s="3838">
        <v>2</v>
      </c>
      <c r="C146" s="3838">
        <v>202</v>
      </c>
      <c r="D146" s="3837" t="str">
        <f t="shared" si="11"/>
        <v>2单元-202</v>
      </c>
      <c r="E146" s="3838" t="s">
        <v>3386</v>
      </c>
      <c r="F146" s="3838">
        <v>87.22</v>
      </c>
    </row>
    <row r="147" spans="1:6">
      <c r="A147" s="3838" t="s">
        <v>3454</v>
      </c>
      <c r="B147" s="3838">
        <v>2</v>
      </c>
      <c r="C147" s="3838">
        <v>301</v>
      </c>
      <c r="D147" s="3837" t="str">
        <f t="shared" si="11"/>
        <v>2单元-301</v>
      </c>
      <c r="E147" s="3838" t="s">
        <v>3386</v>
      </c>
      <c r="F147" s="3838">
        <v>88.41</v>
      </c>
    </row>
    <row r="148" spans="1:6">
      <c r="A148" s="3838" t="s">
        <v>3454</v>
      </c>
      <c r="B148" s="3838">
        <v>2</v>
      </c>
      <c r="C148" s="3838">
        <v>302</v>
      </c>
      <c r="D148" s="3837" t="str">
        <f t="shared" si="11"/>
        <v>2单元-302</v>
      </c>
      <c r="E148" s="3838" t="s">
        <v>3386</v>
      </c>
      <c r="F148" s="3838">
        <v>87.22</v>
      </c>
    </row>
    <row r="149" spans="1:6">
      <c r="A149" s="3838" t="s">
        <v>3454</v>
      </c>
      <c r="B149" s="3838">
        <v>2</v>
      </c>
      <c r="C149" s="3838">
        <v>502</v>
      </c>
      <c r="D149" s="3837" t="str">
        <f t="shared" si="11"/>
        <v>2单元-502</v>
      </c>
      <c r="E149" s="3838" t="s">
        <v>3386</v>
      </c>
      <c r="F149" s="3838">
        <v>87.22</v>
      </c>
    </row>
    <row r="150" spans="1:6">
      <c r="A150" s="3838" t="s">
        <v>3454</v>
      </c>
      <c r="B150" s="3838">
        <v>2</v>
      </c>
      <c r="C150" s="3838">
        <v>1002</v>
      </c>
      <c r="D150" s="3837" t="str">
        <f t="shared" si="11"/>
        <v>2单元-1002</v>
      </c>
      <c r="E150" s="3838" t="s">
        <v>3386</v>
      </c>
      <c r="F150" s="3838">
        <v>87.22</v>
      </c>
    </row>
    <row r="151" spans="1:6">
      <c r="A151" s="3838" t="s">
        <v>3454</v>
      </c>
      <c r="B151" s="3838">
        <v>2</v>
      </c>
      <c r="C151" s="3838">
        <v>1202</v>
      </c>
      <c r="D151" s="3837" t="str">
        <f t="shared" si="11"/>
        <v>2单元-1202</v>
      </c>
      <c r="E151" s="3838" t="s">
        <v>3386</v>
      </c>
      <c r="F151" s="3838">
        <v>87.22</v>
      </c>
    </row>
    <row r="152" spans="1:6">
      <c r="A152" s="3838" t="s">
        <v>3454</v>
      </c>
      <c r="B152" s="3838">
        <v>2</v>
      </c>
      <c r="C152" s="3838">
        <v>1301</v>
      </c>
      <c r="D152" s="3837" t="str">
        <f t="shared" si="11"/>
        <v>2单元-1301</v>
      </c>
      <c r="E152" s="3838" t="s">
        <v>3386</v>
      </c>
      <c r="F152" s="3838">
        <v>88.41</v>
      </c>
    </row>
    <row r="153" spans="1:6">
      <c r="A153" s="3838" t="s">
        <v>3454</v>
      </c>
      <c r="B153" s="3838">
        <v>2</v>
      </c>
      <c r="C153" s="3838">
        <v>1302</v>
      </c>
      <c r="D153" s="3837" t="str">
        <f t="shared" si="11"/>
        <v>2单元-1302</v>
      </c>
      <c r="E153" s="3838" t="s">
        <v>3386</v>
      </c>
      <c r="F153" s="3838">
        <v>87.22</v>
      </c>
    </row>
    <row r="154" spans="1:6">
      <c r="A154" s="3838" t="s">
        <v>3454</v>
      </c>
      <c r="B154" s="3838">
        <v>2</v>
      </c>
      <c r="C154" s="3838">
        <v>1401</v>
      </c>
      <c r="D154" s="3837" t="str">
        <f t="shared" si="11"/>
        <v>2单元-1401</v>
      </c>
      <c r="E154" s="3838" t="s">
        <v>3386</v>
      </c>
      <c r="F154" s="3838">
        <v>69.53</v>
      </c>
    </row>
    <row r="155" spans="1:6">
      <c r="A155" s="3838" t="s">
        <v>3454</v>
      </c>
      <c r="B155" s="3838">
        <v>2</v>
      </c>
      <c r="C155" s="3838">
        <v>1402</v>
      </c>
      <c r="D155" s="3837" t="str">
        <f t="shared" si="11"/>
        <v>2单元-1402</v>
      </c>
      <c r="E155" s="3838" t="s">
        <v>3386</v>
      </c>
      <c r="F155" s="3838">
        <v>87.22</v>
      </c>
    </row>
    <row r="156" spans="1:6">
      <c r="A156" s="3838" t="s">
        <v>3454</v>
      </c>
      <c r="B156" s="3838">
        <v>2</v>
      </c>
      <c r="C156" s="3838">
        <v>1502</v>
      </c>
      <c r="D156" s="3837" t="str">
        <f t="shared" si="11"/>
        <v>2单元-1502</v>
      </c>
      <c r="E156" s="3838" t="s">
        <v>3386</v>
      </c>
      <c r="F156" s="3838">
        <v>87.22</v>
      </c>
    </row>
    <row r="157" spans="1:6">
      <c r="A157" s="3838" t="s">
        <v>3454</v>
      </c>
      <c r="B157" s="3838"/>
      <c r="C157" s="3841" t="s">
        <v>3479</v>
      </c>
      <c r="D157" s="3837" t="str">
        <f t="shared" ref="D157:D166" si="12">"-"&amp;C157</f>
        <v>--101</v>
      </c>
      <c r="E157" s="3838" t="s">
        <v>3480</v>
      </c>
      <c r="F157" s="3842">
        <v>40.729999999999997</v>
      </c>
    </row>
    <row r="158" spans="1:6">
      <c r="A158" s="3838" t="s">
        <v>3454</v>
      </c>
      <c r="B158" s="3838"/>
      <c r="C158" s="3841" t="s">
        <v>3481</v>
      </c>
      <c r="D158" s="3837" t="str">
        <f t="shared" si="12"/>
        <v>--102</v>
      </c>
      <c r="E158" s="3838" t="s">
        <v>3480</v>
      </c>
      <c r="F158" s="3842">
        <v>29.81</v>
      </c>
    </row>
    <row r="159" spans="1:6">
      <c r="A159" s="3838" t="s">
        <v>3454</v>
      </c>
      <c r="B159" s="3838"/>
      <c r="C159" s="3841" t="s">
        <v>3482</v>
      </c>
      <c r="D159" s="3837" t="str">
        <f t="shared" si="12"/>
        <v>--103</v>
      </c>
      <c r="E159" s="3838" t="s">
        <v>3480</v>
      </c>
      <c r="F159" s="3842">
        <v>48.73</v>
      </c>
    </row>
    <row r="160" spans="1:6">
      <c r="A160" s="3838" t="s">
        <v>3454</v>
      </c>
      <c r="B160" s="3838"/>
      <c r="C160" s="3841" t="s">
        <v>3483</v>
      </c>
      <c r="D160" s="3837" t="str">
        <f t="shared" si="12"/>
        <v>--104</v>
      </c>
      <c r="E160" s="3838" t="s">
        <v>3480</v>
      </c>
      <c r="F160" s="3842">
        <v>21.72</v>
      </c>
    </row>
    <row r="161" spans="1:6">
      <c r="A161" s="3838" t="s">
        <v>3454</v>
      </c>
      <c r="B161" s="3838"/>
      <c r="C161" s="3841" t="s">
        <v>3484</v>
      </c>
      <c r="D161" s="3837" t="str">
        <f t="shared" si="12"/>
        <v>--105</v>
      </c>
      <c r="E161" s="3838" t="s">
        <v>3480</v>
      </c>
      <c r="F161" s="3842">
        <v>21.72</v>
      </c>
    </row>
    <row r="162" spans="1:6">
      <c r="A162" s="3838" t="s">
        <v>3454</v>
      </c>
      <c r="B162" s="3838"/>
      <c r="C162" s="3841" t="s">
        <v>3485</v>
      </c>
      <c r="D162" s="3837" t="str">
        <f t="shared" si="12"/>
        <v>--106</v>
      </c>
      <c r="E162" s="3838" t="s">
        <v>3480</v>
      </c>
      <c r="F162" s="3842">
        <v>48.73</v>
      </c>
    </row>
    <row r="163" spans="1:6">
      <c r="A163" s="3838" t="s">
        <v>3454</v>
      </c>
      <c r="B163" s="3838"/>
      <c r="C163" s="3841" t="s">
        <v>3486</v>
      </c>
      <c r="D163" s="3837" t="str">
        <f t="shared" si="12"/>
        <v>--107</v>
      </c>
      <c r="E163" s="3838" t="s">
        <v>3480</v>
      </c>
      <c r="F163" s="3842">
        <v>29.81</v>
      </c>
    </row>
    <row r="164" spans="1:6">
      <c r="A164" s="3838" t="s">
        <v>3454</v>
      </c>
      <c r="B164" s="3838"/>
      <c r="C164" s="3841" t="s">
        <v>3487</v>
      </c>
      <c r="D164" s="3837" t="str">
        <f t="shared" si="12"/>
        <v>--108</v>
      </c>
      <c r="E164" s="3838" t="s">
        <v>3480</v>
      </c>
      <c r="F164" s="3842">
        <v>40.549999999999997</v>
      </c>
    </row>
    <row r="165" spans="1:6">
      <c r="A165" s="3838" t="s">
        <v>3454</v>
      </c>
      <c r="B165" s="3838"/>
      <c r="C165" s="3841" t="s">
        <v>3488</v>
      </c>
      <c r="D165" s="3837" t="str">
        <f t="shared" si="12"/>
        <v>--109</v>
      </c>
      <c r="E165" s="3838" t="s">
        <v>3480</v>
      </c>
      <c r="F165" s="3842">
        <v>12.17</v>
      </c>
    </row>
    <row r="166" spans="1:6">
      <c r="A166" s="3838" t="s">
        <v>3454</v>
      </c>
      <c r="B166" s="3838"/>
      <c r="C166" s="3841" t="s">
        <v>3489</v>
      </c>
      <c r="D166" s="3837" t="str">
        <f t="shared" si="12"/>
        <v>--110</v>
      </c>
      <c r="E166" s="3838" t="s">
        <v>3480</v>
      </c>
      <c r="F166" s="3842">
        <v>12.17</v>
      </c>
    </row>
    <row r="167" spans="1:6">
      <c r="A167" s="3838" t="s">
        <v>3455</v>
      </c>
      <c r="B167" s="3838">
        <v>1</v>
      </c>
      <c r="C167" s="3838">
        <v>102</v>
      </c>
      <c r="D167" s="3837" t="str">
        <f>"1单元-"&amp;C167</f>
        <v>1单元-102</v>
      </c>
      <c r="E167" s="3838" t="s">
        <v>3386</v>
      </c>
      <c r="F167" s="3838">
        <v>75.459999999999994</v>
      </c>
    </row>
    <row r="168" spans="1:6">
      <c r="A168" s="3838" t="s">
        <v>3455</v>
      </c>
      <c r="B168" s="3838">
        <v>1</v>
      </c>
      <c r="C168" s="3838">
        <v>202</v>
      </c>
      <c r="D168" s="3837" t="str">
        <f>"1单元-"&amp;C168</f>
        <v>1单元-202</v>
      </c>
      <c r="E168" s="3838" t="s">
        <v>3386</v>
      </c>
      <c r="F168" s="3838">
        <v>75.459999999999994</v>
      </c>
    </row>
    <row r="169" spans="1:6">
      <c r="A169" s="3838" t="s">
        <v>3455</v>
      </c>
      <c r="B169" s="3838">
        <v>1</v>
      </c>
      <c r="C169" s="3838">
        <v>301</v>
      </c>
      <c r="D169" s="3837" t="str">
        <f>"1单元-"&amp;C169</f>
        <v>1单元-301</v>
      </c>
      <c r="E169" s="3838" t="s">
        <v>3386</v>
      </c>
      <c r="F169" s="3838">
        <v>87.99</v>
      </c>
    </row>
    <row r="170" spans="1:6">
      <c r="A170" s="3838" t="s">
        <v>3455</v>
      </c>
      <c r="B170" s="3838">
        <v>2</v>
      </c>
      <c r="C170" s="3838">
        <v>102</v>
      </c>
      <c r="D170" s="3837" t="str">
        <f>"2单元-"&amp;C170</f>
        <v>2单元-102</v>
      </c>
      <c r="E170" s="3838" t="s">
        <v>3386</v>
      </c>
      <c r="F170" s="3838">
        <v>76.209999999999994</v>
      </c>
    </row>
    <row r="171" spans="1:6">
      <c r="A171" s="3838" t="s">
        <v>3455</v>
      </c>
      <c r="B171" s="3838">
        <v>3</v>
      </c>
      <c r="C171" s="3838">
        <v>101</v>
      </c>
      <c r="D171" s="3837" t="str">
        <f>"3单元-"&amp;C171</f>
        <v>3单元-101</v>
      </c>
      <c r="E171" s="3838" t="s">
        <v>3386</v>
      </c>
      <c r="F171" s="3838">
        <v>72.36</v>
      </c>
    </row>
    <row r="172" spans="1:6">
      <c r="A172" s="3838" t="s">
        <v>3455</v>
      </c>
      <c r="B172" s="3838">
        <v>3</v>
      </c>
      <c r="C172" s="3838">
        <v>102</v>
      </c>
      <c r="D172" s="3837" t="str">
        <f>"3单元-"&amp;C172</f>
        <v>3单元-102</v>
      </c>
      <c r="E172" s="3838" t="s">
        <v>3386</v>
      </c>
      <c r="F172" s="3838">
        <v>76.209999999999994</v>
      </c>
    </row>
    <row r="173" spans="1:6">
      <c r="A173" s="3838" t="s">
        <v>3455</v>
      </c>
      <c r="B173" s="3838">
        <v>3</v>
      </c>
      <c r="C173" s="3838">
        <v>202</v>
      </c>
      <c r="D173" s="3837" t="str">
        <f>"3单元-"&amp;C173</f>
        <v>3单元-202</v>
      </c>
      <c r="E173" s="3838" t="s">
        <v>3386</v>
      </c>
      <c r="F173" s="3838">
        <v>76.2</v>
      </c>
    </row>
    <row r="174" spans="1:6">
      <c r="A174" s="3838" t="s">
        <v>3455</v>
      </c>
      <c r="B174" s="3838">
        <v>4</v>
      </c>
      <c r="C174" s="3838">
        <v>101</v>
      </c>
      <c r="D174" s="3837" t="str">
        <f>"4单元-"&amp;C174</f>
        <v>4单元-101</v>
      </c>
      <c r="E174" s="3838" t="s">
        <v>3386</v>
      </c>
      <c r="F174" s="3838">
        <v>75.459999999999994</v>
      </c>
    </row>
    <row r="175" spans="1:6">
      <c r="A175" s="3838" t="s">
        <v>3455</v>
      </c>
      <c r="B175" s="3838">
        <v>4</v>
      </c>
      <c r="C175" s="3838">
        <v>102</v>
      </c>
      <c r="D175" s="3837" t="str">
        <f>"4单元-"&amp;C175</f>
        <v>4单元-102</v>
      </c>
      <c r="E175" s="3838" t="s">
        <v>3386</v>
      </c>
      <c r="F175" s="3838">
        <v>87.99</v>
      </c>
    </row>
    <row r="176" spans="1:6">
      <c r="A176" s="3838" t="s">
        <v>3455</v>
      </c>
      <c r="B176" s="3838">
        <v>4</v>
      </c>
      <c r="C176" s="3838">
        <v>201</v>
      </c>
      <c r="D176" s="3837" t="str">
        <f>"4单元-"&amp;C176</f>
        <v>4单元-201</v>
      </c>
      <c r="E176" s="3838" t="s">
        <v>3386</v>
      </c>
      <c r="F176" s="3838">
        <v>75.459999999999994</v>
      </c>
    </row>
    <row r="177" spans="1:6">
      <c r="A177" s="3838" t="s">
        <v>3455</v>
      </c>
      <c r="B177" s="3838"/>
      <c r="C177" s="3841" t="s">
        <v>3479</v>
      </c>
      <c r="D177" s="3837" t="str">
        <f t="shared" ref="D177:D192" si="13">"-"&amp;C177</f>
        <v>--101</v>
      </c>
      <c r="E177" s="3838" t="s">
        <v>3480</v>
      </c>
      <c r="F177" s="3842">
        <v>42.68</v>
      </c>
    </row>
    <row r="178" spans="1:6">
      <c r="A178" s="3838" t="s">
        <v>3455</v>
      </c>
      <c r="B178" s="3838"/>
      <c r="C178" s="3841" t="s">
        <v>3481</v>
      </c>
      <c r="D178" s="3837" t="str">
        <f t="shared" si="13"/>
        <v>--102</v>
      </c>
      <c r="E178" s="3838" t="s">
        <v>3480</v>
      </c>
      <c r="F178" s="3842">
        <v>30.7</v>
      </c>
    </row>
    <row r="179" spans="1:6">
      <c r="A179" s="3838" t="s">
        <v>3455</v>
      </c>
      <c r="B179" s="3838"/>
      <c r="C179" s="3841" t="s">
        <v>3482</v>
      </c>
      <c r="D179" s="3837" t="str">
        <f t="shared" si="13"/>
        <v>--103</v>
      </c>
      <c r="E179" s="3838" t="s">
        <v>3480</v>
      </c>
      <c r="F179" s="3842">
        <v>33.49</v>
      </c>
    </row>
    <row r="180" spans="1:6">
      <c r="A180" s="3838" t="s">
        <v>3455</v>
      </c>
      <c r="B180" s="3838"/>
      <c r="C180" s="3841" t="s">
        <v>3483</v>
      </c>
      <c r="D180" s="3837" t="str">
        <f t="shared" si="13"/>
        <v>--104</v>
      </c>
      <c r="E180" s="3838" t="s">
        <v>3480</v>
      </c>
      <c r="F180" s="3842">
        <v>30.6</v>
      </c>
    </row>
    <row r="181" spans="1:6">
      <c r="A181" s="3838" t="s">
        <v>3455</v>
      </c>
      <c r="B181" s="3838"/>
      <c r="C181" s="3841" t="s">
        <v>3484</v>
      </c>
      <c r="D181" s="3837" t="str">
        <f t="shared" si="13"/>
        <v>--105</v>
      </c>
      <c r="E181" s="3838" t="s">
        <v>3480</v>
      </c>
      <c r="F181" s="3842">
        <v>30.6</v>
      </c>
    </row>
    <row r="182" spans="1:6">
      <c r="A182" s="3838" t="s">
        <v>3455</v>
      </c>
      <c r="B182" s="3838"/>
      <c r="C182" s="3841" t="s">
        <v>3485</v>
      </c>
      <c r="D182" s="3837" t="str">
        <f t="shared" si="13"/>
        <v>--106</v>
      </c>
      <c r="E182" s="3838" t="s">
        <v>3480</v>
      </c>
      <c r="F182" s="3842">
        <v>33.42</v>
      </c>
    </row>
    <row r="183" spans="1:6">
      <c r="A183" s="3838" t="s">
        <v>3455</v>
      </c>
      <c r="B183" s="3838"/>
      <c r="C183" s="3841" t="s">
        <v>3486</v>
      </c>
      <c r="D183" s="3837" t="str">
        <f t="shared" si="13"/>
        <v>--107</v>
      </c>
      <c r="E183" s="3838" t="s">
        <v>3480</v>
      </c>
      <c r="F183" s="3842">
        <v>33.42</v>
      </c>
    </row>
    <row r="184" spans="1:6">
      <c r="A184" s="3838" t="s">
        <v>3455</v>
      </c>
      <c r="B184" s="3838"/>
      <c r="C184" s="3841" t="s">
        <v>3487</v>
      </c>
      <c r="D184" s="3837" t="str">
        <f t="shared" si="13"/>
        <v>--108</v>
      </c>
      <c r="E184" s="3838" t="s">
        <v>3480</v>
      </c>
      <c r="F184" s="3842">
        <v>30.6</v>
      </c>
    </row>
    <row r="185" spans="1:6">
      <c r="A185" s="3838" t="s">
        <v>3455</v>
      </c>
      <c r="B185" s="3838"/>
      <c r="C185" s="3841" t="s">
        <v>3488</v>
      </c>
      <c r="D185" s="3837" t="str">
        <f t="shared" si="13"/>
        <v>--109</v>
      </c>
      <c r="E185" s="3838" t="s">
        <v>3480</v>
      </c>
      <c r="F185" s="3842">
        <v>30.6</v>
      </c>
    </row>
    <row r="186" spans="1:6">
      <c r="A186" s="3838" t="s">
        <v>3455</v>
      </c>
      <c r="B186" s="3838"/>
      <c r="C186" s="3841" t="s">
        <v>3489</v>
      </c>
      <c r="D186" s="3837" t="str">
        <f t="shared" si="13"/>
        <v>--110</v>
      </c>
      <c r="E186" s="3838" t="s">
        <v>3480</v>
      </c>
      <c r="F186" s="3842">
        <v>33.42</v>
      </c>
    </row>
    <row r="187" spans="1:6">
      <c r="A187" s="3838" t="s">
        <v>3455</v>
      </c>
      <c r="B187" s="3838"/>
      <c r="C187" s="3841" t="s">
        <v>3490</v>
      </c>
      <c r="D187" s="3837" t="str">
        <f t="shared" si="13"/>
        <v>--111</v>
      </c>
      <c r="E187" s="3838" t="s">
        <v>3480</v>
      </c>
      <c r="F187" s="3842">
        <v>33.42</v>
      </c>
    </row>
    <row r="188" spans="1:6">
      <c r="A188" s="3838" t="s">
        <v>3455</v>
      </c>
      <c r="B188" s="3838"/>
      <c r="C188" s="3841" t="s">
        <v>3491</v>
      </c>
      <c r="D188" s="3837" t="str">
        <f t="shared" si="13"/>
        <v>--112</v>
      </c>
      <c r="E188" s="3838" t="s">
        <v>3480</v>
      </c>
      <c r="F188" s="3842">
        <v>30.6</v>
      </c>
    </row>
    <row r="189" spans="1:6">
      <c r="A189" s="3838" t="s">
        <v>3455</v>
      </c>
      <c r="B189" s="3838"/>
      <c r="C189" s="3841" t="s">
        <v>3492</v>
      </c>
      <c r="D189" s="3837" t="str">
        <f t="shared" si="13"/>
        <v>--113</v>
      </c>
      <c r="E189" s="3838" t="s">
        <v>3480</v>
      </c>
      <c r="F189" s="3842">
        <v>30.6</v>
      </c>
    </row>
    <row r="190" spans="1:6">
      <c r="A190" s="3838" t="s">
        <v>3455</v>
      </c>
      <c r="B190" s="3838"/>
      <c r="C190" s="3841" t="s">
        <v>3493</v>
      </c>
      <c r="D190" s="3837" t="str">
        <f t="shared" si="13"/>
        <v>--114</v>
      </c>
      <c r="E190" s="3838" t="s">
        <v>3480</v>
      </c>
      <c r="F190" s="3842">
        <v>33.49</v>
      </c>
    </row>
    <row r="191" spans="1:6">
      <c r="A191" s="3838" t="s">
        <v>3455</v>
      </c>
      <c r="B191" s="3838"/>
      <c r="C191" s="3841" t="s">
        <v>3494</v>
      </c>
      <c r="D191" s="3837" t="str">
        <f t="shared" si="13"/>
        <v>--115</v>
      </c>
      <c r="E191" s="3838" t="s">
        <v>3480</v>
      </c>
      <c r="F191" s="3842">
        <v>30.7</v>
      </c>
    </row>
    <row r="192" spans="1:6">
      <c r="A192" s="3838" t="s">
        <v>3455</v>
      </c>
      <c r="B192" s="3838"/>
      <c r="C192" s="3841" t="s">
        <v>3495</v>
      </c>
      <c r="D192" s="3837" t="str">
        <f t="shared" si="13"/>
        <v>--116</v>
      </c>
      <c r="E192" s="3838" t="s">
        <v>3480</v>
      </c>
      <c r="F192" s="3842">
        <v>42.68</v>
      </c>
    </row>
    <row r="193" spans="1:6">
      <c r="A193" s="3838" t="s">
        <v>3456</v>
      </c>
      <c r="B193" s="3838">
        <v>1</v>
      </c>
      <c r="C193" s="3838">
        <v>101</v>
      </c>
      <c r="D193" s="3837" t="str">
        <f t="shared" ref="D193:D209" si="14">"1单元-"&amp;C193</f>
        <v>1单元-101</v>
      </c>
      <c r="E193" s="3838" t="s">
        <v>3386</v>
      </c>
      <c r="F193" s="3838">
        <v>117.22</v>
      </c>
    </row>
    <row r="194" spans="1:6">
      <c r="A194" s="3838" t="s">
        <v>3456</v>
      </c>
      <c r="B194" s="3838">
        <v>1</v>
      </c>
      <c r="C194" s="3838">
        <v>102</v>
      </c>
      <c r="D194" s="3837" t="str">
        <f t="shared" si="14"/>
        <v>1单元-102</v>
      </c>
      <c r="E194" s="3838" t="s">
        <v>3386</v>
      </c>
      <c r="F194" s="3838">
        <v>117.42</v>
      </c>
    </row>
    <row r="195" spans="1:6">
      <c r="A195" s="3838" t="s">
        <v>3456</v>
      </c>
      <c r="B195" s="3838">
        <v>1</v>
      </c>
      <c r="C195" s="3838">
        <v>201</v>
      </c>
      <c r="D195" s="3837" t="str">
        <f t="shared" si="14"/>
        <v>1单元-201</v>
      </c>
      <c r="E195" s="3838" t="s">
        <v>3386</v>
      </c>
      <c r="F195" s="3838">
        <v>117.22</v>
      </c>
    </row>
    <row r="196" spans="1:6">
      <c r="A196" s="3838" t="s">
        <v>3456</v>
      </c>
      <c r="B196" s="3838">
        <v>1</v>
      </c>
      <c r="C196" s="3838">
        <v>202</v>
      </c>
      <c r="D196" s="3837" t="str">
        <f t="shared" si="14"/>
        <v>1单元-202</v>
      </c>
      <c r="E196" s="3838" t="s">
        <v>3386</v>
      </c>
      <c r="F196" s="3838">
        <v>117.42</v>
      </c>
    </row>
    <row r="197" spans="1:6">
      <c r="A197" s="3838" t="s">
        <v>3456</v>
      </c>
      <c r="B197" s="3838">
        <v>1</v>
      </c>
      <c r="C197" s="3838">
        <v>301</v>
      </c>
      <c r="D197" s="3837" t="str">
        <f t="shared" si="14"/>
        <v>1单元-301</v>
      </c>
      <c r="E197" s="3838" t="s">
        <v>3386</v>
      </c>
      <c r="F197" s="3838">
        <v>117.22</v>
      </c>
    </row>
    <row r="198" spans="1:6">
      <c r="A198" s="3838" t="s">
        <v>3456</v>
      </c>
      <c r="B198" s="3838">
        <v>1</v>
      </c>
      <c r="C198" s="3838">
        <v>302</v>
      </c>
      <c r="D198" s="3837" t="str">
        <f t="shared" si="14"/>
        <v>1单元-302</v>
      </c>
      <c r="E198" s="3838" t="s">
        <v>3386</v>
      </c>
      <c r="F198" s="3838">
        <v>117.42</v>
      </c>
    </row>
    <row r="199" spans="1:6">
      <c r="A199" s="3838" t="s">
        <v>3456</v>
      </c>
      <c r="B199" s="3838">
        <v>1</v>
      </c>
      <c r="C199" s="3838">
        <v>401</v>
      </c>
      <c r="D199" s="3837" t="str">
        <f t="shared" si="14"/>
        <v>1单元-401</v>
      </c>
      <c r="E199" s="3838" t="s">
        <v>3386</v>
      </c>
      <c r="F199" s="3838">
        <v>117.22</v>
      </c>
    </row>
    <row r="200" spans="1:6">
      <c r="A200" s="3838" t="s">
        <v>3456</v>
      </c>
      <c r="B200" s="3838">
        <v>1</v>
      </c>
      <c r="C200" s="3838">
        <v>402</v>
      </c>
      <c r="D200" s="3837" t="str">
        <f t="shared" si="14"/>
        <v>1单元-402</v>
      </c>
      <c r="E200" s="3838" t="s">
        <v>3386</v>
      </c>
      <c r="F200" s="3838">
        <v>117.42</v>
      </c>
    </row>
    <row r="201" spans="1:6">
      <c r="A201" s="3838" t="s">
        <v>3456</v>
      </c>
      <c r="B201" s="3838">
        <v>1</v>
      </c>
      <c r="C201" s="3838">
        <v>501</v>
      </c>
      <c r="D201" s="3837" t="str">
        <f t="shared" si="14"/>
        <v>1单元-501</v>
      </c>
      <c r="E201" s="3838" t="s">
        <v>3386</v>
      </c>
      <c r="F201" s="3838">
        <v>117.22</v>
      </c>
    </row>
    <row r="202" spans="1:6">
      <c r="A202" s="3838" t="s">
        <v>3456</v>
      </c>
      <c r="B202" s="3838">
        <v>1</v>
      </c>
      <c r="C202" s="3838">
        <v>502</v>
      </c>
      <c r="D202" s="3837" t="str">
        <f t="shared" si="14"/>
        <v>1单元-502</v>
      </c>
      <c r="E202" s="3838" t="s">
        <v>3386</v>
      </c>
      <c r="F202" s="3838">
        <v>117.42</v>
      </c>
    </row>
    <row r="203" spans="1:6">
      <c r="A203" s="3838" t="s">
        <v>3456</v>
      </c>
      <c r="B203" s="3838">
        <v>1</v>
      </c>
      <c r="C203" s="3838">
        <v>602</v>
      </c>
      <c r="D203" s="3837" t="str">
        <f t="shared" si="14"/>
        <v>1单元-602</v>
      </c>
      <c r="E203" s="3838" t="s">
        <v>3386</v>
      </c>
      <c r="F203" s="3838">
        <v>117.42</v>
      </c>
    </row>
    <row r="204" spans="1:6">
      <c r="A204" s="3838" t="s">
        <v>3456</v>
      </c>
      <c r="B204" s="3838">
        <v>1</v>
      </c>
      <c r="C204" s="3838">
        <v>702</v>
      </c>
      <c r="D204" s="3837" t="str">
        <f t="shared" si="14"/>
        <v>1单元-702</v>
      </c>
      <c r="E204" s="3838" t="s">
        <v>3386</v>
      </c>
      <c r="F204" s="3838">
        <v>117.42</v>
      </c>
    </row>
    <row r="205" spans="1:6">
      <c r="A205" s="3838" t="s">
        <v>3456</v>
      </c>
      <c r="B205" s="3838">
        <v>1</v>
      </c>
      <c r="C205" s="3838">
        <v>802</v>
      </c>
      <c r="D205" s="3837" t="str">
        <f t="shared" si="14"/>
        <v>1单元-802</v>
      </c>
      <c r="E205" s="3838" t="s">
        <v>3386</v>
      </c>
      <c r="F205" s="3838">
        <v>117.42</v>
      </c>
    </row>
    <row r="206" spans="1:6">
      <c r="A206" s="3838" t="s">
        <v>3456</v>
      </c>
      <c r="B206" s="3838">
        <v>1</v>
      </c>
      <c r="C206" s="3838">
        <v>902</v>
      </c>
      <c r="D206" s="3837" t="str">
        <f t="shared" si="14"/>
        <v>1单元-902</v>
      </c>
      <c r="E206" s="3838" t="s">
        <v>3386</v>
      </c>
      <c r="F206" s="3838">
        <v>117.42</v>
      </c>
    </row>
    <row r="207" spans="1:6">
      <c r="A207" s="3838" t="s">
        <v>3456</v>
      </c>
      <c r="B207" s="3838">
        <v>1</v>
      </c>
      <c r="C207" s="3838">
        <v>1002</v>
      </c>
      <c r="D207" s="3837" t="str">
        <f t="shared" si="14"/>
        <v>1单元-1002</v>
      </c>
      <c r="E207" s="3838" t="s">
        <v>3386</v>
      </c>
      <c r="F207" s="3838">
        <v>117.42</v>
      </c>
    </row>
    <row r="208" spans="1:6">
      <c r="A208" s="3838" t="s">
        <v>3456</v>
      </c>
      <c r="B208" s="3838">
        <v>1</v>
      </c>
      <c r="C208" s="3838">
        <v>1101</v>
      </c>
      <c r="D208" s="3837" t="str">
        <f t="shared" si="14"/>
        <v>1单元-1101</v>
      </c>
      <c r="E208" s="3838" t="s">
        <v>3386</v>
      </c>
      <c r="F208" s="3838">
        <v>117.22</v>
      </c>
    </row>
    <row r="209" spans="1:6">
      <c r="A209" s="3838" t="s">
        <v>3456</v>
      </c>
      <c r="B209" s="3838">
        <v>1</v>
      </c>
      <c r="C209" s="3838">
        <v>1102</v>
      </c>
      <c r="D209" s="3837" t="str">
        <f t="shared" si="14"/>
        <v>1单元-1102</v>
      </c>
      <c r="E209" s="3838" t="s">
        <v>3386</v>
      </c>
      <c r="F209" s="3838">
        <v>117.42</v>
      </c>
    </row>
    <row r="210" spans="1:6">
      <c r="A210" s="3838" t="s">
        <v>3456</v>
      </c>
      <c r="B210" s="3838">
        <v>2</v>
      </c>
      <c r="C210" s="3838">
        <v>101</v>
      </c>
      <c r="D210" s="3837" t="str">
        <f t="shared" ref="D210:D227" si="15">"2单元-"&amp;C210</f>
        <v>2单元-101</v>
      </c>
      <c r="E210" s="3838" t="s">
        <v>3386</v>
      </c>
      <c r="F210" s="3838">
        <v>117.42</v>
      </c>
    </row>
    <row r="211" spans="1:6">
      <c r="A211" s="3838" t="s">
        <v>3456</v>
      </c>
      <c r="B211" s="3838">
        <v>2</v>
      </c>
      <c r="C211" s="3838">
        <v>102</v>
      </c>
      <c r="D211" s="3837" t="str">
        <f t="shared" si="15"/>
        <v>2单元-102</v>
      </c>
      <c r="E211" s="3838" t="s">
        <v>3386</v>
      </c>
      <c r="F211" s="3838">
        <v>117.22</v>
      </c>
    </row>
    <row r="212" spans="1:6">
      <c r="A212" s="3838" t="s">
        <v>3456</v>
      </c>
      <c r="B212" s="3838">
        <v>2</v>
      </c>
      <c r="C212" s="3838">
        <v>201</v>
      </c>
      <c r="D212" s="3837" t="str">
        <f t="shared" si="15"/>
        <v>2单元-201</v>
      </c>
      <c r="E212" s="3838" t="s">
        <v>3386</v>
      </c>
      <c r="F212" s="3838">
        <v>117.42</v>
      </c>
    </row>
    <row r="213" spans="1:6">
      <c r="A213" s="3838" t="s">
        <v>3456</v>
      </c>
      <c r="B213" s="3838">
        <v>2</v>
      </c>
      <c r="C213" s="3838">
        <v>202</v>
      </c>
      <c r="D213" s="3837" t="str">
        <f t="shared" si="15"/>
        <v>2单元-202</v>
      </c>
      <c r="E213" s="3838" t="s">
        <v>3386</v>
      </c>
      <c r="F213" s="3838">
        <v>117.22</v>
      </c>
    </row>
    <row r="214" spans="1:6">
      <c r="A214" s="3838" t="s">
        <v>3456</v>
      </c>
      <c r="B214" s="3838">
        <v>2</v>
      </c>
      <c r="C214" s="3838">
        <v>301</v>
      </c>
      <c r="D214" s="3837" t="str">
        <f t="shared" si="15"/>
        <v>2单元-301</v>
      </c>
      <c r="E214" s="3838" t="s">
        <v>3386</v>
      </c>
      <c r="F214" s="3838">
        <v>117.42</v>
      </c>
    </row>
    <row r="215" spans="1:6">
      <c r="A215" s="3838" t="s">
        <v>3456</v>
      </c>
      <c r="B215" s="3838">
        <v>2</v>
      </c>
      <c r="C215" s="3838">
        <v>302</v>
      </c>
      <c r="D215" s="3837" t="str">
        <f t="shared" si="15"/>
        <v>2单元-302</v>
      </c>
      <c r="E215" s="3838" t="s">
        <v>3386</v>
      </c>
      <c r="F215" s="3838">
        <v>117.22</v>
      </c>
    </row>
    <row r="216" spans="1:6">
      <c r="A216" s="3838" t="s">
        <v>3456</v>
      </c>
      <c r="B216" s="3838">
        <v>2</v>
      </c>
      <c r="C216" s="3838">
        <v>401</v>
      </c>
      <c r="D216" s="3837" t="str">
        <f t="shared" si="15"/>
        <v>2单元-401</v>
      </c>
      <c r="E216" s="3838" t="s">
        <v>3386</v>
      </c>
      <c r="F216" s="3838">
        <v>117.42</v>
      </c>
    </row>
    <row r="217" spans="1:6">
      <c r="A217" s="3838" t="s">
        <v>3456</v>
      </c>
      <c r="B217" s="3838">
        <v>2</v>
      </c>
      <c r="C217" s="3838">
        <v>402</v>
      </c>
      <c r="D217" s="3837" t="str">
        <f t="shared" si="15"/>
        <v>2单元-402</v>
      </c>
      <c r="E217" s="3838" t="s">
        <v>3386</v>
      </c>
      <c r="F217" s="3838">
        <v>117.22</v>
      </c>
    </row>
    <row r="218" spans="1:6">
      <c r="A218" s="3838" t="s">
        <v>3456</v>
      </c>
      <c r="B218" s="3838">
        <v>2</v>
      </c>
      <c r="C218" s="3838">
        <v>501</v>
      </c>
      <c r="D218" s="3837" t="str">
        <f t="shared" si="15"/>
        <v>2单元-501</v>
      </c>
      <c r="E218" s="3838" t="s">
        <v>3386</v>
      </c>
      <c r="F218" s="3838">
        <v>117.42</v>
      </c>
    </row>
    <row r="219" spans="1:6">
      <c r="A219" s="3838" t="s">
        <v>3456</v>
      </c>
      <c r="B219" s="3838">
        <v>2</v>
      </c>
      <c r="C219" s="3838">
        <v>502</v>
      </c>
      <c r="D219" s="3837" t="str">
        <f t="shared" si="15"/>
        <v>2单元-502</v>
      </c>
      <c r="E219" s="3838" t="s">
        <v>3386</v>
      </c>
      <c r="F219" s="3838">
        <v>117.22</v>
      </c>
    </row>
    <row r="220" spans="1:6">
      <c r="A220" s="3838" t="s">
        <v>3456</v>
      </c>
      <c r="B220" s="3838">
        <v>2</v>
      </c>
      <c r="C220" s="3838">
        <v>602</v>
      </c>
      <c r="D220" s="3837" t="str">
        <f t="shared" si="15"/>
        <v>2单元-602</v>
      </c>
      <c r="E220" s="3838" t="s">
        <v>3386</v>
      </c>
      <c r="F220" s="3838">
        <v>117.22</v>
      </c>
    </row>
    <row r="221" spans="1:6">
      <c r="A221" s="3838" t="s">
        <v>3456</v>
      </c>
      <c r="B221" s="3838">
        <v>2</v>
      </c>
      <c r="C221" s="3838">
        <v>701</v>
      </c>
      <c r="D221" s="3837" t="str">
        <f t="shared" si="15"/>
        <v>2单元-701</v>
      </c>
      <c r="E221" s="3838" t="s">
        <v>3386</v>
      </c>
      <c r="F221" s="3838">
        <v>117.42</v>
      </c>
    </row>
    <row r="222" spans="1:6">
      <c r="A222" s="3838" t="s">
        <v>3456</v>
      </c>
      <c r="B222" s="3838">
        <v>2</v>
      </c>
      <c r="C222" s="3838">
        <v>702</v>
      </c>
      <c r="D222" s="3837" t="str">
        <f t="shared" si="15"/>
        <v>2单元-702</v>
      </c>
      <c r="E222" s="3838" t="s">
        <v>3386</v>
      </c>
      <c r="F222" s="3838">
        <v>117.22</v>
      </c>
    </row>
    <row r="223" spans="1:6">
      <c r="A223" s="3838" t="s">
        <v>3456</v>
      </c>
      <c r="B223" s="3838">
        <v>2</v>
      </c>
      <c r="C223" s="3838">
        <v>802</v>
      </c>
      <c r="D223" s="3837" t="str">
        <f t="shared" si="15"/>
        <v>2单元-802</v>
      </c>
      <c r="E223" s="3838" t="s">
        <v>3386</v>
      </c>
      <c r="F223" s="3838">
        <v>117.22</v>
      </c>
    </row>
    <row r="224" spans="1:6">
      <c r="A224" s="3838" t="s">
        <v>3456</v>
      </c>
      <c r="B224" s="3838">
        <v>2</v>
      </c>
      <c r="C224" s="3838">
        <v>901</v>
      </c>
      <c r="D224" s="3837" t="str">
        <f t="shared" si="15"/>
        <v>2单元-901</v>
      </c>
      <c r="E224" s="3838" t="s">
        <v>3386</v>
      </c>
      <c r="F224" s="3838">
        <v>117.42</v>
      </c>
    </row>
    <row r="225" spans="1:6">
      <c r="A225" s="3838" t="s">
        <v>3456</v>
      </c>
      <c r="B225" s="3838">
        <v>2</v>
      </c>
      <c r="C225" s="3838">
        <v>902</v>
      </c>
      <c r="D225" s="3837" t="str">
        <f t="shared" si="15"/>
        <v>2单元-902</v>
      </c>
      <c r="E225" s="3838" t="s">
        <v>3386</v>
      </c>
      <c r="F225" s="3838">
        <v>117.22</v>
      </c>
    </row>
    <row r="226" spans="1:6">
      <c r="A226" s="3838" t="s">
        <v>3456</v>
      </c>
      <c r="B226" s="3838">
        <v>2</v>
      </c>
      <c r="C226" s="3838">
        <v>1101</v>
      </c>
      <c r="D226" s="3837" t="str">
        <f t="shared" si="15"/>
        <v>2单元-1101</v>
      </c>
      <c r="E226" s="3838" t="s">
        <v>3386</v>
      </c>
      <c r="F226" s="3838">
        <v>117.42</v>
      </c>
    </row>
    <row r="227" spans="1:6">
      <c r="A227" s="3838" t="s">
        <v>3456</v>
      </c>
      <c r="B227" s="3838">
        <v>2</v>
      </c>
      <c r="C227" s="3838">
        <v>1102</v>
      </c>
      <c r="D227" s="3837" t="str">
        <f t="shared" si="15"/>
        <v>2单元-1102</v>
      </c>
      <c r="E227" s="3838" t="s">
        <v>3386</v>
      </c>
      <c r="F227" s="3838">
        <v>117.22</v>
      </c>
    </row>
    <row r="228" spans="1:6">
      <c r="A228" s="3838" t="s">
        <v>3456</v>
      </c>
      <c r="B228" s="3838"/>
      <c r="C228" s="3841" t="s">
        <v>3479</v>
      </c>
      <c r="D228" s="3837" t="str">
        <f t="shared" ref="D228:D239" si="16">"-"&amp;C228</f>
        <v>--101</v>
      </c>
      <c r="E228" s="3838" t="s">
        <v>3480</v>
      </c>
      <c r="F228" s="3842">
        <v>39.67</v>
      </c>
    </row>
    <row r="229" spans="1:6">
      <c r="A229" s="3838" t="s">
        <v>3456</v>
      </c>
      <c r="B229" s="3838"/>
      <c r="C229" s="3841" t="s">
        <v>3481</v>
      </c>
      <c r="D229" s="3837" t="str">
        <f t="shared" si="16"/>
        <v>--102</v>
      </c>
      <c r="E229" s="3838" t="s">
        <v>3480</v>
      </c>
      <c r="F229" s="3842">
        <v>26.83</v>
      </c>
    </row>
    <row r="230" spans="1:6">
      <c r="A230" s="3838" t="s">
        <v>3456</v>
      </c>
      <c r="B230" s="3838"/>
      <c r="C230" s="3841" t="s">
        <v>3482</v>
      </c>
      <c r="D230" s="3837" t="str">
        <f t="shared" si="16"/>
        <v>--103</v>
      </c>
      <c r="E230" s="3838" t="s">
        <v>3480</v>
      </c>
      <c r="F230" s="3842">
        <v>25.84</v>
      </c>
    </row>
    <row r="231" spans="1:6">
      <c r="A231" s="3838" t="s">
        <v>3456</v>
      </c>
      <c r="B231" s="3838"/>
      <c r="C231" s="3841" t="s">
        <v>3483</v>
      </c>
      <c r="D231" s="3837" t="str">
        <f t="shared" si="16"/>
        <v>--104</v>
      </c>
      <c r="E231" s="3838" t="s">
        <v>3480</v>
      </c>
      <c r="F231" s="3842">
        <v>25.75</v>
      </c>
    </row>
    <row r="232" spans="1:6">
      <c r="A232" s="3838" t="s">
        <v>3456</v>
      </c>
      <c r="B232" s="3838"/>
      <c r="C232" s="3841" t="s">
        <v>3484</v>
      </c>
      <c r="D232" s="3837" t="str">
        <f t="shared" si="16"/>
        <v>--105</v>
      </c>
      <c r="E232" s="3838" t="s">
        <v>3480</v>
      </c>
      <c r="F232" s="3842">
        <v>26.21</v>
      </c>
    </row>
    <row r="233" spans="1:6">
      <c r="A233" s="3838" t="s">
        <v>3456</v>
      </c>
      <c r="B233" s="3838"/>
      <c r="C233" s="3841" t="s">
        <v>3485</v>
      </c>
      <c r="D233" s="3837" t="str">
        <f t="shared" si="16"/>
        <v>--106</v>
      </c>
      <c r="E233" s="3838" t="s">
        <v>3480</v>
      </c>
      <c r="F233" s="3842">
        <v>40.11</v>
      </c>
    </row>
    <row r="234" spans="1:6">
      <c r="A234" s="3838" t="s">
        <v>3456</v>
      </c>
      <c r="B234" s="3838"/>
      <c r="C234" s="3841" t="s">
        <v>3486</v>
      </c>
      <c r="D234" s="3837" t="str">
        <f t="shared" si="16"/>
        <v>--107</v>
      </c>
      <c r="E234" s="3838" t="s">
        <v>3480</v>
      </c>
      <c r="F234" s="3842">
        <v>40.11</v>
      </c>
    </row>
    <row r="235" spans="1:6">
      <c r="A235" s="3838" t="s">
        <v>3456</v>
      </c>
      <c r="B235" s="3838"/>
      <c r="C235" s="3841" t="s">
        <v>3487</v>
      </c>
      <c r="D235" s="3837" t="str">
        <f t="shared" si="16"/>
        <v>--108</v>
      </c>
      <c r="E235" s="3838" t="s">
        <v>3480</v>
      </c>
      <c r="F235" s="3842">
        <v>26.21</v>
      </c>
    </row>
    <row r="236" spans="1:6">
      <c r="A236" s="3838" t="s">
        <v>3456</v>
      </c>
      <c r="B236" s="3838"/>
      <c r="C236" s="3841" t="s">
        <v>3488</v>
      </c>
      <c r="D236" s="3837" t="str">
        <f t="shared" si="16"/>
        <v>--109</v>
      </c>
      <c r="E236" s="3838" t="s">
        <v>3480</v>
      </c>
      <c r="F236" s="3842">
        <v>25.75</v>
      </c>
    </row>
    <row r="237" spans="1:6">
      <c r="A237" s="3838" t="s">
        <v>3456</v>
      </c>
      <c r="B237" s="3838"/>
      <c r="C237" s="3841" t="s">
        <v>3489</v>
      </c>
      <c r="D237" s="3837" t="str">
        <f t="shared" si="16"/>
        <v>--110</v>
      </c>
      <c r="E237" s="3838" t="s">
        <v>3480</v>
      </c>
      <c r="F237" s="3842">
        <v>25.84</v>
      </c>
    </row>
    <row r="238" spans="1:6">
      <c r="A238" s="3838" t="s">
        <v>3456</v>
      </c>
      <c r="B238" s="3838"/>
      <c r="C238" s="3841" t="s">
        <v>3490</v>
      </c>
      <c r="D238" s="3837" t="str">
        <f t="shared" si="16"/>
        <v>--111</v>
      </c>
      <c r="E238" s="3838" t="s">
        <v>3480</v>
      </c>
      <c r="F238" s="3842">
        <v>26.83</v>
      </c>
    </row>
    <row r="239" spans="1:6">
      <c r="A239" s="3838" t="s">
        <v>3456</v>
      </c>
      <c r="B239" s="3838"/>
      <c r="C239" s="3841" t="s">
        <v>3491</v>
      </c>
      <c r="D239" s="3837" t="str">
        <f t="shared" si="16"/>
        <v>--112</v>
      </c>
      <c r="E239" s="3838" t="s">
        <v>3480</v>
      </c>
      <c r="F239" s="3842">
        <v>41.88</v>
      </c>
    </row>
    <row r="240" spans="1:6">
      <c r="A240" s="3838" t="s">
        <v>3457</v>
      </c>
      <c r="B240" s="3838">
        <v>1</v>
      </c>
      <c r="C240" s="3838">
        <v>101</v>
      </c>
      <c r="D240" s="3837" t="str">
        <f>"1单元-"&amp;C240</f>
        <v>1单元-101</v>
      </c>
      <c r="E240" s="3838" t="s">
        <v>3386</v>
      </c>
      <c r="F240" s="3838">
        <v>117.23</v>
      </c>
    </row>
    <row r="241" spans="1:6">
      <c r="A241" s="3838" t="s">
        <v>3457</v>
      </c>
      <c r="B241" s="3838">
        <v>1</v>
      </c>
      <c r="C241" s="3838">
        <v>102</v>
      </c>
      <c r="D241" s="3837" t="str">
        <f>"1单元-"&amp;C241</f>
        <v>1单元-102</v>
      </c>
      <c r="E241" s="3838" t="s">
        <v>3386</v>
      </c>
      <c r="F241" s="3838">
        <v>117.43</v>
      </c>
    </row>
    <row r="242" spans="1:6">
      <c r="A242" s="3838" t="s">
        <v>3457</v>
      </c>
      <c r="B242" s="3838">
        <v>1</v>
      </c>
      <c r="C242" s="3838">
        <v>201</v>
      </c>
      <c r="D242" s="3837" t="str">
        <f>"1单元-"&amp;C242</f>
        <v>1单元-201</v>
      </c>
      <c r="E242" s="3838" t="s">
        <v>3386</v>
      </c>
      <c r="F242" s="3838">
        <v>117.23</v>
      </c>
    </row>
    <row r="243" spans="1:6">
      <c r="A243" s="3838" t="s">
        <v>3457</v>
      </c>
      <c r="B243" s="3838">
        <v>2</v>
      </c>
      <c r="C243" s="3838">
        <v>101</v>
      </c>
      <c r="D243" s="3837" t="str">
        <f t="shared" ref="D243:D248" si="17">"2单元-"&amp;C243</f>
        <v>2单元-101</v>
      </c>
      <c r="E243" s="3838" t="s">
        <v>3386</v>
      </c>
      <c r="F243" s="3838">
        <v>117.43</v>
      </c>
    </row>
    <row r="244" spans="1:6">
      <c r="A244" s="3838" t="s">
        <v>3457</v>
      </c>
      <c r="B244" s="3838">
        <v>2</v>
      </c>
      <c r="C244" s="3838">
        <v>102</v>
      </c>
      <c r="D244" s="3837" t="str">
        <f t="shared" si="17"/>
        <v>2单元-102</v>
      </c>
      <c r="E244" s="3838" t="s">
        <v>3386</v>
      </c>
      <c r="F244" s="3838">
        <v>117.23</v>
      </c>
    </row>
    <row r="245" spans="1:6">
      <c r="A245" s="3838" t="s">
        <v>3457</v>
      </c>
      <c r="B245" s="3838">
        <v>2</v>
      </c>
      <c r="C245" s="3838">
        <v>201</v>
      </c>
      <c r="D245" s="3837" t="str">
        <f t="shared" si="17"/>
        <v>2单元-201</v>
      </c>
      <c r="E245" s="3838" t="s">
        <v>3386</v>
      </c>
      <c r="F245" s="3838">
        <v>117.43</v>
      </c>
    </row>
    <row r="246" spans="1:6">
      <c r="A246" s="3838" t="s">
        <v>3457</v>
      </c>
      <c r="B246" s="3838">
        <v>2</v>
      </c>
      <c r="C246" s="3838">
        <v>202</v>
      </c>
      <c r="D246" s="3837" t="str">
        <f t="shared" si="17"/>
        <v>2单元-202</v>
      </c>
      <c r="E246" s="3838" t="s">
        <v>3386</v>
      </c>
      <c r="F246" s="3838">
        <v>117.23</v>
      </c>
    </row>
    <row r="247" spans="1:6">
      <c r="A247" s="3838" t="s">
        <v>3457</v>
      </c>
      <c r="B247" s="3838">
        <v>2</v>
      </c>
      <c r="C247" s="3838">
        <v>302</v>
      </c>
      <c r="D247" s="3837" t="str">
        <f t="shared" si="17"/>
        <v>2单元-302</v>
      </c>
      <c r="E247" s="3838" t="s">
        <v>3386</v>
      </c>
      <c r="F247" s="3838">
        <v>117.23</v>
      </c>
    </row>
    <row r="248" spans="1:6">
      <c r="A248" s="3838" t="s">
        <v>3457</v>
      </c>
      <c r="B248" s="3838">
        <v>2</v>
      </c>
      <c r="C248" s="3838">
        <v>1101</v>
      </c>
      <c r="D248" s="3837" t="str">
        <f t="shared" si="17"/>
        <v>2单元-1101</v>
      </c>
      <c r="E248" s="3838" t="s">
        <v>3386</v>
      </c>
      <c r="F248" s="3838">
        <v>117.43</v>
      </c>
    </row>
    <row r="249" spans="1:6">
      <c r="A249" s="3838" t="s">
        <v>3457</v>
      </c>
      <c r="B249" s="3838"/>
      <c r="C249" s="3841" t="s">
        <v>3479</v>
      </c>
      <c r="D249" s="3837" t="str">
        <f t="shared" ref="D249:D269" si="18">"-"&amp;C249</f>
        <v>--101</v>
      </c>
      <c r="E249" s="3838" t="s">
        <v>3480</v>
      </c>
      <c r="F249" s="3842">
        <v>39.85</v>
      </c>
    </row>
    <row r="250" spans="1:6">
      <c r="A250" s="3838" t="s">
        <v>3457</v>
      </c>
      <c r="B250" s="3838"/>
      <c r="C250" s="3841" t="s">
        <v>3481</v>
      </c>
      <c r="D250" s="3837" t="str">
        <f t="shared" si="18"/>
        <v>--102</v>
      </c>
      <c r="E250" s="3838" t="s">
        <v>3480</v>
      </c>
      <c r="F250" s="3842">
        <v>26.96</v>
      </c>
    </row>
    <row r="251" spans="1:6">
      <c r="A251" s="3838" t="s">
        <v>3457</v>
      </c>
      <c r="B251" s="3838"/>
      <c r="C251" s="3841" t="s">
        <v>3482</v>
      </c>
      <c r="D251" s="3837" t="str">
        <f t="shared" si="18"/>
        <v>--103</v>
      </c>
      <c r="E251" s="3838" t="s">
        <v>3480</v>
      </c>
      <c r="F251" s="3842">
        <v>25.96</v>
      </c>
    </row>
    <row r="252" spans="1:6">
      <c r="A252" s="3838" t="s">
        <v>3457</v>
      </c>
      <c r="B252" s="3838"/>
      <c r="C252" s="3841" t="s">
        <v>3483</v>
      </c>
      <c r="D252" s="3837" t="str">
        <f t="shared" si="18"/>
        <v>--104</v>
      </c>
      <c r="E252" s="3838" t="s">
        <v>3480</v>
      </c>
      <c r="F252" s="3842">
        <v>25.87</v>
      </c>
    </row>
    <row r="253" spans="1:6">
      <c r="A253" s="3838" t="s">
        <v>3457</v>
      </c>
      <c r="B253" s="3838"/>
      <c r="C253" s="3841" t="s">
        <v>3484</v>
      </c>
      <c r="D253" s="3837" t="str">
        <f t="shared" si="18"/>
        <v>--105</v>
      </c>
      <c r="E253" s="3838" t="s">
        <v>3480</v>
      </c>
      <c r="F253" s="3842">
        <v>26.33</v>
      </c>
    </row>
    <row r="254" spans="1:6">
      <c r="A254" s="3838" t="s">
        <v>3457</v>
      </c>
      <c r="B254" s="3838"/>
      <c r="C254" s="3841" t="s">
        <v>3485</v>
      </c>
      <c r="D254" s="3837" t="str">
        <f t="shared" si="18"/>
        <v>--106</v>
      </c>
      <c r="E254" s="3838" t="s">
        <v>3480</v>
      </c>
      <c r="F254" s="3842">
        <v>40.299999999999997</v>
      </c>
    </row>
    <row r="255" spans="1:6">
      <c r="A255" s="3838" t="s">
        <v>3457</v>
      </c>
      <c r="B255" s="3838"/>
      <c r="C255" s="3841" t="s">
        <v>3486</v>
      </c>
      <c r="D255" s="3837" t="str">
        <f t="shared" si="18"/>
        <v>--107</v>
      </c>
      <c r="E255" s="3838" t="s">
        <v>3480</v>
      </c>
      <c r="F255" s="3842">
        <v>40.299999999999997</v>
      </c>
    </row>
    <row r="256" spans="1:6">
      <c r="A256" s="3838" t="s">
        <v>3457</v>
      </c>
      <c r="B256" s="3838"/>
      <c r="C256" s="3841" t="s">
        <v>3487</v>
      </c>
      <c r="D256" s="3837" t="str">
        <f t="shared" si="18"/>
        <v>--108</v>
      </c>
      <c r="E256" s="3838" t="s">
        <v>3480</v>
      </c>
      <c r="F256" s="3842">
        <v>26.33</v>
      </c>
    </row>
    <row r="257" spans="1:6">
      <c r="A257" s="3838" t="s">
        <v>3457</v>
      </c>
      <c r="B257" s="3838"/>
      <c r="C257" s="3841" t="s">
        <v>3488</v>
      </c>
      <c r="D257" s="3837" t="str">
        <f t="shared" si="18"/>
        <v>--109</v>
      </c>
      <c r="E257" s="3838" t="s">
        <v>3480</v>
      </c>
      <c r="F257" s="3842">
        <v>25.87</v>
      </c>
    </row>
    <row r="258" spans="1:6">
      <c r="A258" s="3838" t="s">
        <v>3457</v>
      </c>
      <c r="B258" s="3838"/>
      <c r="C258" s="3841" t="s">
        <v>3489</v>
      </c>
      <c r="D258" s="3837" t="str">
        <f t="shared" si="18"/>
        <v>--110</v>
      </c>
      <c r="E258" s="3838" t="s">
        <v>3480</v>
      </c>
      <c r="F258" s="3842">
        <v>25.96</v>
      </c>
    </row>
    <row r="259" spans="1:6">
      <c r="A259" s="3838" t="s">
        <v>3457</v>
      </c>
      <c r="B259" s="3838"/>
      <c r="C259" s="3841" t="s">
        <v>3490</v>
      </c>
      <c r="D259" s="3837" t="str">
        <f t="shared" si="18"/>
        <v>--111</v>
      </c>
      <c r="E259" s="3838" t="s">
        <v>3480</v>
      </c>
      <c r="F259" s="3842">
        <v>26.96</v>
      </c>
    </row>
    <row r="260" spans="1:6">
      <c r="A260" s="3838" t="s">
        <v>3457</v>
      </c>
      <c r="B260" s="3838"/>
      <c r="C260" s="3841" t="s">
        <v>3491</v>
      </c>
      <c r="D260" s="3837" t="str">
        <f t="shared" si="18"/>
        <v>--112</v>
      </c>
      <c r="E260" s="3838" t="s">
        <v>3480</v>
      </c>
      <c r="F260" s="3842">
        <v>39.85</v>
      </c>
    </row>
    <row r="261" spans="1:6">
      <c r="A261" s="3838" t="s">
        <v>3458</v>
      </c>
      <c r="B261" s="3838"/>
      <c r="C261" s="3841" t="s">
        <v>3479</v>
      </c>
      <c r="D261" s="3837" t="str">
        <f t="shared" si="18"/>
        <v>--101</v>
      </c>
      <c r="E261" s="3838" t="s">
        <v>3480</v>
      </c>
      <c r="F261" s="3842">
        <v>39.72</v>
      </c>
    </row>
    <row r="262" spans="1:6">
      <c r="A262" s="3838" t="s">
        <v>3458</v>
      </c>
      <c r="B262" s="3838"/>
      <c r="C262" s="3841" t="s">
        <v>3481</v>
      </c>
      <c r="D262" s="3837" t="str">
        <f t="shared" si="18"/>
        <v>--102</v>
      </c>
      <c r="E262" s="3838" t="s">
        <v>3480</v>
      </c>
      <c r="F262" s="3842">
        <v>29.09</v>
      </c>
    </row>
    <row r="263" spans="1:6">
      <c r="A263" s="3838" t="s">
        <v>3458</v>
      </c>
      <c r="B263" s="3838"/>
      <c r="C263" s="3841" t="s">
        <v>3482</v>
      </c>
      <c r="D263" s="3837" t="str">
        <f t="shared" si="18"/>
        <v>--103</v>
      </c>
      <c r="E263" s="3838" t="s">
        <v>3480</v>
      </c>
      <c r="F263" s="3842">
        <v>32.25</v>
      </c>
    </row>
    <row r="264" spans="1:6">
      <c r="A264" s="3838" t="s">
        <v>3458</v>
      </c>
      <c r="B264" s="3838"/>
      <c r="C264" s="3841" t="s">
        <v>3483</v>
      </c>
      <c r="D264" s="3837" t="str">
        <f t="shared" si="18"/>
        <v>--104</v>
      </c>
      <c r="E264" s="3838" t="s">
        <v>3480</v>
      </c>
      <c r="F264" s="3842">
        <v>30.05</v>
      </c>
    </row>
    <row r="265" spans="1:6">
      <c r="A265" s="3838" t="s">
        <v>3458</v>
      </c>
      <c r="B265" s="3838"/>
      <c r="C265" s="3841" t="s">
        <v>3484</v>
      </c>
      <c r="D265" s="3837" t="str">
        <f t="shared" si="18"/>
        <v>--105</v>
      </c>
      <c r="E265" s="3838" t="s">
        <v>3480</v>
      </c>
      <c r="F265" s="3842">
        <v>30.05</v>
      </c>
    </row>
    <row r="266" spans="1:6">
      <c r="A266" s="3838" t="s">
        <v>3458</v>
      </c>
      <c r="B266" s="3838"/>
      <c r="C266" s="3841" t="s">
        <v>3485</v>
      </c>
      <c r="D266" s="3837" t="str">
        <f t="shared" si="18"/>
        <v>--106</v>
      </c>
      <c r="E266" s="3838" t="s">
        <v>3480</v>
      </c>
      <c r="F266" s="3842">
        <v>32.25</v>
      </c>
    </row>
    <row r="267" spans="1:6">
      <c r="A267" s="3838" t="s">
        <v>3458</v>
      </c>
      <c r="B267" s="3838"/>
      <c r="C267" s="3841" t="s">
        <v>3486</v>
      </c>
      <c r="D267" s="3837" t="str">
        <f t="shared" si="18"/>
        <v>--107</v>
      </c>
      <c r="E267" s="3838" t="s">
        <v>3480</v>
      </c>
      <c r="F267" s="3842">
        <v>30.92</v>
      </c>
    </row>
    <row r="268" spans="1:6">
      <c r="A268" s="3838" t="s">
        <v>3458</v>
      </c>
      <c r="B268" s="3838"/>
      <c r="C268" s="3841" t="s">
        <v>3487</v>
      </c>
      <c r="D268" s="3837" t="str">
        <f t="shared" si="18"/>
        <v>--108</v>
      </c>
      <c r="E268" s="3838" t="s">
        <v>3480</v>
      </c>
      <c r="F268" s="3842">
        <v>32.61</v>
      </c>
    </row>
    <row r="269" spans="1:6">
      <c r="A269" s="3838" t="s">
        <v>3458</v>
      </c>
      <c r="B269" s="3838"/>
      <c r="C269" s="3841" t="s">
        <v>3488</v>
      </c>
      <c r="D269" s="3837" t="str">
        <f t="shared" si="18"/>
        <v>--109</v>
      </c>
      <c r="E269" s="3838" t="s">
        <v>3480</v>
      </c>
      <c r="F269" s="3842">
        <v>16.739999999999998</v>
      </c>
    </row>
    <row r="270" spans="1:6">
      <c r="A270" s="3838" t="s">
        <v>3459</v>
      </c>
      <c r="B270" s="3838">
        <v>2</v>
      </c>
      <c r="C270" s="3838">
        <v>201</v>
      </c>
      <c r="D270" s="3837" t="str">
        <f>"2单元-"&amp;C270</f>
        <v>2单元-201</v>
      </c>
      <c r="E270" s="3838" t="s">
        <v>3386</v>
      </c>
      <c r="F270" s="3838">
        <v>87.68</v>
      </c>
    </row>
    <row r="271" spans="1:6">
      <c r="A271" s="3838" t="s">
        <v>3459</v>
      </c>
      <c r="B271" s="3838">
        <v>2</v>
      </c>
      <c r="C271" s="3838">
        <v>102</v>
      </c>
      <c r="D271" s="3837" t="str">
        <f>"2单元-"&amp;C271</f>
        <v>2单元-102</v>
      </c>
      <c r="E271" s="3838" t="s">
        <v>3386</v>
      </c>
      <c r="F271" s="3838">
        <v>86.51</v>
      </c>
    </row>
    <row r="272" spans="1:6">
      <c r="A272" s="3838" t="s">
        <v>3459</v>
      </c>
      <c r="B272" s="3838"/>
      <c r="C272" s="3841" t="s">
        <v>3479</v>
      </c>
      <c r="D272" s="3837" t="str">
        <f t="shared" ref="D272:D281" si="19">"-"&amp;C272</f>
        <v>--101</v>
      </c>
      <c r="E272" s="3838" t="s">
        <v>3480</v>
      </c>
      <c r="F272" s="3838">
        <v>40.450000000000003</v>
      </c>
    </row>
    <row r="273" spans="1:6">
      <c r="A273" s="3838" t="s">
        <v>3459</v>
      </c>
      <c r="B273" s="3838"/>
      <c r="C273" s="3841" t="s">
        <v>3481</v>
      </c>
      <c r="D273" s="3837" t="str">
        <f t="shared" si="19"/>
        <v>--102</v>
      </c>
      <c r="E273" s="3838" t="s">
        <v>3480</v>
      </c>
      <c r="F273" s="3838">
        <v>29.62</v>
      </c>
    </row>
    <row r="274" spans="1:6">
      <c r="A274" s="3838" t="s">
        <v>3459</v>
      </c>
      <c r="B274" s="3838"/>
      <c r="C274" s="3841" t="s">
        <v>3482</v>
      </c>
      <c r="D274" s="3837" t="str">
        <f t="shared" si="19"/>
        <v>--103</v>
      </c>
      <c r="E274" s="3838" t="s">
        <v>3480</v>
      </c>
      <c r="F274" s="3838">
        <v>48</v>
      </c>
    </row>
    <row r="275" spans="1:6">
      <c r="A275" s="3838" t="s">
        <v>3459</v>
      </c>
      <c r="B275" s="3838"/>
      <c r="C275" s="3841" t="s">
        <v>3483</v>
      </c>
      <c r="D275" s="3837" t="str">
        <f t="shared" si="19"/>
        <v>--104</v>
      </c>
      <c r="E275" s="3838" t="s">
        <v>3480</v>
      </c>
      <c r="F275" s="3838">
        <v>20.72</v>
      </c>
    </row>
    <row r="276" spans="1:6">
      <c r="A276" s="3838" t="s">
        <v>3459</v>
      </c>
      <c r="B276" s="3838"/>
      <c r="C276" s="3841" t="s">
        <v>3484</v>
      </c>
      <c r="D276" s="3837" t="str">
        <f t="shared" si="19"/>
        <v>--105</v>
      </c>
      <c r="E276" s="3838" t="s">
        <v>3480</v>
      </c>
      <c r="F276" s="3838">
        <v>20.72</v>
      </c>
    </row>
    <row r="277" spans="1:6">
      <c r="A277" s="3838" t="s">
        <v>3459</v>
      </c>
      <c r="B277" s="3838"/>
      <c r="C277" s="3839" t="s">
        <v>3485</v>
      </c>
      <c r="D277" s="3837" t="str">
        <f t="shared" si="19"/>
        <v>--106</v>
      </c>
      <c r="E277" s="3838" t="s">
        <v>3480</v>
      </c>
      <c r="F277" s="3838">
        <v>48</v>
      </c>
    </row>
    <row r="278" spans="1:6">
      <c r="A278" s="3838" t="s">
        <v>3459</v>
      </c>
      <c r="B278" s="3838"/>
      <c r="C278" s="3839" t="s">
        <v>3486</v>
      </c>
      <c r="D278" s="3837" t="str">
        <f t="shared" si="19"/>
        <v>--107</v>
      </c>
      <c r="E278" s="3838" t="s">
        <v>3480</v>
      </c>
      <c r="F278" s="3838">
        <v>29.62</v>
      </c>
    </row>
    <row r="279" spans="1:6">
      <c r="A279" s="3838" t="s">
        <v>3459</v>
      </c>
      <c r="B279" s="3838"/>
      <c r="C279" s="3839" t="s">
        <v>3487</v>
      </c>
      <c r="D279" s="3837" t="str">
        <f t="shared" si="19"/>
        <v>--108</v>
      </c>
      <c r="E279" s="3838" t="s">
        <v>3480</v>
      </c>
      <c r="F279" s="3838">
        <v>40.29</v>
      </c>
    </row>
    <row r="280" spans="1:6">
      <c r="A280" s="3838" t="s">
        <v>3459</v>
      </c>
      <c r="B280" s="3838"/>
      <c r="C280" s="3839" t="s">
        <v>3488</v>
      </c>
      <c r="D280" s="3837" t="str">
        <f t="shared" si="19"/>
        <v>--109</v>
      </c>
      <c r="E280" s="3838" t="s">
        <v>3480</v>
      </c>
      <c r="F280" s="3838">
        <v>12.08</v>
      </c>
    </row>
    <row r="281" spans="1:6">
      <c r="A281" s="3838" t="s">
        <v>3459</v>
      </c>
      <c r="B281" s="3838"/>
      <c r="C281" s="3839" t="s">
        <v>3489</v>
      </c>
      <c r="D281" s="3837" t="str">
        <f t="shared" si="19"/>
        <v>--110</v>
      </c>
      <c r="E281" s="3838" t="s">
        <v>3480</v>
      </c>
      <c r="F281" s="3838">
        <v>12.08</v>
      </c>
    </row>
    <row r="282" spans="1:6">
      <c r="A282" s="3838" t="s">
        <v>3460</v>
      </c>
      <c r="B282" s="3838">
        <v>1</v>
      </c>
      <c r="C282" s="3838">
        <v>101</v>
      </c>
      <c r="D282" s="3837" t="str">
        <f>"1单元-"&amp;C282</f>
        <v>1单元-101</v>
      </c>
      <c r="E282" s="3838" t="s">
        <v>3386</v>
      </c>
      <c r="F282" s="3838">
        <v>86.43</v>
      </c>
    </row>
    <row r="283" spans="1:6">
      <c r="A283" s="3838" t="s">
        <v>3460</v>
      </c>
      <c r="B283" s="3838">
        <v>2</v>
      </c>
      <c r="C283" s="3838">
        <v>102</v>
      </c>
      <c r="D283" s="3837" t="str">
        <f>"2单元-"&amp;C283</f>
        <v>2单元-102</v>
      </c>
      <c r="E283" s="3838" t="s">
        <v>3386</v>
      </c>
      <c r="F283" s="3838">
        <v>86.43</v>
      </c>
    </row>
    <row r="284" spans="1:6">
      <c r="A284" s="3838" t="s">
        <v>3460</v>
      </c>
      <c r="B284" s="3838"/>
      <c r="C284" s="3841" t="s">
        <v>3479</v>
      </c>
      <c r="D284" s="3837" t="str">
        <f t="shared" ref="D284:D293" si="20">"-"&amp;C284</f>
        <v>--101</v>
      </c>
      <c r="E284" s="3838" t="s">
        <v>3480</v>
      </c>
      <c r="F284" s="3842">
        <v>40.15</v>
      </c>
    </row>
    <row r="285" spans="1:6">
      <c r="A285" s="3838" t="s">
        <v>3460</v>
      </c>
      <c r="B285" s="3838"/>
      <c r="C285" s="3841" t="s">
        <v>3481</v>
      </c>
      <c r="D285" s="3837" t="str">
        <f t="shared" si="20"/>
        <v>--102</v>
      </c>
      <c r="E285" s="3838" t="s">
        <v>3480</v>
      </c>
      <c r="F285" s="3842">
        <v>29.41</v>
      </c>
    </row>
    <row r="286" spans="1:6">
      <c r="A286" s="3838" t="s">
        <v>3460</v>
      </c>
      <c r="B286" s="3838"/>
      <c r="C286" s="3841" t="s">
        <v>3482</v>
      </c>
      <c r="D286" s="3837" t="str">
        <f t="shared" si="20"/>
        <v>--103</v>
      </c>
      <c r="E286" s="3838" t="s">
        <v>3480</v>
      </c>
      <c r="F286" s="3842">
        <v>48.04</v>
      </c>
    </row>
    <row r="287" spans="1:6">
      <c r="A287" s="3838" t="s">
        <v>3460</v>
      </c>
      <c r="B287" s="3838"/>
      <c r="C287" s="3841" t="s">
        <v>3483</v>
      </c>
      <c r="D287" s="3837" t="str">
        <f t="shared" si="20"/>
        <v>--104</v>
      </c>
      <c r="E287" s="3838" t="s">
        <v>3480</v>
      </c>
      <c r="F287" s="3842">
        <v>21.41</v>
      </c>
    </row>
    <row r="288" spans="1:6">
      <c r="A288" s="3838" t="s">
        <v>3460</v>
      </c>
      <c r="B288" s="3838"/>
      <c r="C288" s="3841" t="s">
        <v>3484</v>
      </c>
      <c r="D288" s="3837" t="str">
        <f t="shared" si="20"/>
        <v>--105</v>
      </c>
      <c r="E288" s="3838" t="s">
        <v>3480</v>
      </c>
      <c r="F288" s="3842">
        <v>21.41</v>
      </c>
    </row>
    <row r="289" spans="1:6">
      <c r="A289" s="3838" t="s">
        <v>3460</v>
      </c>
      <c r="B289" s="3838"/>
      <c r="C289" s="3841" t="s">
        <v>3485</v>
      </c>
      <c r="D289" s="3837" t="str">
        <f t="shared" si="20"/>
        <v>--106</v>
      </c>
      <c r="E289" s="3838" t="s">
        <v>3480</v>
      </c>
      <c r="F289" s="3842">
        <v>48.04</v>
      </c>
    </row>
    <row r="290" spans="1:6">
      <c r="A290" s="3838" t="s">
        <v>3460</v>
      </c>
      <c r="B290" s="3838"/>
      <c r="C290" s="3841" t="s">
        <v>3486</v>
      </c>
      <c r="D290" s="3837" t="str">
        <f t="shared" si="20"/>
        <v>--107</v>
      </c>
      <c r="E290" s="3838" t="s">
        <v>3480</v>
      </c>
      <c r="F290" s="3842">
        <v>29.41</v>
      </c>
    </row>
    <row r="291" spans="1:6">
      <c r="A291" s="3838" t="s">
        <v>3460</v>
      </c>
      <c r="B291" s="3838"/>
      <c r="C291" s="3841" t="s">
        <v>3487</v>
      </c>
      <c r="D291" s="3837" t="str">
        <f t="shared" si="20"/>
        <v>--108</v>
      </c>
      <c r="E291" s="3838" t="s">
        <v>3480</v>
      </c>
      <c r="F291" s="3842">
        <v>40.130000000000003</v>
      </c>
    </row>
    <row r="292" spans="1:6">
      <c r="A292" s="3838" t="s">
        <v>3460</v>
      </c>
      <c r="B292" s="3838"/>
      <c r="C292" s="3841" t="s">
        <v>3488</v>
      </c>
      <c r="D292" s="3837" t="str">
        <f t="shared" si="20"/>
        <v>--109</v>
      </c>
      <c r="E292" s="3838" t="s">
        <v>3480</v>
      </c>
      <c r="F292" s="3842">
        <v>11.99</v>
      </c>
    </row>
    <row r="293" spans="1:6">
      <c r="A293" s="3838" t="s">
        <v>3460</v>
      </c>
      <c r="B293" s="3838"/>
      <c r="C293" s="3841" t="s">
        <v>3489</v>
      </c>
      <c r="D293" s="3837" t="str">
        <f t="shared" si="20"/>
        <v>--110</v>
      </c>
      <c r="E293" s="3838" t="s">
        <v>3480</v>
      </c>
      <c r="F293" s="3842">
        <v>11.99</v>
      </c>
    </row>
    <row r="294" spans="1:6">
      <c r="A294" s="3838" t="s">
        <v>3461</v>
      </c>
      <c r="B294" s="3838">
        <v>3</v>
      </c>
      <c r="C294" s="3838">
        <v>102</v>
      </c>
      <c r="D294" s="3837" t="str">
        <f>"3单元-"&amp;C294</f>
        <v>3单元-102</v>
      </c>
      <c r="E294" s="3838" t="s">
        <v>3386</v>
      </c>
      <c r="F294" s="3838">
        <v>72.59</v>
      </c>
    </row>
    <row r="295" spans="1:6">
      <c r="A295" s="3838" t="s">
        <v>3461</v>
      </c>
      <c r="B295" s="3838"/>
      <c r="C295" s="3841" t="s">
        <v>3479</v>
      </c>
      <c r="D295" s="3837" t="str">
        <f t="shared" ref="D295:D320" si="21">"-"&amp;C295</f>
        <v>--101</v>
      </c>
      <c r="E295" s="3838" t="s">
        <v>3480</v>
      </c>
      <c r="F295" s="3842">
        <v>39.64</v>
      </c>
    </row>
    <row r="296" spans="1:6">
      <c r="A296" s="3838" t="s">
        <v>3461</v>
      </c>
      <c r="B296" s="3838"/>
      <c r="C296" s="3841" t="s">
        <v>3481</v>
      </c>
      <c r="D296" s="3837" t="str">
        <f t="shared" si="21"/>
        <v>--102</v>
      </c>
      <c r="E296" s="3838" t="s">
        <v>3480</v>
      </c>
      <c r="F296" s="3842">
        <v>25.95</v>
      </c>
    </row>
    <row r="297" spans="1:6">
      <c r="A297" s="3838" t="s">
        <v>3461</v>
      </c>
      <c r="B297" s="3838"/>
      <c r="C297" s="3841" t="s">
        <v>3482</v>
      </c>
      <c r="D297" s="3837" t="str">
        <f t="shared" si="21"/>
        <v>--103</v>
      </c>
      <c r="E297" s="3838" t="s">
        <v>3480</v>
      </c>
      <c r="F297" s="3842">
        <v>33.840000000000003</v>
      </c>
    </row>
    <row r="298" spans="1:6">
      <c r="A298" s="3838" t="s">
        <v>3461</v>
      </c>
      <c r="B298" s="3838"/>
      <c r="C298" s="3841" t="s">
        <v>3483</v>
      </c>
      <c r="D298" s="3837" t="str">
        <f t="shared" si="21"/>
        <v>--104</v>
      </c>
      <c r="E298" s="3838" t="s">
        <v>3480</v>
      </c>
      <c r="F298" s="3842">
        <v>30.93</v>
      </c>
    </row>
    <row r="299" spans="1:6">
      <c r="A299" s="3838" t="s">
        <v>3461</v>
      </c>
      <c r="B299" s="3838"/>
      <c r="C299" s="3841" t="s">
        <v>3484</v>
      </c>
      <c r="D299" s="3837" t="str">
        <f t="shared" si="21"/>
        <v>--105</v>
      </c>
      <c r="E299" s="3838" t="s">
        <v>3480</v>
      </c>
      <c r="F299" s="3842">
        <v>30.93</v>
      </c>
    </row>
    <row r="300" spans="1:6">
      <c r="A300" s="3838" t="s">
        <v>3461</v>
      </c>
      <c r="B300" s="3838"/>
      <c r="C300" s="3841" t="s">
        <v>3485</v>
      </c>
      <c r="D300" s="3837" t="str">
        <f t="shared" si="21"/>
        <v>--106</v>
      </c>
      <c r="E300" s="3838" t="s">
        <v>3480</v>
      </c>
      <c r="F300" s="3842">
        <v>33.840000000000003</v>
      </c>
    </row>
    <row r="301" spans="1:6">
      <c r="A301" s="3838" t="s">
        <v>3461</v>
      </c>
      <c r="B301" s="3838"/>
      <c r="C301" s="3841" t="s">
        <v>3486</v>
      </c>
      <c r="D301" s="3837" t="str">
        <f t="shared" si="21"/>
        <v>--107</v>
      </c>
      <c r="E301" s="3838" t="s">
        <v>3480</v>
      </c>
      <c r="F301" s="3842">
        <v>33.840000000000003</v>
      </c>
    </row>
    <row r="302" spans="1:6">
      <c r="A302" s="3838" t="s">
        <v>3461</v>
      </c>
      <c r="B302" s="3838"/>
      <c r="C302" s="3841" t="s">
        <v>3487</v>
      </c>
      <c r="D302" s="3837" t="str">
        <f t="shared" si="21"/>
        <v>--108</v>
      </c>
      <c r="E302" s="3838" t="s">
        <v>3480</v>
      </c>
      <c r="F302" s="3842">
        <v>22.87</v>
      </c>
    </row>
    <row r="303" spans="1:6">
      <c r="A303" s="3838" t="s">
        <v>3461</v>
      </c>
      <c r="B303" s="3838"/>
      <c r="C303" s="3841" t="s">
        <v>3488</v>
      </c>
      <c r="D303" s="3837" t="str">
        <f t="shared" si="21"/>
        <v>--109</v>
      </c>
      <c r="E303" s="3838" t="s">
        <v>3480</v>
      </c>
      <c r="F303" s="3842">
        <v>30.93</v>
      </c>
    </row>
    <row r="304" spans="1:6">
      <c r="A304" s="3838" t="s">
        <v>3461</v>
      </c>
      <c r="B304" s="3838"/>
      <c r="C304" s="3841" t="s">
        <v>3489</v>
      </c>
      <c r="D304" s="3837" t="str">
        <f t="shared" si="21"/>
        <v>--110</v>
      </c>
      <c r="E304" s="3838" t="s">
        <v>3480</v>
      </c>
      <c r="F304" s="3842">
        <v>33.840000000000003</v>
      </c>
    </row>
    <row r="305" spans="1:6">
      <c r="A305" s="3838" t="s">
        <v>3461</v>
      </c>
      <c r="B305" s="3838"/>
      <c r="C305" s="3841" t="s">
        <v>3490</v>
      </c>
      <c r="D305" s="3837" t="str">
        <f t="shared" si="21"/>
        <v>--111</v>
      </c>
      <c r="E305" s="3838" t="s">
        <v>3480</v>
      </c>
      <c r="F305" s="3842">
        <v>25.95</v>
      </c>
    </row>
    <row r="306" spans="1:6">
      <c r="A306" s="3838" t="s">
        <v>3461</v>
      </c>
      <c r="B306" s="3838"/>
      <c r="C306" s="3841" t="s">
        <v>3491</v>
      </c>
      <c r="D306" s="3837" t="str">
        <f t="shared" si="21"/>
        <v>--112</v>
      </c>
      <c r="E306" s="3838" t="s">
        <v>3480</v>
      </c>
      <c r="F306" s="3842">
        <v>39.64</v>
      </c>
    </row>
    <row r="307" spans="1:6">
      <c r="A307" s="3838" t="s">
        <v>3462</v>
      </c>
      <c r="B307" s="3838"/>
      <c r="C307" s="3841" t="s">
        <v>3479</v>
      </c>
      <c r="D307" s="3837" t="str">
        <f t="shared" si="21"/>
        <v>--101</v>
      </c>
      <c r="E307" s="3838" t="s">
        <v>3480</v>
      </c>
      <c r="F307" s="3842">
        <v>13.77</v>
      </c>
    </row>
    <row r="308" spans="1:6">
      <c r="A308" s="3838" t="s">
        <v>3462</v>
      </c>
      <c r="B308" s="3838"/>
      <c r="C308" s="3841" t="s">
        <v>3481</v>
      </c>
      <c r="D308" s="3837" t="str">
        <f t="shared" si="21"/>
        <v>--102</v>
      </c>
      <c r="E308" s="3838" t="s">
        <v>3480</v>
      </c>
      <c r="F308" s="3842">
        <v>24.85</v>
      </c>
    </row>
    <row r="309" spans="1:6">
      <c r="A309" s="3838" t="s">
        <v>3462</v>
      </c>
      <c r="B309" s="3838"/>
      <c r="C309" s="3841" t="s">
        <v>3482</v>
      </c>
      <c r="D309" s="3837" t="str">
        <f t="shared" si="21"/>
        <v>--103</v>
      </c>
      <c r="E309" s="3838" t="s">
        <v>3480</v>
      </c>
      <c r="F309" s="3842">
        <v>30.06</v>
      </c>
    </row>
    <row r="310" spans="1:6">
      <c r="A310" s="3838" t="s">
        <v>3462</v>
      </c>
      <c r="B310" s="3838"/>
      <c r="C310" s="3841" t="s">
        <v>3483</v>
      </c>
      <c r="D310" s="3837" t="str">
        <f t="shared" si="21"/>
        <v>--104</v>
      </c>
      <c r="E310" s="3838" t="s">
        <v>3480</v>
      </c>
      <c r="F310" s="3842">
        <v>38.340000000000003</v>
      </c>
    </row>
    <row r="311" spans="1:6">
      <c r="A311" s="3838" t="s">
        <v>3462</v>
      </c>
      <c r="B311" s="3838"/>
      <c r="C311" s="3841" t="s">
        <v>3484</v>
      </c>
      <c r="D311" s="3837" t="str">
        <f t="shared" si="21"/>
        <v>--105</v>
      </c>
      <c r="E311" s="3838" t="s">
        <v>3480</v>
      </c>
      <c r="F311" s="3842">
        <v>25.05</v>
      </c>
    </row>
    <row r="312" spans="1:6">
      <c r="A312" s="3838" t="s">
        <v>3462</v>
      </c>
      <c r="B312" s="3838"/>
      <c r="C312" s="3841" t="s">
        <v>3485</v>
      </c>
      <c r="D312" s="3837" t="str">
        <f t="shared" si="21"/>
        <v>--106</v>
      </c>
      <c r="E312" s="3838" t="s">
        <v>3480</v>
      </c>
      <c r="F312" s="3842">
        <v>34.619999999999997</v>
      </c>
    </row>
    <row r="313" spans="1:6">
      <c r="A313" s="3838" t="s">
        <v>3462</v>
      </c>
      <c r="B313" s="3838"/>
      <c r="C313" s="3841" t="s">
        <v>3486</v>
      </c>
      <c r="D313" s="3837" t="str">
        <f t="shared" si="21"/>
        <v>--107</v>
      </c>
      <c r="E313" s="3838" t="s">
        <v>3480</v>
      </c>
      <c r="F313" s="3842">
        <v>38.43</v>
      </c>
    </row>
    <row r="314" spans="1:6">
      <c r="A314" s="3838" t="s">
        <v>3462</v>
      </c>
      <c r="B314" s="3838"/>
      <c r="C314" s="3841" t="s">
        <v>3487</v>
      </c>
      <c r="D314" s="3837" t="str">
        <f t="shared" si="21"/>
        <v>--108</v>
      </c>
      <c r="E314" s="3838" t="s">
        <v>3480</v>
      </c>
      <c r="F314" s="3842">
        <v>36.5</v>
      </c>
    </row>
    <row r="315" spans="1:6">
      <c r="A315" s="3838" t="s">
        <v>3462</v>
      </c>
      <c r="B315" s="3838"/>
      <c r="C315" s="3841" t="s">
        <v>3488</v>
      </c>
      <c r="D315" s="3837" t="str">
        <f t="shared" si="21"/>
        <v>--109</v>
      </c>
      <c r="E315" s="3838" t="s">
        <v>3480</v>
      </c>
      <c r="F315" s="3842">
        <v>33.1</v>
      </c>
    </row>
    <row r="316" spans="1:6">
      <c r="A316" s="3838" t="s">
        <v>3462</v>
      </c>
      <c r="B316" s="3838"/>
      <c r="C316" s="3841" t="s">
        <v>3489</v>
      </c>
      <c r="D316" s="3837" t="str">
        <f t="shared" si="21"/>
        <v>--110</v>
      </c>
      <c r="E316" s="3838" t="s">
        <v>3480</v>
      </c>
      <c r="F316" s="3842">
        <v>34.619999999999997</v>
      </c>
    </row>
    <row r="317" spans="1:6">
      <c r="A317" s="3838" t="s">
        <v>3462</v>
      </c>
      <c r="B317" s="3838"/>
      <c r="C317" s="3841" t="s">
        <v>3490</v>
      </c>
      <c r="D317" s="3837" t="str">
        <f t="shared" si="21"/>
        <v>--111</v>
      </c>
      <c r="E317" s="3838" t="s">
        <v>3480</v>
      </c>
      <c r="F317" s="3842">
        <v>38.340000000000003</v>
      </c>
    </row>
    <row r="318" spans="1:6">
      <c r="A318" s="3838" t="s">
        <v>3462</v>
      </c>
      <c r="B318" s="3838"/>
      <c r="C318" s="3841" t="s">
        <v>3491</v>
      </c>
      <c r="D318" s="3837" t="str">
        <f t="shared" si="21"/>
        <v>--112</v>
      </c>
      <c r="E318" s="3838" t="s">
        <v>3480</v>
      </c>
      <c r="F318" s="3842">
        <v>30.06</v>
      </c>
    </row>
    <row r="319" spans="1:6">
      <c r="A319" s="3838" t="s">
        <v>3462</v>
      </c>
      <c r="B319" s="3838"/>
      <c r="C319" s="3841" t="s">
        <v>3492</v>
      </c>
      <c r="D319" s="3837" t="str">
        <f t="shared" si="21"/>
        <v>--113</v>
      </c>
      <c r="E319" s="3838" t="s">
        <v>3480</v>
      </c>
      <c r="F319" s="3842">
        <v>24.85</v>
      </c>
    </row>
    <row r="320" spans="1:6">
      <c r="A320" s="3838" t="s">
        <v>3462</v>
      </c>
      <c r="B320" s="3838"/>
      <c r="C320" s="3841" t="s">
        <v>3493</v>
      </c>
      <c r="D320" s="3837" t="str">
        <f t="shared" si="21"/>
        <v>--114</v>
      </c>
      <c r="E320" s="3838" t="s">
        <v>3480</v>
      </c>
      <c r="F320" s="3842">
        <v>13.77</v>
      </c>
    </row>
    <row r="321" spans="1:6">
      <c r="A321" s="3838" t="s">
        <v>3463</v>
      </c>
      <c r="B321" s="3843">
        <v>1</v>
      </c>
      <c r="C321" s="3843">
        <v>201</v>
      </c>
      <c r="D321" s="3837" t="str">
        <f>"1单元-"&amp;C321</f>
        <v>1单元-201</v>
      </c>
      <c r="E321" s="3838" t="s">
        <v>3386</v>
      </c>
      <c r="F321" s="3843">
        <v>88.11</v>
      </c>
    </row>
    <row r="322" spans="1:6">
      <c r="A322" s="3838" t="s">
        <v>3463</v>
      </c>
      <c r="B322" s="3843">
        <v>2</v>
      </c>
      <c r="C322" s="3843">
        <v>202</v>
      </c>
      <c r="D322" s="3837" t="str">
        <f>"2单元-"&amp;C322</f>
        <v>2单元-202</v>
      </c>
      <c r="E322" s="3838" t="s">
        <v>3386</v>
      </c>
      <c r="F322" s="3843">
        <v>91.36</v>
      </c>
    </row>
    <row r="323" spans="1:6">
      <c r="A323" s="3838" t="s">
        <v>3463</v>
      </c>
      <c r="B323" s="3843">
        <v>2</v>
      </c>
      <c r="C323" s="3843">
        <v>902</v>
      </c>
      <c r="D323" s="3837" t="str">
        <f>"2单元-"&amp;C323</f>
        <v>2单元-902</v>
      </c>
      <c r="E323" s="3838" t="s">
        <v>3386</v>
      </c>
      <c r="F323" s="3843">
        <v>91.36</v>
      </c>
    </row>
    <row r="324" spans="1:6">
      <c r="A324" s="3838" t="s">
        <v>3463</v>
      </c>
      <c r="B324" s="3843"/>
      <c r="C324" s="3841" t="s">
        <v>3479</v>
      </c>
      <c r="D324" s="3837" t="str">
        <f t="shared" ref="D324:D332" si="22">"-"&amp;C324</f>
        <v>--101</v>
      </c>
      <c r="E324" s="3838" t="s">
        <v>3480</v>
      </c>
      <c r="F324" s="3842">
        <v>39.450000000000003</v>
      </c>
    </row>
    <row r="325" spans="1:6">
      <c r="A325" s="3838" t="s">
        <v>3463</v>
      </c>
      <c r="B325" s="3843"/>
      <c r="C325" s="3841" t="s">
        <v>3481</v>
      </c>
      <c r="D325" s="3837" t="str">
        <f t="shared" si="22"/>
        <v>--102</v>
      </c>
      <c r="E325" s="3838" t="s">
        <v>3480</v>
      </c>
      <c r="F325" s="3842">
        <v>28.8</v>
      </c>
    </row>
    <row r="326" spans="1:6">
      <c r="A326" s="3838" t="s">
        <v>3463</v>
      </c>
      <c r="B326" s="3843"/>
      <c r="C326" s="3841" t="s">
        <v>3482</v>
      </c>
      <c r="D326" s="3837" t="str">
        <f t="shared" si="22"/>
        <v>--103</v>
      </c>
      <c r="E326" s="3838" t="s">
        <v>3480</v>
      </c>
      <c r="F326" s="3842">
        <v>31.62</v>
      </c>
    </row>
    <row r="327" spans="1:6">
      <c r="A327" s="3838" t="s">
        <v>3463</v>
      </c>
      <c r="B327" s="3843"/>
      <c r="C327" s="3841" t="s">
        <v>3483</v>
      </c>
      <c r="D327" s="3837" t="str">
        <f t="shared" si="22"/>
        <v>--104</v>
      </c>
      <c r="E327" s="3838" t="s">
        <v>3480</v>
      </c>
      <c r="F327" s="3842">
        <v>29.55</v>
      </c>
    </row>
    <row r="328" spans="1:6">
      <c r="A328" s="3838" t="s">
        <v>3463</v>
      </c>
      <c r="B328" s="3843"/>
      <c r="C328" s="3841" t="s">
        <v>3484</v>
      </c>
      <c r="D328" s="3837" t="str">
        <f t="shared" si="22"/>
        <v>--105</v>
      </c>
      <c r="E328" s="3838" t="s">
        <v>3480</v>
      </c>
      <c r="F328" s="3842">
        <v>29.55</v>
      </c>
    </row>
    <row r="329" spans="1:6">
      <c r="A329" s="3838" t="s">
        <v>3463</v>
      </c>
      <c r="B329" s="3843"/>
      <c r="C329" s="3841" t="s">
        <v>3485</v>
      </c>
      <c r="D329" s="3837" t="str">
        <f t="shared" si="22"/>
        <v>--106</v>
      </c>
      <c r="E329" s="3838" t="s">
        <v>3480</v>
      </c>
      <c r="F329" s="3842">
        <v>31.62</v>
      </c>
    </row>
    <row r="330" spans="1:6">
      <c r="A330" s="3838" t="s">
        <v>3463</v>
      </c>
      <c r="B330" s="3843"/>
      <c r="C330" s="3841" t="s">
        <v>3486</v>
      </c>
      <c r="D330" s="3837" t="str">
        <f t="shared" si="22"/>
        <v>--107</v>
      </c>
      <c r="E330" s="3838" t="s">
        <v>3480</v>
      </c>
      <c r="F330" s="3842">
        <v>30.34</v>
      </c>
    </row>
    <row r="331" spans="1:6">
      <c r="A331" s="3838" t="s">
        <v>3463</v>
      </c>
      <c r="B331" s="3843"/>
      <c r="C331" s="3841" t="s">
        <v>3487</v>
      </c>
      <c r="D331" s="3837" t="str">
        <f t="shared" si="22"/>
        <v>--108</v>
      </c>
      <c r="E331" s="3838" t="s">
        <v>3480</v>
      </c>
      <c r="F331" s="3842">
        <v>30.06</v>
      </c>
    </row>
    <row r="332" spans="1:6">
      <c r="A332" s="3838" t="s">
        <v>3463</v>
      </c>
      <c r="B332" s="3843"/>
      <c r="C332" s="3841" t="s">
        <v>3488</v>
      </c>
      <c r="D332" s="3837" t="str">
        <f t="shared" si="22"/>
        <v>--109</v>
      </c>
      <c r="E332" s="3838" t="s">
        <v>3480</v>
      </c>
      <c r="F332" s="3842">
        <v>16.97</v>
      </c>
    </row>
    <row r="333" spans="1:6">
      <c r="A333" s="3838" t="s">
        <v>3469</v>
      </c>
      <c r="B333" s="3841">
        <v>-1</v>
      </c>
      <c r="C333" s="3839" t="s">
        <v>3496</v>
      </c>
      <c r="D333" s="3837" t="str">
        <f t="shared" ref="D333:D396" si="23">""&amp;C333</f>
        <v>1001</v>
      </c>
      <c r="E333" s="3838" t="s">
        <v>3338</v>
      </c>
      <c r="F333" s="3840">
        <v>34.85</v>
      </c>
    </row>
    <row r="334" spans="1:6">
      <c r="A334" s="3838" t="s">
        <v>3469</v>
      </c>
      <c r="B334" s="3841">
        <v>-1</v>
      </c>
      <c r="C334" s="3839" t="s">
        <v>3497</v>
      </c>
      <c r="D334" s="3837" t="str">
        <f t="shared" si="23"/>
        <v>1002</v>
      </c>
      <c r="E334" s="3838" t="s">
        <v>3338</v>
      </c>
      <c r="F334" s="3840">
        <v>34.85</v>
      </c>
    </row>
    <row r="335" spans="1:6">
      <c r="A335" s="3838" t="s">
        <v>3469</v>
      </c>
      <c r="B335" s="3841">
        <v>-1</v>
      </c>
      <c r="C335" s="3839" t="s">
        <v>3498</v>
      </c>
      <c r="D335" s="3837" t="str">
        <f t="shared" si="23"/>
        <v>1003</v>
      </c>
      <c r="E335" s="3838" t="s">
        <v>3338</v>
      </c>
      <c r="F335" s="3840">
        <v>34.85</v>
      </c>
    </row>
    <row r="336" spans="1:6">
      <c r="A336" s="3838" t="s">
        <v>3469</v>
      </c>
      <c r="B336" s="3841">
        <v>-1</v>
      </c>
      <c r="C336" s="3839" t="s">
        <v>3499</v>
      </c>
      <c r="D336" s="3837" t="str">
        <f t="shared" si="23"/>
        <v>1004</v>
      </c>
      <c r="E336" s="3838" t="s">
        <v>3338</v>
      </c>
      <c r="F336" s="3840">
        <v>34.85</v>
      </c>
    </row>
    <row r="337" spans="1:6">
      <c r="A337" s="3838" t="s">
        <v>3469</v>
      </c>
      <c r="B337" s="3841">
        <v>-1</v>
      </c>
      <c r="C337" s="3839" t="s">
        <v>3500</v>
      </c>
      <c r="D337" s="3837" t="str">
        <f t="shared" si="23"/>
        <v>1005</v>
      </c>
      <c r="E337" s="3838" t="s">
        <v>3338</v>
      </c>
      <c r="F337" s="3840">
        <v>34.85</v>
      </c>
    </row>
    <row r="338" spans="1:6">
      <c r="A338" s="3838" t="s">
        <v>3469</v>
      </c>
      <c r="B338" s="3841">
        <v>-1</v>
      </c>
      <c r="C338" s="3839" t="s">
        <v>3501</v>
      </c>
      <c r="D338" s="3837" t="str">
        <f t="shared" si="23"/>
        <v>1006</v>
      </c>
      <c r="E338" s="3838" t="s">
        <v>3338</v>
      </c>
      <c r="F338" s="3840">
        <v>34.85</v>
      </c>
    </row>
    <row r="339" spans="1:6">
      <c r="A339" s="3838" t="s">
        <v>3469</v>
      </c>
      <c r="B339" s="3841">
        <v>-1</v>
      </c>
      <c r="C339" s="3839" t="s">
        <v>3502</v>
      </c>
      <c r="D339" s="3837" t="str">
        <f t="shared" si="23"/>
        <v>1007</v>
      </c>
      <c r="E339" s="3838" t="s">
        <v>3338</v>
      </c>
      <c r="F339" s="3840">
        <v>34.85</v>
      </c>
    </row>
    <row r="340" spans="1:6">
      <c r="A340" s="3838" t="s">
        <v>3469</v>
      </c>
      <c r="B340" s="3841">
        <v>-1</v>
      </c>
      <c r="C340" s="3839" t="s">
        <v>3503</v>
      </c>
      <c r="D340" s="3837" t="str">
        <f t="shared" si="23"/>
        <v>1008</v>
      </c>
      <c r="E340" s="3838" t="s">
        <v>3338</v>
      </c>
      <c r="F340" s="3840">
        <v>34.85</v>
      </c>
    </row>
    <row r="341" spans="1:6">
      <c r="A341" s="3838" t="s">
        <v>3469</v>
      </c>
      <c r="B341" s="3841">
        <v>-1</v>
      </c>
      <c r="C341" s="3839" t="s">
        <v>3504</v>
      </c>
      <c r="D341" s="3837" t="str">
        <f t="shared" si="23"/>
        <v>1009</v>
      </c>
      <c r="E341" s="3838" t="s">
        <v>3338</v>
      </c>
      <c r="F341" s="3840">
        <v>34.85</v>
      </c>
    </row>
    <row r="342" spans="1:6">
      <c r="A342" s="3838" t="s">
        <v>3469</v>
      </c>
      <c r="B342" s="3841">
        <v>-1</v>
      </c>
      <c r="C342" s="3839" t="s">
        <v>3505</v>
      </c>
      <c r="D342" s="3837" t="str">
        <f t="shared" si="23"/>
        <v>1010</v>
      </c>
      <c r="E342" s="3838" t="s">
        <v>3338</v>
      </c>
      <c r="F342" s="3840">
        <v>34.85</v>
      </c>
    </row>
    <row r="343" spans="1:6">
      <c r="A343" s="3838" t="s">
        <v>3469</v>
      </c>
      <c r="B343" s="3841">
        <v>-1</v>
      </c>
      <c r="C343" s="3839" t="s">
        <v>3506</v>
      </c>
      <c r="D343" s="3837" t="str">
        <f t="shared" si="23"/>
        <v>1011</v>
      </c>
      <c r="E343" s="3838" t="s">
        <v>3338</v>
      </c>
      <c r="F343" s="3840">
        <v>34.85</v>
      </c>
    </row>
    <row r="344" spans="1:6">
      <c r="A344" s="3838" t="s">
        <v>3469</v>
      </c>
      <c r="B344" s="3841">
        <v>-1</v>
      </c>
      <c r="C344" s="3839" t="s">
        <v>3507</v>
      </c>
      <c r="D344" s="3837" t="str">
        <f t="shared" si="23"/>
        <v>1012</v>
      </c>
      <c r="E344" s="3838" t="s">
        <v>3338</v>
      </c>
      <c r="F344" s="3840">
        <v>34.85</v>
      </c>
    </row>
    <row r="345" spans="1:6">
      <c r="A345" s="3838" t="s">
        <v>3469</v>
      </c>
      <c r="B345" s="3841">
        <v>-1</v>
      </c>
      <c r="C345" s="3839" t="s">
        <v>3508</v>
      </c>
      <c r="D345" s="3837" t="str">
        <f t="shared" si="23"/>
        <v>1013</v>
      </c>
      <c r="E345" s="3838" t="s">
        <v>3338</v>
      </c>
      <c r="F345" s="3840">
        <v>34.85</v>
      </c>
    </row>
    <row r="346" spans="1:6">
      <c r="A346" s="3838" t="s">
        <v>3469</v>
      </c>
      <c r="B346" s="3841">
        <v>-1</v>
      </c>
      <c r="C346" s="3839" t="s">
        <v>3509</v>
      </c>
      <c r="D346" s="3837" t="str">
        <f t="shared" si="23"/>
        <v>1014</v>
      </c>
      <c r="E346" s="3838" t="s">
        <v>3338</v>
      </c>
      <c r="F346" s="3840">
        <v>34.85</v>
      </c>
    </row>
    <row r="347" spans="1:6">
      <c r="A347" s="3838" t="s">
        <v>3469</v>
      </c>
      <c r="B347" s="3841">
        <v>-1</v>
      </c>
      <c r="C347" s="3839" t="s">
        <v>3510</v>
      </c>
      <c r="D347" s="3837" t="str">
        <f t="shared" si="23"/>
        <v>1015</v>
      </c>
      <c r="E347" s="3838" t="s">
        <v>3338</v>
      </c>
      <c r="F347" s="3840">
        <v>34.85</v>
      </c>
    </row>
    <row r="348" spans="1:6">
      <c r="A348" s="3838" t="s">
        <v>3469</v>
      </c>
      <c r="B348" s="3841">
        <v>-1</v>
      </c>
      <c r="C348" s="3839" t="s">
        <v>3511</v>
      </c>
      <c r="D348" s="3837" t="str">
        <f t="shared" si="23"/>
        <v>1016</v>
      </c>
      <c r="E348" s="3838" t="s">
        <v>3338</v>
      </c>
      <c r="F348" s="3840">
        <v>34.85</v>
      </c>
    </row>
    <row r="349" spans="1:6">
      <c r="A349" s="3838" t="s">
        <v>3469</v>
      </c>
      <c r="B349" s="3841">
        <v>-1</v>
      </c>
      <c r="C349" s="3839" t="s">
        <v>3512</v>
      </c>
      <c r="D349" s="3837" t="str">
        <f t="shared" si="23"/>
        <v>1017</v>
      </c>
      <c r="E349" s="3838" t="s">
        <v>3338</v>
      </c>
      <c r="F349" s="3840">
        <v>34.85</v>
      </c>
    </row>
    <row r="350" spans="1:6">
      <c r="A350" s="3838" t="s">
        <v>3469</v>
      </c>
      <c r="B350" s="3841">
        <v>-1</v>
      </c>
      <c r="C350" s="3839" t="s">
        <v>3513</v>
      </c>
      <c r="D350" s="3837" t="str">
        <f t="shared" si="23"/>
        <v>1018</v>
      </c>
      <c r="E350" s="3838" t="s">
        <v>3338</v>
      </c>
      <c r="F350" s="3840">
        <v>34.85</v>
      </c>
    </row>
    <row r="351" spans="1:6">
      <c r="A351" s="3838" t="s">
        <v>3469</v>
      </c>
      <c r="B351" s="3841">
        <v>-1</v>
      </c>
      <c r="C351" s="3839" t="s">
        <v>3514</v>
      </c>
      <c r="D351" s="3837" t="str">
        <f t="shared" si="23"/>
        <v>1019</v>
      </c>
      <c r="E351" s="3838" t="s">
        <v>3338</v>
      </c>
      <c r="F351" s="3840">
        <v>34.85</v>
      </c>
    </row>
    <row r="352" spans="1:6">
      <c r="A352" s="3838" t="s">
        <v>3469</v>
      </c>
      <c r="B352" s="3841">
        <v>-1</v>
      </c>
      <c r="C352" s="3839" t="s">
        <v>3515</v>
      </c>
      <c r="D352" s="3837" t="str">
        <f t="shared" si="23"/>
        <v>1020</v>
      </c>
      <c r="E352" s="3838" t="s">
        <v>3338</v>
      </c>
      <c r="F352" s="3840">
        <v>34.85</v>
      </c>
    </row>
    <row r="353" spans="1:6">
      <c r="A353" s="3838" t="s">
        <v>3469</v>
      </c>
      <c r="B353" s="3841">
        <v>-1</v>
      </c>
      <c r="C353" s="3839" t="s">
        <v>3516</v>
      </c>
      <c r="D353" s="3837" t="str">
        <f t="shared" si="23"/>
        <v>1021</v>
      </c>
      <c r="E353" s="3838" t="s">
        <v>3338</v>
      </c>
      <c r="F353" s="3840">
        <v>34.85</v>
      </c>
    </row>
    <row r="354" spans="1:6">
      <c r="A354" s="3838" t="s">
        <v>3469</v>
      </c>
      <c r="B354" s="3841">
        <v>-1</v>
      </c>
      <c r="C354" s="3839" t="s">
        <v>3517</v>
      </c>
      <c r="D354" s="3837" t="str">
        <f t="shared" si="23"/>
        <v>1022</v>
      </c>
      <c r="E354" s="3838" t="s">
        <v>3338</v>
      </c>
      <c r="F354" s="3840">
        <v>34.85</v>
      </c>
    </row>
    <row r="355" spans="1:6">
      <c r="A355" s="3838" t="s">
        <v>3469</v>
      </c>
      <c r="B355" s="3841">
        <v>-1</v>
      </c>
      <c r="C355" s="3839" t="s">
        <v>3518</v>
      </c>
      <c r="D355" s="3837" t="str">
        <f t="shared" si="23"/>
        <v>1023</v>
      </c>
      <c r="E355" s="3838" t="s">
        <v>3338</v>
      </c>
      <c r="F355" s="3840">
        <v>34.85</v>
      </c>
    </row>
    <row r="356" spans="1:6">
      <c r="A356" s="3838" t="s">
        <v>3469</v>
      </c>
      <c r="B356" s="3841">
        <v>-1</v>
      </c>
      <c r="C356" s="3839" t="s">
        <v>3519</v>
      </c>
      <c r="D356" s="3837" t="str">
        <f t="shared" si="23"/>
        <v>1024</v>
      </c>
      <c r="E356" s="3838" t="s">
        <v>3338</v>
      </c>
      <c r="F356" s="3840">
        <v>34.85</v>
      </c>
    </row>
    <row r="357" spans="1:6">
      <c r="A357" s="3838" t="s">
        <v>3469</v>
      </c>
      <c r="B357" s="3841">
        <v>-1</v>
      </c>
      <c r="C357" s="3839" t="s">
        <v>3520</v>
      </c>
      <c r="D357" s="3837" t="str">
        <f t="shared" si="23"/>
        <v>1025</v>
      </c>
      <c r="E357" s="3838" t="s">
        <v>3338</v>
      </c>
      <c r="F357" s="3840">
        <v>34.85</v>
      </c>
    </row>
    <row r="358" spans="1:6">
      <c r="A358" s="3838" t="s">
        <v>3469</v>
      </c>
      <c r="B358" s="3841">
        <v>-1</v>
      </c>
      <c r="C358" s="3839" t="s">
        <v>3521</v>
      </c>
      <c r="D358" s="3837" t="str">
        <f t="shared" si="23"/>
        <v>1026</v>
      </c>
      <c r="E358" s="3838" t="s">
        <v>3338</v>
      </c>
      <c r="F358" s="3840">
        <v>34.85</v>
      </c>
    </row>
    <row r="359" spans="1:6">
      <c r="A359" s="3838" t="s">
        <v>3469</v>
      </c>
      <c r="B359" s="3841">
        <v>-1</v>
      </c>
      <c r="C359" s="3839" t="s">
        <v>3522</v>
      </c>
      <c r="D359" s="3837" t="str">
        <f t="shared" si="23"/>
        <v>1027</v>
      </c>
      <c r="E359" s="3838" t="s">
        <v>3338</v>
      </c>
      <c r="F359" s="3840">
        <v>34.85</v>
      </c>
    </row>
    <row r="360" spans="1:6">
      <c r="A360" s="3838" t="s">
        <v>3469</v>
      </c>
      <c r="B360" s="3841">
        <v>-1</v>
      </c>
      <c r="C360" s="3839" t="s">
        <v>3523</v>
      </c>
      <c r="D360" s="3837" t="str">
        <f t="shared" si="23"/>
        <v>1028</v>
      </c>
      <c r="E360" s="3838" t="s">
        <v>3338</v>
      </c>
      <c r="F360" s="3840">
        <v>34.85</v>
      </c>
    </row>
    <row r="361" spans="1:6">
      <c r="A361" s="3838" t="s">
        <v>3469</v>
      </c>
      <c r="B361" s="3841">
        <v>-1</v>
      </c>
      <c r="C361" s="3839" t="s">
        <v>3524</v>
      </c>
      <c r="D361" s="3837" t="str">
        <f t="shared" si="23"/>
        <v>1029</v>
      </c>
      <c r="E361" s="3838" t="s">
        <v>3338</v>
      </c>
      <c r="F361" s="3840">
        <v>34.85</v>
      </c>
    </row>
    <row r="362" spans="1:6">
      <c r="A362" s="3838" t="s">
        <v>3469</v>
      </c>
      <c r="B362" s="3841">
        <v>-1</v>
      </c>
      <c r="C362" s="3839" t="s">
        <v>3525</v>
      </c>
      <c r="D362" s="3837" t="str">
        <f t="shared" si="23"/>
        <v>1030</v>
      </c>
      <c r="E362" s="3838" t="s">
        <v>3338</v>
      </c>
      <c r="F362" s="3840">
        <v>34.85</v>
      </c>
    </row>
    <row r="363" spans="1:6">
      <c r="A363" s="3838" t="s">
        <v>3469</v>
      </c>
      <c r="B363" s="3841">
        <v>-1</v>
      </c>
      <c r="C363" s="3839" t="s">
        <v>3526</v>
      </c>
      <c r="D363" s="3837" t="str">
        <f t="shared" si="23"/>
        <v>1031</v>
      </c>
      <c r="E363" s="3838" t="s">
        <v>3338</v>
      </c>
      <c r="F363" s="3840">
        <v>34.85</v>
      </c>
    </row>
    <row r="364" spans="1:6">
      <c r="A364" s="3838" t="s">
        <v>3469</v>
      </c>
      <c r="B364" s="3841">
        <v>-1</v>
      </c>
      <c r="C364" s="3839" t="s">
        <v>3527</v>
      </c>
      <c r="D364" s="3837" t="str">
        <f t="shared" si="23"/>
        <v>1032</v>
      </c>
      <c r="E364" s="3838" t="s">
        <v>3338</v>
      </c>
      <c r="F364" s="3840">
        <v>34.85</v>
      </c>
    </row>
    <row r="365" spans="1:6">
      <c r="A365" s="3838" t="s">
        <v>3469</v>
      </c>
      <c r="B365" s="3841">
        <v>-1</v>
      </c>
      <c r="C365" s="3839" t="s">
        <v>3528</v>
      </c>
      <c r="D365" s="3837" t="str">
        <f t="shared" si="23"/>
        <v>1033</v>
      </c>
      <c r="E365" s="3838" t="s">
        <v>3338</v>
      </c>
      <c r="F365" s="3840">
        <v>34.85</v>
      </c>
    </row>
    <row r="366" spans="1:6">
      <c r="A366" s="3838" t="s">
        <v>3469</v>
      </c>
      <c r="B366" s="3841">
        <v>-1</v>
      </c>
      <c r="C366" s="3839" t="s">
        <v>3529</v>
      </c>
      <c r="D366" s="3837" t="str">
        <f t="shared" si="23"/>
        <v>1034</v>
      </c>
      <c r="E366" s="3838" t="s">
        <v>3338</v>
      </c>
      <c r="F366" s="3840">
        <v>34.85</v>
      </c>
    </row>
    <row r="367" spans="1:6">
      <c r="A367" s="3838" t="s">
        <v>3469</v>
      </c>
      <c r="B367" s="3841">
        <v>-1</v>
      </c>
      <c r="C367" s="3839" t="s">
        <v>3530</v>
      </c>
      <c r="D367" s="3837" t="str">
        <f t="shared" si="23"/>
        <v>1035</v>
      </c>
      <c r="E367" s="3838" t="s">
        <v>3338</v>
      </c>
      <c r="F367" s="3840">
        <v>34.85</v>
      </c>
    </row>
    <row r="368" spans="1:6">
      <c r="A368" s="3838" t="s">
        <v>3469</v>
      </c>
      <c r="B368" s="3841">
        <v>-1</v>
      </c>
      <c r="C368" s="3839" t="s">
        <v>3531</v>
      </c>
      <c r="D368" s="3837" t="str">
        <f t="shared" si="23"/>
        <v>1036</v>
      </c>
      <c r="E368" s="3838" t="s">
        <v>3338</v>
      </c>
      <c r="F368" s="3840">
        <v>34.85</v>
      </c>
    </row>
    <row r="369" spans="1:6">
      <c r="A369" s="3838" t="s">
        <v>3469</v>
      </c>
      <c r="B369" s="3841">
        <v>-1</v>
      </c>
      <c r="C369" s="3839" t="s">
        <v>3532</v>
      </c>
      <c r="D369" s="3837" t="str">
        <f t="shared" si="23"/>
        <v>1037</v>
      </c>
      <c r="E369" s="3838" t="s">
        <v>3338</v>
      </c>
      <c r="F369" s="3840">
        <v>34.85</v>
      </c>
    </row>
    <row r="370" spans="1:6">
      <c r="A370" s="3838" t="s">
        <v>3469</v>
      </c>
      <c r="B370" s="3841">
        <v>-1</v>
      </c>
      <c r="C370" s="3839" t="s">
        <v>3533</v>
      </c>
      <c r="D370" s="3837" t="str">
        <f t="shared" si="23"/>
        <v>1038</v>
      </c>
      <c r="E370" s="3838" t="s">
        <v>3338</v>
      </c>
      <c r="F370" s="3840">
        <v>34.85</v>
      </c>
    </row>
    <row r="371" spans="1:6">
      <c r="A371" s="3838" t="s">
        <v>3469</v>
      </c>
      <c r="B371" s="3841">
        <v>-1</v>
      </c>
      <c r="C371" s="3839" t="s">
        <v>3534</v>
      </c>
      <c r="D371" s="3837" t="str">
        <f t="shared" si="23"/>
        <v>1039</v>
      </c>
      <c r="E371" s="3838" t="s">
        <v>3338</v>
      </c>
      <c r="F371" s="3840">
        <v>34.85</v>
      </c>
    </row>
    <row r="372" spans="1:6">
      <c r="A372" s="3838" t="s">
        <v>3469</v>
      </c>
      <c r="B372" s="3841">
        <v>-1</v>
      </c>
      <c r="C372" s="3839" t="s">
        <v>3535</v>
      </c>
      <c r="D372" s="3837" t="str">
        <f t="shared" si="23"/>
        <v>1040</v>
      </c>
      <c r="E372" s="3838" t="s">
        <v>3338</v>
      </c>
      <c r="F372" s="3840">
        <v>34.85</v>
      </c>
    </row>
    <row r="373" spans="1:6">
      <c r="A373" s="3838" t="s">
        <v>3469</v>
      </c>
      <c r="B373" s="3841">
        <v>-1</v>
      </c>
      <c r="C373" s="3839" t="s">
        <v>3536</v>
      </c>
      <c r="D373" s="3837" t="str">
        <f t="shared" si="23"/>
        <v>1041</v>
      </c>
      <c r="E373" s="3838" t="s">
        <v>3338</v>
      </c>
      <c r="F373" s="3840">
        <v>34.85</v>
      </c>
    </row>
    <row r="374" spans="1:6">
      <c r="A374" s="3838" t="s">
        <v>3469</v>
      </c>
      <c r="B374" s="3841">
        <v>-1</v>
      </c>
      <c r="C374" s="3839" t="s">
        <v>3537</v>
      </c>
      <c r="D374" s="3837" t="str">
        <f t="shared" si="23"/>
        <v>1042</v>
      </c>
      <c r="E374" s="3838" t="s">
        <v>3338</v>
      </c>
      <c r="F374" s="3840">
        <v>34.85</v>
      </c>
    </row>
    <row r="375" spans="1:6">
      <c r="A375" s="3838" t="s">
        <v>3469</v>
      </c>
      <c r="B375" s="3841">
        <v>-1</v>
      </c>
      <c r="C375" s="3839" t="s">
        <v>3538</v>
      </c>
      <c r="D375" s="3837" t="str">
        <f t="shared" si="23"/>
        <v>1043</v>
      </c>
      <c r="E375" s="3838" t="s">
        <v>3338</v>
      </c>
      <c r="F375" s="3840">
        <v>34.85</v>
      </c>
    </row>
    <row r="376" spans="1:6">
      <c r="A376" s="3838" t="s">
        <v>3469</v>
      </c>
      <c r="B376" s="3841">
        <v>-1</v>
      </c>
      <c r="C376" s="3839" t="s">
        <v>3539</v>
      </c>
      <c r="D376" s="3837" t="str">
        <f t="shared" si="23"/>
        <v>1044</v>
      </c>
      <c r="E376" s="3838" t="s">
        <v>3338</v>
      </c>
      <c r="F376" s="3840">
        <v>34.85</v>
      </c>
    </row>
    <row r="377" spans="1:6">
      <c r="A377" s="3838" t="s">
        <v>3469</v>
      </c>
      <c r="B377" s="3841">
        <v>-1</v>
      </c>
      <c r="C377" s="3839" t="s">
        <v>3540</v>
      </c>
      <c r="D377" s="3837" t="str">
        <f t="shared" si="23"/>
        <v>1045</v>
      </c>
      <c r="E377" s="3838" t="s">
        <v>3338</v>
      </c>
      <c r="F377" s="3840">
        <v>34.85</v>
      </c>
    </row>
    <row r="378" spans="1:6">
      <c r="A378" s="3838" t="s">
        <v>3469</v>
      </c>
      <c r="B378" s="3841">
        <v>-1</v>
      </c>
      <c r="C378" s="3839" t="s">
        <v>3541</v>
      </c>
      <c r="D378" s="3837" t="str">
        <f t="shared" si="23"/>
        <v>1046</v>
      </c>
      <c r="E378" s="3838" t="s">
        <v>3338</v>
      </c>
      <c r="F378" s="3840">
        <v>34.85</v>
      </c>
    </row>
    <row r="379" spans="1:6">
      <c r="A379" s="3838" t="s">
        <v>3469</v>
      </c>
      <c r="B379" s="3841">
        <v>-1</v>
      </c>
      <c r="C379" s="3839" t="s">
        <v>3542</v>
      </c>
      <c r="D379" s="3837" t="str">
        <f t="shared" si="23"/>
        <v>1047</v>
      </c>
      <c r="E379" s="3838" t="s">
        <v>3338</v>
      </c>
      <c r="F379" s="3840">
        <v>34.85</v>
      </c>
    </row>
    <row r="380" spans="1:6">
      <c r="A380" s="3838" t="s">
        <v>3469</v>
      </c>
      <c r="B380" s="3841">
        <v>-1</v>
      </c>
      <c r="C380" s="3839" t="s">
        <v>3543</v>
      </c>
      <c r="D380" s="3837" t="str">
        <f t="shared" si="23"/>
        <v>1048</v>
      </c>
      <c r="E380" s="3838" t="s">
        <v>3338</v>
      </c>
      <c r="F380" s="3840">
        <v>34.85</v>
      </c>
    </row>
    <row r="381" spans="1:6">
      <c r="A381" s="3838" t="s">
        <v>3469</v>
      </c>
      <c r="B381" s="3841">
        <v>-1</v>
      </c>
      <c r="C381" s="3839" t="s">
        <v>3544</v>
      </c>
      <c r="D381" s="3837" t="str">
        <f t="shared" si="23"/>
        <v>1049</v>
      </c>
      <c r="E381" s="3838" t="s">
        <v>3338</v>
      </c>
      <c r="F381" s="3840">
        <v>34.85</v>
      </c>
    </row>
    <row r="382" spans="1:6">
      <c r="A382" s="3838" t="s">
        <v>3469</v>
      </c>
      <c r="B382" s="3841">
        <v>-1</v>
      </c>
      <c r="C382" s="3839" t="s">
        <v>3545</v>
      </c>
      <c r="D382" s="3837" t="str">
        <f t="shared" si="23"/>
        <v>1050</v>
      </c>
      <c r="E382" s="3838" t="s">
        <v>3338</v>
      </c>
      <c r="F382" s="3840">
        <v>34.85</v>
      </c>
    </row>
    <row r="383" spans="1:6">
      <c r="A383" s="3838" t="s">
        <v>3469</v>
      </c>
      <c r="B383" s="3841">
        <v>-1</v>
      </c>
      <c r="C383" s="3839" t="s">
        <v>3546</v>
      </c>
      <c r="D383" s="3837" t="str">
        <f t="shared" si="23"/>
        <v>1051</v>
      </c>
      <c r="E383" s="3838" t="s">
        <v>3338</v>
      </c>
      <c r="F383" s="3840">
        <v>34.85</v>
      </c>
    </row>
    <row r="384" spans="1:6">
      <c r="A384" s="3838" t="s">
        <v>3469</v>
      </c>
      <c r="B384" s="3841">
        <v>-1</v>
      </c>
      <c r="C384" s="3839" t="s">
        <v>3547</v>
      </c>
      <c r="D384" s="3837" t="str">
        <f t="shared" si="23"/>
        <v>1052</v>
      </c>
      <c r="E384" s="3838" t="s">
        <v>3338</v>
      </c>
      <c r="F384" s="3840">
        <v>34.85</v>
      </c>
    </row>
    <row r="385" spans="1:6">
      <c r="A385" s="3838" t="s">
        <v>3469</v>
      </c>
      <c r="B385" s="3841">
        <v>-1</v>
      </c>
      <c r="C385" s="3839" t="s">
        <v>3548</v>
      </c>
      <c r="D385" s="3837" t="str">
        <f t="shared" si="23"/>
        <v>1053</v>
      </c>
      <c r="E385" s="3838" t="s">
        <v>3338</v>
      </c>
      <c r="F385" s="3840">
        <v>34.85</v>
      </c>
    </row>
    <row r="386" spans="1:6">
      <c r="A386" s="3838" t="s">
        <v>3469</v>
      </c>
      <c r="B386" s="3841">
        <v>-1</v>
      </c>
      <c r="C386" s="3839" t="s">
        <v>3549</v>
      </c>
      <c r="D386" s="3837" t="str">
        <f t="shared" si="23"/>
        <v>1054</v>
      </c>
      <c r="E386" s="3838" t="s">
        <v>3338</v>
      </c>
      <c r="F386" s="3840">
        <v>34.85</v>
      </c>
    </row>
    <row r="387" spans="1:6">
      <c r="A387" s="3838" t="s">
        <v>3469</v>
      </c>
      <c r="B387" s="3841">
        <v>-1</v>
      </c>
      <c r="C387" s="3839" t="s">
        <v>3550</v>
      </c>
      <c r="D387" s="3837" t="str">
        <f t="shared" si="23"/>
        <v>1055</v>
      </c>
      <c r="E387" s="3838" t="s">
        <v>3338</v>
      </c>
      <c r="F387" s="3840">
        <v>34.85</v>
      </c>
    </row>
    <row r="388" spans="1:6">
      <c r="A388" s="3838" t="s">
        <v>3469</v>
      </c>
      <c r="B388" s="3841">
        <v>-1</v>
      </c>
      <c r="C388" s="3839" t="s">
        <v>3551</v>
      </c>
      <c r="D388" s="3837" t="str">
        <f t="shared" si="23"/>
        <v>1056</v>
      </c>
      <c r="E388" s="3838" t="s">
        <v>3338</v>
      </c>
      <c r="F388" s="3840">
        <v>34.85</v>
      </c>
    </row>
    <row r="389" spans="1:6">
      <c r="A389" s="3838" t="s">
        <v>3469</v>
      </c>
      <c r="B389" s="3841">
        <v>-1</v>
      </c>
      <c r="C389" s="3839" t="s">
        <v>3552</v>
      </c>
      <c r="D389" s="3837" t="str">
        <f t="shared" si="23"/>
        <v>1057</v>
      </c>
      <c r="E389" s="3838" t="s">
        <v>3338</v>
      </c>
      <c r="F389" s="3840">
        <v>34.85</v>
      </c>
    </row>
    <row r="390" spans="1:6">
      <c r="A390" s="3838" t="s">
        <v>3469</v>
      </c>
      <c r="B390" s="3841">
        <v>-1</v>
      </c>
      <c r="C390" s="3839" t="s">
        <v>3553</v>
      </c>
      <c r="D390" s="3837" t="str">
        <f t="shared" si="23"/>
        <v>1058</v>
      </c>
      <c r="E390" s="3838" t="s">
        <v>3338</v>
      </c>
      <c r="F390" s="3840">
        <v>34.85</v>
      </c>
    </row>
    <row r="391" spans="1:6">
      <c r="A391" s="3838" t="s">
        <v>3469</v>
      </c>
      <c r="B391" s="3841">
        <v>-1</v>
      </c>
      <c r="C391" s="3839" t="s">
        <v>3554</v>
      </c>
      <c r="D391" s="3837" t="str">
        <f t="shared" si="23"/>
        <v>1059</v>
      </c>
      <c r="E391" s="3838" t="s">
        <v>3338</v>
      </c>
      <c r="F391" s="3840">
        <v>34.85</v>
      </c>
    </row>
    <row r="392" spans="1:6">
      <c r="A392" s="3838" t="s">
        <v>3469</v>
      </c>
      <c r="B392" s="3841">
        <v>-1</v>
      </c>
      <c r="C392" s="3839" t="s">
        <v>3555</v>
      </c>
      <c r="D392" s="3837" t="str">
        <f t="shared" si="23"/>
        <v>1060</v>
      </c>
      <c r="E392" s="3838" t="s">
        <v>3338</v>
      </c>
      <c r="F392" s="3840">
        <v>34.85</v>
      </c>
    </row>
    <row r="393" spans="1:6">
      <c r="A393" s="3838" t="s">
        <v>3469</v>
      </c>
      <c r="B393" s="3841">
        <v>-1</v>
      </c>
      <c r="C393" s="3839" t="s">
        <v>3556</v>
      </c>
      <c r="D393" s="3837" t="str">
        <f t="shared" si="23"/>
        <v>1061</v>
      </c>
      <c r="E393" s="3838" t="s">
        <v>3338</v>
      </c>
      <c r="F393" s="3840">
        <v>34.85</v>
      </c>
    </row>
    <row r="394" spans="1:6">
      <c r="A394" s="3838" t="s">
        <v>3469</v>
      </c>
      <c r="B394" s="3841">
        <v>-1</v>
      </c>
      <c r="C394" s="3839" t="s">
        <v>3557</v>
      </c>
      <c r="D394" s="3837" t="str">
        <f t="shared" si="23"/>
        <v>1062</v>
      </c>
      <c r="E394" s="3838" t="s">
        <v>3338</v>
      </c>
      <c r="F394" s="3840">
        <v>34.85</v>
      </c>
    </row>
    <row r="395" spans="1:6">
      <c r="A395" s="3838" t="s">
        <v>3469</v>
      </c>
      <c r="B395" s="3841">
        <v>-1</v>
      </c>
      <c r="C395" s="3839" t="s">
        <v>3558</v>
      </c>
      <c r="D395" s="3837" t="str">
        <f t="shared" si="23"/>
        <v>1063</v>
      </c>
      <c r="E395" s="3838" t="s">
        <v>3338</v>
      </c>
      <c r="F395" s="3840">
        <v>34.85</v>
      </c>
    </row>
    <row r="396" spans="1:6">
      <c r="A396" s="3838" t="s">
        <v>3469</v>
      </c>
      <c r="B396" s="3841">
        <v>-1</v>
      </c>
      <c r="C396" s="3839" t="s">
        <v>3559</v>
      </c>
      <c r="D396" s="3837" t="str">
        <f t="shared" si="23"/>
        <v>1064</v>
      </c>
      <c r="E396" s="3838" t="s">
        <v>3338</v>
      </c>
      <c r="F396" s="3840">
        <v>34.85</v>
      </c>
    </row>
    <row r="397" spans="1:6">
      <c r="A397" s="3838" t="s">
        <v>3469</v>
      </c>
      <c r="B397" s="3841">
        <v>-1</v>
      </c>
      <c r="C397" s="3839" t="s">
        <v>3560</v>
      </c>
      <c r="D397" s="3837" t="str">
        <f t="shared" ref="D397:D460" si="24">""&amp;C397</f>
        <v>1065</v>
      </c>
      <c r="E397" s="3838" t="s">
        <v>3338</v>
      </c>
      <c r="F397" s="3840">
        <v>34.85</v>
      </c>
    </row>
    <row r="398" spans="1:6">
      <c r="A398" s="3838" t="s">
        <v>3469</v>
      </c>
      <c r="B398" s="3841">
        <v>-1</v>
      </c>
      <c r="C398" s="3839" t="s">
        <v>3561</v>
      </c>
      <c r="D398" s="3837" t="str">
        <f t="shared" si="24"/>
        <v>1066</v>
      </c>
      <c r="E398" s="3838" t="s">
        <v>3338</v>
      </c>
      <c r="F398" s="3840">
        <v>34.85</v>
      </c>
    </row>
    <row r="399" spans="1:6">
      <c r="A399" s="3838" t="s">
        <v>3469</v>
      </c>
      <c r="B399" s="3841">
        <v>-1</v>
      </c>
      <c r="C399" s="3839" t="s">
        <v>3562</v>
      </c>
      <c r="D399" s="3837" t="str">
        <f t="shared" si="24"/>
        <v>1067</v>
      </c>
      <c r="E399" s="3838" t="s">
        <v>3338</v>
      </c>
      <c r="F399" s="3840">
        <v>34.85</v>
      </c>
    </row>
    <row r="400" spans="1:6">
      <c r="A400" s="3838" t="s">
        <v>3469</v>
      </c>
      <c r="B400" s="3841">
        <v>-1</v>
      </c>
      <c r="C400" s="3839" t="s">
        <v>3563</v>
      </c>
      <c r="D400" s="3837" t="str">
        <f t="shared" si="24"/>
        <v>1068</v>
      </c>
      <c r="E400" s="3838" t="s">
        <v>3338</v>
      </c>
      <c r="F400" s="3840">
        <v>34.85</v>
      </c>
    </row>
    <row r="401" spans="1:6">
      <c r="A401" s="3838" t="s">
        <v>3469</v>
      </c>
      <c r="B401" s="3841">
        <v>-1</v>
      </c>
      <c r="C401" s="3839" t="s">
        <v>3564</v>
      </c>
      <c r="D401" s="3837" t="str">
        <f t="shared" si="24"/>
        <v>1069</v>
      </c>
      <c r="E401" s="3838" t="s">
        <v>3338</v>
      </c>
      <c r="F401" s="3840">
        <v>34.85</v>
      </c>
    </row>
    <row r="402" spans="1:6">
      <c r="A402" s="3838" t="s">
        <v>3469</v>
      </c>
      <c r="B402" s="3841">
        <v>-1</v>
      </c>
      <c r="C402" s="3839" t="s">
        <v>3565</v>
      </c>
      <c r="D402" s="3837" t="str">
        <f t="shared" si="24"/>
        <v>1070</v>
      </c>
      <c r="E402" s="3838" t="s">
        <v>3338</v>
      </c>
      <c r="F402" s="3840">
        <v>34.85</v>
      </c>
    </row>
    <row r="403" spans="1:6">
      <c r="A403" s="3838" t="s">
        <v>3469</v>
      </c>
      <c r="B403" s="3841">
        <v>-1</v>
      </c>
      <c r="C403" s="3839" t="s">
        <v>3566</v>
      </c>
      <c r="D403" s="3837" t="str">
        <f t="shared" si="24"/>
        <v>1071</v>
      </c>
      <c r="E403" s="3838" t="s">
        <v>3338</v>
      </c>
      <c r="F403" s="3840">
        <v>34.85</v>
      </c>
    </row>
    <row r="404" spans="1:6">
      <c r="A404" s="3838" t="s">
        <v>3469</v>
      </c>
      <c r="B404" s="3841">
        <v>-1</v>
      </c>
      <c r="C404" s="3839" t="s">
        <v>3567</v>
      </c>
      <c r="D404" s="3837" t="str">
        <f t="shared" si="24"/>
        <v>1072</v>
      </c>
      <c r="E404" s="3838" t="s">
        <v>3338</v>
      </c>
      <c r="F404" s="3840">
        <v>34.85</v>
      </c>
    </row>
    <row r="405" spans="1:6">
      <c r="A405" s="3838" t="s">
        <v>3469</v>
      </c>
      <c r="B405" s="3841">
        <v>-1</v>
      </c>
      <c r="C405" s="3839" t="s">
        <v>3568</v>
      </c>
      <c r="D405" s="3837" t="str">
        <f t="shared" si="24"/>
        <v>1073</v>
      </c>
      <c r="E405" s="3838" t="s">
        <v>3338</v>
      </c>
      <c r="F405" s="3840">
        <v>34.85</v>
      </c>
    </row>
    <row r="406" spans="1:6">
      <c r="A406" s="3838" t="s">
        <v>3469</v>
      </c>
      <c r="B406" s="3841">
        <v>-1</v>
      </c>
      <c r="C406" s="3839" t="s">
        <v>3569</v>
      </c>
      <c r="D406" s="3837" t="str">
        <f t="shared" si="24"/>
        <v>1074</v>
      </c>
      <c r="E406" s="3838" t="s">
        <v>3338</v>
      </c>
      <c r="F406" s="3840">
        <v>34.85</v>
      </c>
    </row>
    <row r="407" spans="1:6">
      <c r="A407" s="3838" t="s">
        <v>3469</v>
      </c>
      <c r="B407" s="3841">
        <v>-1</v>
      </c>
      <c r="C407" s="3839" t="s">
        <v>3570</v>
      </c>
      <c r="D407" s="3837" t="str">
        <f t="shared" si="24"/>
        <v>1075</v>
      </c>
      <c r="E407" s="3838" t="s">
        <v>3338</v>
      </c>
      <c r="F407" s="3840">
        <v>34.85</v>
      </c>
    </row>
    <row r="408" spans="1:6">
      <c r="A408" s="3838" t="s">
        <v>3469</v>
      </c>
      <c r="B408" s="3841">
        <v>-1</v>
      </c>
      <c r="C408" s="3839" t="s">
        <v>3571</v>
      </c>
      <c r="D408" s="3837" t="str">
        <f t="shared" si="24"/>
        <v>1076</v>
      </c>
      <c r="E408" s="3838" t="s">
        <v>3338</v>
      </c>
      <c r="F408" s="3840">
        <v>34.85</v>
      </c>
    </row>
    <row r="409" spans="1:6">
      <c r="A409" s="3838" t="s">
        <v>3469</v>
      </c>
      <c r="B409" s="3841">
        <v>-1</v>
      </c>
      <c r="C409" s="3839" t="s">
        <v>3572</v>
      </c>
      <c r="D409" s="3837" t="str">
        <f t="shared" si="24"/>
        <v>1077</v>
      </c>
      <c r="E409" s="3838" t="s">
        <v>3338</v>
      </c>
      <c r="F409" s="3840">
        <v>34.85</v>
      </c>
    </row>
    <row r="410" spans="1:6">
      <c r="A410" s="3838" t="s">
        <v>3469</v>
      </c>
      <c r="B410" s="3841">
        <v>-1</v>
      </c>
      <c r="C410" s="3839" t="s">
        <v>3573</v>
      </c>
      <c r="D410" s="3837" t="str">
        <f t="shared" si="24"/>
        <v>1078</v>
      </c>
      <c r="E410" s="3838" t="s">
        <v>3338</v>
      </c>
      <c r="F410" s="3840">
        <v>34.85</v>
      </c>
    </row>
    <row r="411" spans="1:6">
      <c r="A411" s="3838" t="s">
        <v>3469</v>
      </c>
      <c r="B411" s="3841">
        <v>-1</v>
      </c>
      <c r="C411" s="3839" t="s">
        <v>3574</v>
      </c>
      <c r="D411" s="3837" t="str">
        <f t="shared" si="24"/>
        <v>1079</v>
      </c>
      <c r="E411" s="3838" t="s">
        <v>3338</v>
      </c>
      <c r="F411" s="3840">
        <v>34.85</v>
      </c>
    </row>
    <row r="412" spans="1:6">
      <c r="A412" s="3838" t="s">
        <v>3469</v>
      </c>
      <c r="B412" s="3841">
        <v>-1</v>
      </c>
      <c r="C412" s="3839" t="s">
        <v>3575</v>
      </c>
      <c r="D412" s="3837" t="str">
        <f t="shared" si="24"/>
        <v>1080</v>
      </c>
      <c r="E412" s="3838" t="s">
        <v>3338</v>
      </c>
      <c r="F412" s="3840">
        <v>34.85</v>
      </c>
    </row>
    <row r="413" spans="1:6">
      <c r="A413" s="3838" t="s">
        <v>3469</v>
      </c>
      <c r="B413" s="3841">
        <v>-1</v>
      </c>
      <c r="C413" s="3839" t="s">
        <v>3576</v>
      </c>
      <c r="D413" s="3837" t="str">
        <f t="shared" si="24"/>
        <v>1081</v>
      </c>
      <c r="E413" s="3838" t="s">
        <v>3338</v>
      </c>
      <c r="F413" s="3840">
        <v>34.85</v>
      </c>
    </row>
    <row r="414" spans="1:6">
      <c r="A414" s="3838" t="s">
        <v>3469</v>
      </c>
      <c r="B414" s="3841">
        <v>-1</v>
      </c>
      <c r="C414" s="3839" t="s">
        <v>3577</v>
      </c>
      <c r="D414" s="3837" t="str">
        <f t="shared" si="24"/>
        <v>1082</v>
      </c>
      <c r="E414" s="3838" t="s">
        <v>3338</v>
      </c>
      <c r="F414" s="3840">
        <v>34.85</v>
      </c>
    </row>
    <row r="415" spans="1:6">
      <c r="A415" s="3838" t="s">
        <v>3469</v>
      </c>
      <c r="B415" s="3841">
        <v>-1</v>
      </c>
      <c r="C415" s="3839" t="s">
        <v>3578</v>
      </c>
      <c r="D415" s="3837" t="str">
        <f t="shared" si="24"/>
        <v>1083</v>
      </c>
      <c r="E415" s="3838" t="s">
        <v>3338</v>
      </c>
      <c r="F415" s="3840">
        <v>34.85</v>
      </c>
    </row>
    <row r="416" spans="1:6">
      <c r="A416" s="3838" t="s">
        <v>3469</v>
      </c>
      <c r="B416" s="3841">
        <v>-1</v>
      </c>
      <c r="C416" s="3839" t="s">
        <v>3579</v>
      </c>
      <c r="D416" s="3837" t="str">
        <f t="shared" si="24"/>
        <v>1084</v>
      </c>
      <c r="E416" s="3838" t="s">
        <v>3338</v>
      </c>
      <c r="F416" s="3840">
        <v>34.85</v>
      </c>
    </row>
    <row r="417" spans="1:6">
      <c r="A417" s="3838" t="s">
        <v>3469</v>
      </c>
      <c r="B417" s="3841">
        <v>-1</v>
      </c>
      <c r="C417" s="3839" t="s">
        <v>3580</v>
      </c>
      <c r="D417" s="3837" t="str">
        <f t="shared" si="24"/>
        <v>1085</v>
      </c>
      <c r="E417" s="3838" t="s">
        <v>3338</v>
      </c>
      <c r="F417" s="3840">
        <v>34.85</v>
      </c>
    </row>
    <row r="418" spans="1:6">
      <c r="A418" s="3838" t="s">
        <v>3469</v>
      </c>
      <c r="B418" s="3841">
        <v>-1</v>
      </c>
      <c r="C418" s="3839" t="s">
        <v>3581</v>
      </c>
      <c r="D418" s="3837" t="str">
        <f t="shared" si="24"/>
        <v>1086</v>
      </c>
      <c r="E418" s="3838" t="s">
        <v>3338</v>
      </c>
      <c r="F418" s="3840">
        <v>34.85</v>
      </c>
    </row>
    <row r="419" spans="1:6">
      <c r="A419" s="3838" t="s">
        <v>3469</v>
      </c>
      <c r="B419" s="3841">
        <v>-1</v>
      </c>
      <c r="C419" s="3839" t="s">
        <v>3582</v>
      </c>
      <c r="D419" s="3837" t="str">
        <f t="shared" si="24"/>
        <v>1087</v>
      </c>
      <c r="E419" s="3838" t="s">
        <v>3338</v>
      </c>
      <c r="F419" s="3840">
        <v>34.85</v>
      </c>
    </row>
    <row r="420" spans="1:6">
      <c r="A420" s="3838" t="s">
        <v>3469</v>
      </c>
      <c r="B420" s="3841">
        <v>-1</v>
      </c>
      <c r="C420" s="3839" t="s">
        <v>3583</v>
      </c>
      <c r="D420" s="3837" t="str">
        <f t="shared" si="24"/>
        <v>1088</v>
      </c>
      <c r="E420" s="3838" t="s">
        <v>3338</v>
      </c>
      <c r="F420" s="3840">
        <v>34.85</v>
      </c>
    </row>
    <row r="421" spans="1:6">
      <c r="A421" s="3838" t="s">
        <v>3469</v>
      </c>
      <c r="B421" s="3841">
        <v>-1</v>
      </c>
      <c r="C421" s="3839" t="s">
        <v>3584</v>
      </c>
      <c r="D421" s="3837" t="str">
        <f t="shared" si="24"/>
        <v>1089</v>
      </c>
      <c r="E421" s="3838" t="s">
        <v>3338</v>
      </c>
      <c r="F421" s="3840">
        <v>34.85</v>
      </c>
    </row>
    <row r="422" spans="1:6">
      <c r="A422" s="3838" t="s">
        <v>3469</v>
      </c>
      <c r="B422" s="3841">
        <v>-1</v>
      </c>
      <c r="C422" s="3839" t="s">
        <v>3585</v>
      </c>
      <c r="D422" s="3837" t="str">
        <f t="shared" si="24"/>
        <v>1090</v>
      </c>
      <c r="E422" s="3838" t="s">
        <v>3338</v>
      </c>
      <c r="F422" s="3840">
        <v>34.85</v>
      </c>
    </row>
    <row r="423" spans="1:6">
      <c r="A423" s="3838" t="s">
        <v>3469</v>
      </c>
      <c r="B423" s="3841">
        <v>-1</v>
      </c>
      <c r="C423" s="3839" t="s">
        <v>3586</v>
      </c>
      <c r="D423" s="3837" t="str">
        <f t="shared" si="24"/>
        <v>1091</v>
      </c>
      <c r="E423" s="3838" t="s">
        <v>3338</v>
      </c>
      <c r="F423" s="3840">
        <v>34.85</v>
      </c>
    </row>
    <row r="424" spans="1:6">
      <c r="A424" s="3838" t="s">
        <v>3469</v>
      </c>
      <c r="B424" s="3841">
        <v>-1</v>
      </c>
      <c r="C424" s="3839" t="s">
        <v>3587</v>
      </c>
      <c r="D424" s="3837" t="str">
        <f t="shared" si="24"/>
        <v>1092</v>
      </c>
      <c r="E424" s="3838" t="s">
        <v>3338</v>
      </c>
      <c r="F424" s="3840">
        <v>34.85</v>
      </c>
    </row>
    <row r="425" spans="1:6">
      <c r="A425" s="3838" t="s">
        <v>3469</v>
      </c>
      <c r="B425" s="3841">
        <v>-1</v>
      </c>
      <c r="C425" s="3839" t="s">
        <v>3588</v>
      </c>
      <c r="D425" s="3837" t="str">
        <f t="shared" si="24"/>
        <v>1093</v>
      </c>
      <c r="E425" s="3838" t="s">
        <v>3338</v>
      </c>
      <c r="F425" s="3840">
        <v>34.85</v>
      </c>
    </row>
    <row r="426" spans="1:6">
      <c r="A426" s="3838" t="s">
        <v>3469</v>
      </c>
      <c r="B426" s="3841">
        <v>-1</v>
      </c>
      <c r="C426" s="3839" t="s">
        <v>3589</v>
      </c>
      <c r="D426" s="3837" t="str">
        <f t="shared" si="24"/>
        <v>1094</v>
      </c>
      <c r="E426" s="3838" t="s">
        <v>3338</v>
      </c>
      <c r="F426" s="3840">
        <v>34.85</v>
      </c>
    </row>
    <row r="427" spans="1:6">
      <c r="A427" s="3838" t="s">
        <v>3469</v>
      </c>
      <c r="B427" s="3841">
        <v>-1</v>
      </c>
      <c r="C427" s="3839" t="s">
        <v>3590</v>
      </c>
      <c r="D427" s="3837" t="str">
        <f t="shared" si="24"/>
        <v>1095</v>
      </c>
      <c r="E427" s="3838" t="s">
        <v>3338</v>
      </c>
      <c r="F427" s="3840">
        <v>34.85</v>
      </c>
    </row>
    <row r="428" spans="1:6">
      <c r="A428" s="3838" t="s">
        <v>3469</v>
      </c>
      <c r="B428" s="3841">
        <v>-1</v>
      </c>
      <c r="C428" s="3839" t="s">
        <v>3591</v>
      </c>
      <c r="D428" s="3837" t="str">
        <f t="shared" si="24"/>
        <v>1096</v>
      </c>
      <c r="E428" s="3838" t="s">
        <v>3338</v>
      </c>
      <c r="F428" s="3840">
        <v>34.85</v>
      </c>
    </row>
    <row r="429" spans="1:6">
      <c r="A429" s="3838" t="s">
        <v>3469</v>
      </c>
      <c r="B429" s="3841">
        <v>-1</v>
      </c>
      <c r="C429" s="3839" t="s">
        <v>3592</v>
      </c>
      <c r="D429" s="3837" t="str">
        <f t="shared" si="24"/>
        <v>1097</v>
      </c>
      <c r="E429" s="3838" t="s">
        <v>3338</v>
      </c>
      <c r="F429" s="3840">
        <v>34.85</v>
      </c>
    </row>
    <row r="430" spans="1:6">
      <c r="A430" s="3838" t="s">
        <v>3469</v>
      </c>
      <c r="B430" s="3841">
        <v>-1</v>
      </c>
      <c r="C430" s="3839" t="s">
        <v>3593</v>
      </c>
      <c r="D430" s="3837" t="str">
        <f t="shared" si="24"/>
        <v>1098</v>
      </c>
      <c r="E430" s="3838" t="s">
        <v>3338</v>
      </c>
      <c r="F430" s="3840">
        <v>34.85</v>
      </c>
    </row>
    <row r="431" spans="1:6">
      <c r="A431" s="3838" t="s">
        <v>3469</v>
      </c>
      <c r="B431" s="3841">
        <v>-1</v>
      </c>
      <c r="C431" s="3839" t="s">
        <v>3594</v>
      </c>
      <c r="D431" s="3837" t="str">
        <f t="shared" si="24"/>
        <v>1099</v>
      </c>
      <c r="E431" s="3838" t="s">
        <v>3338</v>
      </c>
      <c r="F431" s="3840">
        <v>34.85</v>
      </c>
    </row>
    <row r="432" spans="1:6">
      <c r="A432" s="3838" t="s">
        <v>3469</v>
      </c>
      <c r="B432" s="3841">
        <v>-1</v>
      </c>
      <c r="C432" s="3839" t="s">
        <v>3595</v>
      </c>
      <c r="D432" s="3837" t="str">
        <f t="shared" si="24"/>
        <v>1100</v>
      </c>
      <c r="E432" s="3838" t="s">
        <v>3338</v>
      </c>
      <c r="F432" s="3840">
        <v>34.85</v>
      </c>
    </row>
    <row r="433" spans="1:6">
      <c r="A433" s="3838" t="s">
        <v>3469</v>
      </c>
      <c r="B433" s="3841">
        <v>-1</v>
      </c>
      <c r="C433" s="3839" t="s">
        <v>3596</v>
      </c>
      <c r="D433" s="3837" t="str">
        <f t="shared" si="24"/>
        <v>1101</v>
      </c>
      <c r="E433" s="3838" t="s">
        <v>3338</v>
      </c>
      <c r="F433" s="3840">
        <v>34.85</v>
      </c>
    </row>
    <row r="434" spans="1:6">
      <c r="A434" s="3838" t="s">
        <v>3469</v>
      </c>
      <c r="B434" s="3841">
        <v>-1</v>
      </c>
      <c r="C434" s="3839" t="s">
        <v>3597</v>
      </c>
      <c r="D434" s="3837" t="str">
        <f t="shared" si="24"/>
        <v>1102</v>
      </c>
      <c r="E434" s="3838" t="s">
        <v>3338</v>
      </c>
      <c r="F434" s="3840">
        <v>34.85</v>
      </c>
    </row>
    <row r="435" spans="1:6">
      <c r="A435" s="3838" t="s">
        <v>3469</v>
      </c>
      <c r="B435" s="3841">
        <v>-1</v>
      </c>
      <c r="C435" s="3839" t="s">
        <v>3598</v>
      </c>
      <c r="D435" s="3837" t="str">
        <f t="shared" si="24"/>
        <v>1103</v>
      </c>
      <c r="E435" s="3838" t="s">
        <v>3338</v>
      </c>
      <c r="F435" s="3840">
        <v>34.85</v>
      </c>
    </row>
    <row r="436" spans="1:6">
      <c r="A436" s="3838" t="s">
        <v>3469</v>
      </c>
      <c r="B436" s="3841">
        <v>-1</v>
      </c>
      <c r="C436" s="3839" t="s">
        <v>3599</v>
      </c>
      <c r="D436" s="3837" t="str">
        <f t="shared" si="24"/>
        <v>1104</v>
      </c>
      <c r="E436" s="3838" t="s">
        <v>3338</v>
      </c>
      <c r="F436" s="3840">
        <v>34.85</v>
      </c>
    </row>
    <row r="437" spans="1:6">
      <c r="A437" s="3838" t="s">
        <v>3469</v>
      </c>
      <c r="B437" s="3841">
        <v>-1</v>
      </c>
      <c r="C437" s="3839" t="s">
        <v>3600</v>
      </c>
      <c r="D437" s="3837" t="str">
        <f t="shared" si="24"/>
        <v>1105</v>
      </c>
      <c r="E437" s="3838" t="s">
        <v>3338</v>
      </c>
      <c r="F437" s="3840">
        <v>34.85</v>
      </c>
    </row>
    <row r="438" spans="1:6">
      <c r="A438" s="3838" t="s">
        <v>3469</v>
      </c>
      <c r="B438" s="3841">
        <v>-1</v>
      </c>
      <c r="C438" s="3839" t="s">
        <v>3601</v>
      </c>
      <c r="D438" s="3837" t="str">
        <f t="shared" si="24"/>
        <v>1106</v>
      </c>
      <c r="E438" s="3838" t="s">
        <v>3338</v>
      </c>
      <c r="F438" s="3840">
        <v>34.85</v>
      </c>
    </row>
    <row r="439" spans="1:6">
      <c r="A439" s="3838" t="s">
        <v>3469</v>
      </c>
      <c r="B439" s="3841">
        <v>-1</v>
      </c>
      <c r="C439" s="3839" t="s">
        <v>3602</v>
      </c>
      <c r="D439" s="3837" t="str">
        <f t="shared" si="24"/>
        <v>1107</v>
      </c>
      <c r="E439" s="3838" t="s">
        <v>3338</v>
      </c>
      <c r="F439" s="3840">
        <v>34.85</v>
      </c>
    </row>
    <row r="440" spans="1:6">
      <c r="A440" s="3838" t="s">
        <v>3469</v>
      </c>
      <c r="B440" s="3841">
        <v>-1</v>
      </c>
      <c r="C440" s="3839" t="s">
        <v>3603</v>
      </c>
      <c r="D440" s="3837" t="str">
        <f t="shared" si="24"/>
        <v>1108</v>
      </c>
      <c r="E440" s="3838" t="s">
        <v>3338</v>
      </c>
      <c r="F440" s="3840">
        <v>34.85</v>
      </c>
    </row>
    <row r="441" spans="1:6">
      <c r="A441" s="3838" t="s">
        <v>3469</v>
      </c>
      <c r="B441" s="3841">
        <v>-1</v>
      </c>
      <c r="C441" s="3839" t="s">
        <v>3604</v>
      </c>
      <c r="D441" s="3837" t="str">
        <f t="shared" si="24"/>
        <v>1109</v>
      </c>
      <c r="E441" s="3838" t="s">
        <v>3338</v>
      </c>
      <c r="F441" s="3840">
        <v>34.85</v>
      </c>
    </row>
    <row r="442" spans="1:6">
      <c r="A442" s="3838" t="s">
        <v>3469</v>
      </c>
      <c r="B442" s="3841">
        <v>-1</v>
      </c>
      <c r="C442" s="3839" t="s">
        <v>3605</v>
      </c>
      <c r="D442" s="3837" t="str">
        <f t="shared" si="24"/>
        <v>1110</v>
      </c>
      <c r="E442" s="3838" t="s">
        <v>3338</v>
      </c>
      <c r="F442" s="3840">
        <v>34.85</v>
      </c>
    </row>
    <row r="443" spans="1:6">
      <c r="A443" s="3838" t="s">
        <v>3469</v>
      </c>
      <c r="B443" s="3841">
        <v>-1</v>
      </c>
      <c r="C443" s="3839" t="s">
        <v>3606</v>
      </c>
      <c r="D443" s="3837" t="str">
        <f t="shared" si="24"/>
        <v>1111</v>
      </c>
      <c r="E443" s="3838" t="s">
        <v>3338</v>
      </c>
      <c r="F443" s="3840">
        <v>34.85</v>
      </c>
    </row>
    <row r="444" spans="1:6">
      <c r="A444" s="3838" t="s">
        <v>3469</v>
      </c>
      <c r="B444" s="3841">
        <v>-1</v>
      </c>
      <c r="C444" s="3839" t="s">
        <v>3607</v>
      </c>
      <c r="D444" s="3837" t="str">
        <f t="shared" si="24"/>
        <v>1112</v>
      </c>
      <c r="E444" s="3838" t="s">
        <v>3338</v>
      </c>
      <c r="F444" s="3840">
        <v>34.85</v>
      </c>
    </row>
    <row r="445" spans="1:6">
      <c r="A445" s="3838" t="s">
        <v>3469</v>
      </c>
      <c r="B445" s="3841">
        <v>-1</v>
      </c>
      <c r="C445" s="3839" t="s">
        <v>3608</v>
      </c>
      <c r="D445" s="3837" t="str">
        <f t="shared" si="24"/>
        <v>1113</v>
      </c>
      <c r="E445" s="3838" t="s">
        <v>3338</v>
      </c>
      <c r="F445" s="3840">
        <v>34.85</v>
      </c>
    </row>
    <row r="446" spans="1:6">
      <c r="A446" s="3838" t="s">
        <v>3469</v>
      </c>
      <c r="B446" s="3841">
        <v>-1</v>
      </c>
      <c r="C446" s="3839" t="s">
        <v>3609</v>
      </c>
      <c r="D446" s="3837" t="str">
        <f t="shared" si="24"/>
        <v>1114</v>
      </c>
      <c r="E446" s="3838" t="s">
        <v>3338</v>
      </c>
      <c r="F446" s="3840">
        <v>34.85</v>
      </c>
    </row>
    <row r="447" spans="1:6">
      <c r="A447" s="3838" t="s">
        <v>3469</v>
      </c>
      <c r="B447" s="3841">
        <v>-1</v>
      </c>
      <c r="C447" s="3839" t="s">
        <v>3610</v>
      </c>
      <c r="D447" s="3837" t="str">
        <f t="shared" si="24"/>
        <v>1115</v>
      </c>
      <c r="E447" s="3838" t="s">
        <v>3338</v>
      </c>
      <c r="F447" s="3840">
        <v>34.85</v>
      </c>
    </row>
    <row r="448" spans="1:6">
      <c r="A448" s="3838" t="s">
        <v>3469</v>
      </c>
      <c r="B448" s="3841">
        <v>-1</v>
      </c>
      <c r="C448" s="3839" t="s">
        <v>3611</v>
      </c>
      <c r="D448" s="3837" t="str">
        <f t="shared" si="24"/>
        <v>1116</v>
      </c>
      <c r="E448" s="3838" t="s">
        <v>3338</v>
      </c>
      <c r="F448" s="3840">
        <v>34.85</v>
      </c>
    </row>
    <row r="449" spans="1:6">
      <c r="A449" s="3838" t="s">
        <v>3469</v>
      </c>
      <c r="B449" s="3841">
        <v>-1</v>
      </c>
      <c r="C449" s="3839" t="s">
        <v>3612</v>
      </c>
      <c r="D449" s="3837" t="str">
        <f t="shared" si="24"/>
        <v>1117</v>
      </c>
      <c r="E449" s="3838" t="s">
        <v>3338</v>
      </c>
      <c r="F449" s="3840">
        <v>34.85</v>
      </c>
    </row>
    <row r="450" spans="1:6">
      <c r="A450" s="3838" t="s">
        <v>3469</v>
      </c>
      <c r="B450" s="3841">
        <v>-1</v>
      </c>
      <c r="C450" s="3839" t="s">
        <v>3613</v>
      </c>
      <c r="D450" s="3837" t="str">
        <f t="shared" si="24"/>
        <v>1118</v>
      </c>
      <c r="E450" s="3838" t="s">
        <v>3338</v>
      </c>
      <c r="F450" s="3840">
        <v>34.85</v>
      </c>
    </row>
    <row r="451" spans="1:6">
      <c r="A451" s="3838" t="s">
        <v>3469</v>
      </c>
      <c r="B451" s="3841">
        <v>-1</v>
      </c>
      <c r="C451" s="3839" t="s">
        <v>3614</v>
      </c>
      <c r="D451" s="3837" t="str">
        <f t="shared" si="24"/>
        <v>1119</v>
      </c>
      <c r="E451" s="3838" t="s">
        <v>3338</v>
      </c>
      <c r="F451" s="3840">
        <v>34.85</v>
      </c>
    </row>
    <row r="452" spans="1:6">
      <c r="A452" s="3838" t="s">
        <v>3469</v>
      </c>
      <c r="B452" s="3841">
        <v>-1</v>
      </c>
      <c r="C452" s="3839" t="s">
        <v>3615</v>
      </c>
      <c r="D452" s="3837" t="str">
        <f t="shared" si="24"/>
        <v>1120</v>
      </c>
      <c r="E452" s="3838" t="s">
        <v>3338</v>
      </c>
      <c r="F452" s="3840">
        <v>34.85</v>
      </c>
    </row>
    <row r="453" spans="1:6">
      <c r="A453" s="3838" t="s">
        <v>3469</v>
      </c>
      <c r="B453" s="3841">
        <v>-1</v>
      </c>
      <c r="C453" s="3839" t="s">
        <v>3616</v>
      </c>
      <c r="D453" s="3837" t="str">
        <f t="shared" si="24"/>
        <v>1121</v>
      </c>
      <c r="E453" s="3838" t="s">
        <v>3338</v>
      </c>
      <c r="F453" s="3840">
        <v>34.85</v>
      </c>
    </row>
    <row r="454" spans="1:6">
      <c r="A454" s="3838" t="s">
        <v>3469</v>
      </c>
      <c r="B454" s="3841">
        <v>-1</v>
      </c>
      <c r="C454" s="3839" t="s">
        <v>3617</v>
      </c>
      <c r="D454" s="3837" t="str">
        <f t="shared" si="24"/>
        <v>1122</v>
      </c>
      <c r="E454" s="3838" t="s">
        <v>3338</v>
      </c>
      <c r="F454" s="3840">
        <v>34.85</v>
      </c>
    </row>
    <row r="455" spans="1:6">
      <c r="A455" s="3838" t="s">
        <v>3469</v>
      </c>
      <c r="B455" s="3841">
        <v>-1</v>
      </c>
      <c r="C455" s="3839" t="s">
        <v>3618</v>
      </c>
      <c r="D455" s="3837" t="str">
        <f t="shared" si="24"/>
        <v>1123</v>
      </c>
      <c r="E455" s="3838" t="s">
        <v>3338</v>
      </c>
      <c r="F455" s="3840">
        <v>34.85</v>
      </c>
    </row>
    <row r="456" spans="1:6">
      <c r="A456" s="3838" t="s">
        <v>3469</v>
      </c>
      <c r="B456" s="3841">
        <v>-1</v>
      </c>
      <c r="C456" s="3839" t="s">
        <v>3619</v>
      </c>
      <c r="D456" s="3837" t="str">
        <f t="shared" si="24"/>
        <v>1124</v>
      </c>
      <c r="E456" s="3838" t="s">
        <v>3338</v>
      </c>
      <c r="F456" s="3840">
        <v>34.85</v>
      </c>
    </row>
    <row r="457" spans="1:6">
      <c r="A457" s="3838" t="s">
        <v>3469</v>
      </c>
      <c r="B457" s="3841">
        <v>-1</v>
      </c>
      <c r="C457" s="3839" t="s">
        <v>3620</v>
      </c>
      <c r="D457" s="3837" t="str">
        <f t="shared" si="24"/>
        <v>1125</v>
      </c>
      <c r="E457" s="3838" t="s">
        <v>3338</v>
      </c>
      <c r="F457" s="3840">
        <v>34.85</v>
      </c>
    </row>
    <row r="458" spans="1:6">
      <c r="A458" s="3838" t="s">
        <v>3469</v>
      </c>
      <c r="B458" s="3841">
        <v>-1</v>
      </c>
      <c r="C458" s="3839" t="s">
        <v>3621</v>
      </c>
      <c r="D458" s="3837" t="str">
        <f t="shared" si="24"/>
        <v>1126</v>
      </c>
      <c r="E458" s="3838" t="s">
        <v>3338</v>
      </c>
      <c r="F458" s="3840">
        <v>34.85</v>
      </c>
    </row>
    <row r="459" spans="1:6">
      <c r="A459" s="3838" t="s">
        <v>3469</v>
      </c>
      <c r="B459" s="3841">
        <v>-1</v>
      </c>
      <c r="C459" s="3839" t="s">
        <v>3622</v>
      </c>
      <c r="D459" s="3837" t="str">
        <f t="shared" si="24"/>
        <v>1127</v>
      </c>
      <c r="E459" s="3838" t="s">
        <v>3338</v>
      </c>
      <c r="F459" s="3840">
        <v>34.85</v>
      </c>
    </row>
    <row r="460" spans="1:6">
      <c r="A460" s="3838" t="s">
        <v>3469</v>
      </c>
      <c r="B460" s="3841">
        <v>-1</v>
      </c>
      <c r="C460" s="3839" t="s">
        <v>3623</v>
      </c>
      <c r="D460" s="3837" t="str">
        <f t="shared" si="24"/>
        <v>1128</v>
      </c>
      <c r="E460" s="3838" t="s">
        <v>3338</v>
      </c>
      <c r="F460" s="3840">
        <v>34.85</v>
      </c>
    </row>
    <row r="461" spans="1:6">
      <c r="A461" s="3838" t="s">
        <v>3469</v>
      </c>
      <c r="B461" s="3841">
        <v>-1</v>
      </c>
      <c r="C461" s="3839" t="s">
        <v>3624</v>
      </c>
      <c r="D461" s="3837" t="str">
        <f t="shared" ref="D461:D524" si="25">""&amp;C461</f>
        <v>1129</v>
      </c>
      <c r="E461" s="3838" t="s">
        <v>3338</v>
      </c>
      <c r="F461" s="3840">
        <v>34.85</v>
      </c>
    </row>
    <row r="462" spans="1:6">
      <c r="A462" s="3838" t="s">
        <v>3469</v>
      </c>
      <c r="B462" s="3841">
        <v>-1</v>
      </c>
      <c r="C462" s="3839" t="s">
        <v>3625</v>
      </c>
      <c r="D462" s="3837" t="str">
        <f t="shared" si="25"/>
        <v>1130</v>
      </c>
      <c r="E462" s="3838" t="s">
        <v>3338</v>
      </c>
      <c r="F462" s="3840">
        <v>34.85</v>
      </c>
    </row>
    <row r="463" spans="1:6">
      <c r="A463" s="3838" t="s">
        <v>3469</v>
      </c>
      <c r="B463" s="3841">
        <v>-1</v>
      </c>
      <c r="C463" s="3839" t="s">
        <v>3626</v>
      </c>
      <c r="D463" s="3837" t="str">
        <f t="shared" si="25"/>
        <v>1131</v>
      </c>
      <c r="E463" s="3838" t="s">
        <v>3338</v>
      </c>
      <c r="F463" s="3840">
        <v>34.85</v>
      </c>
    </row>
    <row r="464" spans="1:6">
      <c r="A464" s="3838" t="s">
        <v>3469</v>
      </c>
      <c r="B464" s="3841">
        <v>-1</v>
      </c>
      <c r="C464" s="3839" t="s">
        <v>3627</v>
      </c>
      <c r="D464" s="3837" t="str">
        <f t="shared" si="25"/>
        <v>1132</v>
      </c>
      <c r="E464" s="3838" t="s">
        <v>3338</v>
      </c>
      <c r="F464" s="3840">
        <v>34.85</v>
      </c>
    </row>
    <row r="465" spans="1:6">
      <c r="A465" s="3838" t="s">
        <v>3469</v>
      </c>
      <c r="B465" s="3841">
        <v>-1</v>
      </c>
      <c r="C465" s="3839" t="s">
        <v>3628</v>
      </c>
      <c r="D465" s="3837" t="str">
        <f t="shared" si="25"/>
        <v>1133</v>
      </c>
      <c r="E465" s="3838" t="s">
        <v>3338</v>
      </c>
      <c r="F465" s="3840">
        <v>34.85</v>
      </c>
    </row>
    <row r="466" spans="1:6">
      <c r="A466" s="3838" t="s">
        <v>3469</v>
      </c>
      <c r="B466" s="3841">
        <v>-1</v>
      </c>
      <c r="C466" s="3839" t="s">
        <v>3629</v>
      </c>
      <c r="D466" s="3837" t="str">
        <f t="shared" si="25"/>
        <v>1134</v>
      </c>
      <c r="E466" s="3838" t="s">
        <v>3338</v>
      </c>
      <c r="F466" s="3840">
        <v>34.85</v>
      </c>
    </row>
    <row r="467" spans="1:6">
      <c r="A467" s="3838" t="s">
        <v>3469</v>
      </c>
      <c r="B467" s="3841">
        <v>-1</v>
      </c>
      <c r="C467" s="3839" t="s">
        <v>3630</v>
      </c>
      <c r="D467" s="3837" t="str">
        <f t="shared" si="25"/>
        <v>1135</v>
      </c>
      <c r="E467" s="3838" t="s">
        <v>3338</v>
      </c>
      <c r="F467" s="3840">
        <v>34.85</v>
      </c>
    </row>
    <row r="468" spans="1:6">
      <c r="A468" s="3838" t="s">
        <v>3469</v>
      </c>
      <c r="B468" s="3841">
        <v>-1</v>
      </c>
      <c r="C468" s="3839" t="s">
        <v>3631</v>
      </c>
      <c r="D468" s="3837" t="str">
        <f t="shared" si="25"/>
        <v>1136</v>
      </c>
      <c r="E468" s="3838" t="s">
        <v>3338</v>
      </c>
      <c r="F468" s="3840">
        <v>34.85</v>
      </c>
    </row>
    <row r="469" spans="1:6">
      <c r="A469" s="3838" t="s">
        <v>3469</v>
      </c>
      <c r="B469" s="3841">
        <v>-1</v>
      </c>
      <c r="C469" s="3839" t="s">
        <v>3632</v>
      </c>
      <c r="D469" s="3837" t="str">
        <f t="shared" si="25"/>
        <v>1137</v>
      </c>
      <c r="E469" s="3838" t="s">
        <v>3338</v>
      </c>
      <c r="F469" s="3840">
        <v>34.85</v>
      </c>
    </row>
    <row r="470" spans="1:6">
      <c r="A470" s="3838" t="s">
        <v>3469</v>
      </c>
      <c r="B470" s="3841">
        <v>-1</v>
      </c>
      <c r="C470" s="3839" t="s">
        <v>3633</v>
      </c>
      <c r="D470" s="3837" t="str">
        <f t="shared" si="25"/>
        <v>1138</v>
      </c>
      <c r="E470" s="3838" t="s">
        <v>3338</v>
      </c>
      <c r="F470" s="3840">
        <v>34.85</v>
      </c>
    </row>
    <row r="471" spans="1:6">
      <c r="A471" s="3838" t="s">
        <v>3469</v>
      </c>
      <c r="B471" s="3841">
        <v>-1</v>
      </c>
      <c r="C471" s="3839" t="s">
        <v>3634</v>
      </c>
      <c r="D471" s="3837" t="str">
        <f t="shared" si="25"/>
        <v>1139</v>
      </c>
      <c r="E471" s="3838" t="s">
        <v>3338</v>
      </c>
      <c r="F471" s="3840">
        <v>34.85</v>
      </c>
    </row>
    <row r="472" spans="1:6">
      <c r="A472" s="3838" t="s">
        <v>3469</v>
      </c>
      <c r="B472" s="3841">
        <v>-1</v>
      </c>
      <c r="C472" s="3839" t="s">
        <v>3635</v>
      </c>
      <c r="D472" s="3837" t="str">
        <f t="shared" si="25"/>
        <v>1140</v>
      </c>
      <c r="E472" s="3838" t="s">
        <v>3338</v>
      </c>
      <c r="F472" s="3840">
        <v>34.85</v>
      </c>
    </row>
    <row r="473" spans="1:6">
      <c r="A473" s="3838" t="s">
        <v>3469</v>
      </c>
      <c r="B473" s="3841">
        <v>-1</v>
      </c>
      <c r="C473" s="3839" t="s">
        <v>3636</v>
      </c>
      <c r="D473" s="3837" t="str">
        <f t="shared" si="25"/>
        <v>1141</v>
      </c>
      <c r="E473" s="3838" t="s">
        <v>3338</v>
      </c>
      <c r="F473" s="3840">
        <v>34.85</v>
      </c>
    </row>
    <row r="474" spans="1:6">
      <c r="A474" s="3838" t="s">
        <v>3469</v>
      </c>
      <c r="B474" s="3841">
        <v>-1</v>
      </c>
      <c r="C474" s="3839" t="s">
        <v>3637</v>
      </c>
      <c r="D474" s="3837" t="str">
        <f t="shared" si="25"/>
        <v>1142</v>
      </c>
      <c r="E474" s="3838" t="s">
        <v>3338</v>
      </c>
      <c r="F474" s="3840">
        <v>34.85</v>
      </c>
    </row>
    <row r="475" spans="1:6">
      <c r="A475" s="3838" t="s">
        <v>3469</v>
      </c>
      <c r="B475" s="3841">
        <v>-1</v>
      </c>
      <c r="C475" s="3839" t="s">
        <v>3638</v>
      </c>
      <c r="D475" s="3837" t="str">
        <f t="shared" si="25"/>
        <v>1143</v>
      </c>
      <c r="E475" s="3838" t="s">
        <v>3338</v>
      </c>
      <c r="F475" s="3840">
        <v>34.85</v>
      </c>
    </row>
    <row r="476" spans="1:6">
      <c r="A476" s="3838" t="s">
        <v>3469</v>
      </c>
      <c r="B476" s="3841">
        <v>-1</v>
      </c>
      <c r="C476" s="3839" t="s">
        <v>3639</v>
      </c>
      <c r="D476" s="3837" t="str">
        <f t="shared" si="25"/>
        <v>1144</v>
      </c>
      <c r="E476" s="3838" t="s">
        <v>3338</v>
      </c>
      <c r="F476" s="3840">
        <v>34.85</v>
      </c>
    </row>
    <row r="477" spans="1:6">
      <c r="A477" s="3838" t="s">
        <v>3469</v>
      </c>
      <c r="B477" s="3841">
        <v>-1</v>
      </c>
      <c r="C477" s="3839" t="s">
        <v>3640</v>
      </c>
      <c r="D477" s="3837" t="str">
        <f t="shared" si="25"/>
        <v>1145</v>
      </c>
      <c r="E477" s="3838" t="s">
        <v>3338</v>
      </c>
      <c r="F477" s="3840">
        <v>34.85</v>
      </c>
    </row>
    <row r="478" spans="1:6">
      <c r="A478" s="3838" t="s">
        <v>3469</v>
      </c>
      <c r="B478" s="3841">
        <v>-1</v>
      </c>
      <c r="C478" s="3839" t="s">
        <v>3641</v>
      </c>
      <c r="D478" s="3837" t="str">
        <f t="shared" si="25"/>
        <v>1146</v>
      </c>
      <c r="E478" s="3838" t="s">
        <v>3338</v>
      </c>
      <c r="F478" s="3840">
        <v>34.85</v>
      </c>
    </row>
    <row r="479" spans="1:6">
      <c r="A479" s="3838" t="s">
        <v>3469</v>
      </c>
      <c r="B479" s="3841">
        <v>-1</v>
      </c>
      <c r="C479" s="3839" t="s">
        <v>3642</v>
      </c>
      <c r="D479" s="3837" t="str">
        <f t="shared" si="25"/>
        <v>1147</v>
      </c>
      <c r="E479" s="3838" t="s">
        <v>3338</v>
      </c>
      <c r="F479" s="3840">
        <v>34.85</v>
      </c>
    </row>
    <row r="480" spans="1:6">
      <c r="A480" s="3838" t="s">
        <v>3469</v>
      </c>
      <c r="B480" s="3841">
        <v>-1</v>
      </c>
      <c r="C480" s="3839" t="s">
        <v>3643</v>
      </c>
      <c r="D480" s="3837" t="str">
        <f t="shared" si="25"/>
        <v>1148</v>
      </c>
      <c r="E480" s="3838" t="s">
        <v>3338</v>
      </c>
      <c r="F480" s="3840">
        <v>34.85</v>
      </c>
    </row>
    <row r="481" spans="1:6">
      <c r="A481" s="3838" t="s">
        <v>3469</v>
      </c>
      <c r="B481" s="3841">
        <v>-1</v>
      </c>
      <c r="C481" s="3839" t="s">
        <v>3644</v>
      </c>
      <c r="D481" s="3837" t="str">
        <f t="shared" si="25"/>
        <v>1149</v>
      </c>
      <c r="E481" s="3838" t="s">
        <v>3338</v>
      </c>
      <c r="F481" s="3840">
        <v>34.85</v>
      </c>
    </row>
    <row r="482" spans="1:6">
      <c r="A482" s="3838" t="s">
        <v>3469</v>
      </c>
      <c r="B482" s="3841">
        <v>-1</v>
      </c>
      <c r="C482" s="3839" t="s">
        <v>3645</v>
      </c>
      <c r="D482" s="3837" t="str">
        <f t="shared" si="25"/>
        <v>1150</v>
      </c>
      <c r="E482" s="3838" t="s">
        <v>3338</v>
      </c>
      <c r="F482" s="3840">
        <v>34.85</v>
      </c>
    </row>
    <row r="483" spans="1:6">
      <c r="A483" s="3838" t="s">
        <v>3469</v>
      </c>
      <c r="B483" s="3841">
        <v>-1</v>
      </c>
      <c r="C483" s="3839" t="s">
        <v>3646</v>
      </c>
      <c r="D483" s="3837" t="str">
        <f t="shared" si="25"/>
        <v>1151</v>
      </c>
      <c r="E483" s="3838" t="s">
        <v>3338</v>
      </c>
      <c r="F483" s="3840">
        <v>34.85</v>
      </c>
    </row>
    <row r="484" spans="1:6">
      <c r="A484" s="3838" t="s">
        <v>3469</v>
      </c>
      <c r="B484" s="3841">
        <v>-1</v>
      </c>
      <c r="C484" s="3839" t="s">
        <v>3647</v>
      </c>
      <c r="D484" s="3837" t="str">
        <f t="shared" si="25"/>
        <v>1152</v>
      </c>
      <c r="E484" s="3838" t="s">
        <v>3338</v>
      </c>
      <c r="F484" s="3840">
        <v>34.85</v>
      </c>
    </row>
    <row r="485" spans="1:6">
      <c r="A485" s="3838" t="s">
        <v>3469</v>
      </c>
      <c r="B485" s="3841">
        <v>-1</v>
      </c>
      <c r="C485" s="3839" t="s">
        <v>3648</v>
      </c>
      <c r="D485" s="3837" t="str">
        <f t="shared" si="25"/>
        <v>1153</v>
      </c>
      <c r="E485" s="3838" t="s">
        <v>3338</v>
      </c>
      <c r="F485" s="3840">
        <v>34.85</v>
      </c>
    </row>
    <row r="486" spans="1:6">
      <c r="A486" s="3838" t="s">
        <v>3469</v>
      </c>
      <c r="B486" s="3841">
        <v>-1</v>
      </c>
      <c r="C486" s="3839" t="s">
        <v>3649</v>
      </c>
      <c r="D486" s="3837" t="str">
        <f t="shared" si="25"/>
        <v>1154</v>
      </c>
      <c r="E486" s="3838" t="s">
        <v>3338</v>
      </c>
      <c r="F486" s="3840">
        <v>34.85</v>
      </c>
    </row>
    <row r="487" spans="1:6">
      <c r="A487" s="3838" t="s">
        <v>3469</v>
      </c>
      <c r="B487" s="3841">
        <v>-1</v>
      </c>
      <c r="C487" s="3839" t="s">
        <v>3650</v>
      </c>
      <c r="D487" s="3837" t="str">
        <f t="shared" si="25"/>
        <v>1155</v>
      </c>
      <c r="E487" s="3838" t="s">
        <v>3338</v>
      </c>
      <c r="F487" s="3840">
        <v>34.85</v>
      </c>
    </row>
    <row r="488" spans="1:6">
      <c r="A488" s="3838" t="s">
        <v>3469</v>
      </c>
      <c r="B488" s="3841">
        <v>-1</v>
      </c>
      <c r="C488" s="3839" t="s">
        <v>3651</v>
      </c>
      <c r="D488" s="3837" t="str">
        <f t="shared" si="25"/>
        <v>1156</v>
      </c>
      <c r="E488" s="3838" t="s">
        <v>3338</v>
      </c>
      <c r="F488" s="3840">
        <v>34.85</v>
      </c>
    </row>
    <row r="489" spans="1:6">
      <c r="A489" s="3838" t="s">
        <v>3469</v>
      </c>
      <c r="B489" s="3841">
        <v>-1</v>
      </c>
      <c r="C489" s="3839" t="s">
        <v>3652</v>
      </c>
      <c r="D489" s="3837" t="str">
        <f t="shared" si="25"/>
        <v>1157</v>
      </c>
      <c r="E489" s="3838" t="s">
        <v>3338</v>
      </c>
      <c r="F489" s="3840">
        <v>34.85</v>
      </c>
    </row>
    <row r="490" spans="1:6">
      <c r="A490" s="3838" t="s">
        <v>3469</v>
      </c>
      <c r="B490" s="3841">
        <v>-1</v>
      </c>
      <c r="C490" s="3839" t="s">
        <v>3653</v>
      </c>
      <c r="D490" s="3837" t="str">
        <f t="shared" si="25"/>
        <v>1158</v>
      </c>
      <c r="E490" s="3838" t="s">
        <v>3338</v>
      </c>
      <c r="F490" s="3840">
        <v>34.85</v>
      </c>
    </row>
    <row r="491" spans="1:6">
      <c r="A491" s="3838" t="s">
        <v>3469</v>
      </c>
      <c r="B491" s="3841">
        <v>-1</v>
      </c>
      <c r="C491" s="3839" t="s">
        <v>3654</v>
      </c>
      <c r="D491" s="3837" t="str">
        <f t="shared" si="25"/>
        <v>1159</v>
      </c>
      <c r="E491" s="3838" t="s">
        <v>3338</v>
      </c>
      <c r="F491" s="3840">
        <v>34.85</v>
      </c>
    </row>
    <row r="492" spans="1:6">
      <c r="A492" s="3838" t="s">
        <v>3469</v>
      </c>
      <c r="B492" s="3841">
        <v>-1</v>
      </c>
      <c r="C492" s="3839" t="s">
        <v>3655</v>
      </c>
      <c r="D492" s="3837" t="str">
        <f t="shared" si="25"/>
        <v>1160</v>
      </c>
      <c r="E492" s="3838" t="s">
        <v>3338</v>
      </c>
      <c r="F492" s="3840">
        <v>24.11</v>
      </c>
    </row>
    <row r="493" spans="1:6">
      <c r="A493" s="3838" t="s">
        <v>3469</v>
      </c>
      <c r="B493" s="3841">
        <v>-1</v>
      </c>
      <c r="C493" s="3839" t="s">
        <v>3656</v>
      </c>
      <c r="D493" s="3837" t="str">
        <f t="shared" si="25"/>
        <v>1161</v>
      </c>
      <c r="E493" s="3838" t="s">
        <v>3338</v>
      </c>
      <c r="F493" s="3840">
        <v>24.11</v>
      </c>
    </row>
    <row r="494" spans="1:6">
      <c r="A494" s="3838" t="s">
        <v>3469</v>
      </c>
      <c r="B494" s="3841">
        <v>-1</v>
      </c>
      <c r="C494" s="3839" t="s">
        <v>3657</v>
      </c>
      <c r="D494" s="3837" t="str">
        <f t="shared" si="25"/>
        <v>1162</v>
      </c>
      <c r="E494" s="3838" t="s">
        <v>3338</v>
      </c>
      <c r="F494" s="3840">
        <v>24.11</v>
      </c>
    </row>
    <row r="495" spans="1:6">
      <c r="A495" s="3838" t="s">
        <v>3469</v>
      </c>
      <c r="B495" s="3841">
        <v>-1</v>
      </c>
      <c r="C495" s="3839" t="s">
        <v>3658</v>
      </c>
      <c r="D495" s="3837" t="str">
        <f t="shared" si="25"/>
        <v>1163</v>
      </c>
      <c r="E495" s="3838" t="s">
        <v>3338</v>
      </c>
      <c r="F495" s="3840">
        <v>34.85</v>
      </c>
    </row>
    <row r="496" spans="1:6">
      <c r="A496" s="3838" t="s">
        <v>3469</v>
      </c>
      <c r="B496" s="3841">
        <v>-1</v>
      </c>
      <c r="C496" s="3839" t="s">
        <v>3659</v>
      </c>
      <c r="D496" s="3837" t="str">
        <f t="shared" si="25"/>
        <v>1164</v>
      </c>
      <c r="E496" s="3838" t="s">
        <v>3338</v>
      </c>
      <c r="F496" s="3840">
        <v>34.85</v>
      </c>
    </row>
    <row r="497" spans="1:6">
      <c r="A497" s="3838" t="s">
        <v>3469</v>
      </c>
      <c r="B497" s="3841">
        <v>-1</v>
      </c>
      <c r="C497" s="3839" t="s">
        <v>3660</v>
      </c>
      <c r="D497" s="3837" t="str">
        <f t="shared" si="25"/>
        <v>1165</v>
      </c>
      <c r="E497" s="3838" t="s">
        <v>3338</v>
      </c>
      <c r="F497" s="3840">
        <v>34.85</v>
      </c>
    </row>
    <row r="498" spans="1:6">
      <c r="A498" s="3838" t="s">
        <v>3469</v>
      </c>
      <c r="B498" s="3841">
        <v>-1</v>
      </c>
      <c r="C498" s="3839" t="s">
        <v>3661</v>
      </c>
      <c r="D498" s="3837" t="str">
        <f t="shared" si="25"/>
        <v>1166</v>
      </c>
      <c r="E498" s="3838" t="s">
        <v>3338</v>
      </c>
      <c r="F498" s="3840">
        <v>34.85</v>
      </c>
    </row>
    <row r="499" spans="1:6">
      <c r="A499" s="3838" t="s">
        <v>3469</v>
      </c>
      <c r="B499" s="3841">
        <v>-1</v>
      </c>
      <c r="C499" s="3839" t="s">
        <v>3662</v>
      </c>
      <c r="D499" s="3837" t="str">
        <f t="shared" si="25"/>
        <v>1167</v>
      </c>
      <c r="E499" s="3838" t="s">
        <v>3338</v>
      </c>
      <c r="F499" s="3840">
        <v>34.85</v>
      </c>
    </row>
    <row r="500" spans="1:6">
      <c r="A500" s="3838" t="s">
        <v>3469</v>
      </c>
      <c r="B500" s="3841">
        <v>-1</v>
      </c>
      <c r="C500" s="3839" t="s">
        <v>3663</v>
      </c>
      <c r="D500" s="3837" t="str">
        <f t="shared" si="25"/>
        <v>1168</v>
      </c>
      <c r="E500" s="3838" t="s">
        <v>3338</v>
      </c>
      <c r="F500" s="3840">
        <v>34.85</v>
      </c>
    </row>
    <row r="501" spans="1:6">
      <c r="A501" s="3838" t="s">
        <v>3469</v>
      </c>
      <c r="B501" s="3841">
        <v>-1</v>
      </c>
      <c r="C501" s="3839" t="s">
        <v>3664</v>
      </c>
      <c r="D501" s="3837" t="str">
        <f t="shared" si="25"/>
        <v>1169</v>
      </c>
      <c r="E501" s="3838" t="s">
        <v>3338</v>
      </c>
      <c r="F501" s="3840">
        <v>34.85</v>
      </c>
    </row>
    <row r="502" spans="1:6">
      <c r="A502" s="3838" t="s">
        <v>3469</v>
      </c>
      <c r="B502" s="3841">
        <v>-1</v>
      </c>
      <c r="C502" s="3839" t="s">
        <v>3665</v>
      </c>
      <c r="D502" s="3837" t="str">
        <f t="shared" si="25"/>
        <v>1170</v>
      </c>
      <c r="E502" s="3838" t="s">
        <v>3338</v>
      </c>
      <c r="F502" s="3840">
        <v>34.85</v>
      </c>
    </row>
    <row r="503" spans="1:6">
      <c r="A503" s="3838" t="s">
        <v>3469</v>
      </c>
      <c r="B503" s="3841">
        <v>-1</v>
      </c>
      <c r="C503" s="3839" t="s">
        <v>3666</v>
      </c>
      <c r="D503" s="3837" t="str">
        <f t="shared" si="25"/>
        <v>1171</v>
      </c>
      <c r="E503" s="3838" t="s">
        <v>3338</v>
      </c>
      <c r="F503" s="3840">
        <v>34.85</v>
      </c>
    </row>
    <row r="504" spans="1:6">
      <c r="A504" s="3838" t="s">
        <v>3469</v>
      </c>
      <c r="B504" s="3841">
        <v>-1</v>
      </c>
      <c r="C504" s="3839" t="s">
        <v>3667</v>
      </c>
      <c r="D504" s="3837" t="str">
        <f t="shared" si="25"/>
        <v>1172</v>
      </c>
      <c r="E504" s="3838" t="s">
        <v>3338</v>
      </c>
      <c r="F504" s="3840">
        <v>34.85</v>
      </c>
    </row>
    <row r="505" spans="1:6">
      <c r="A505" s="3838" t="s">
        <v>3469</v>
      </c>
      <c r="B505" s="3841">
        <v>-1</v>
      </c>
      <c r="C505" s="3839" t="s">
        <v>3668</v>
      </c>
      <c r="D505" s="3837" t="str">
        <f t="shared" si="25"/>
        <v>1173</v>
      </c>
      <c r="E505" s="3838" t="s">
        <v>3338</v>
      </c>
      <c r="F505" s="3840">
        <v>34.85</v>
      </c>
    </row>
    <row r="506" spans="1:6">
      <c r="A506" s="3838" t="s">
        <v>3469</v>
      </c>
      <c r="B506" s="3841">
        <v>-1</v>
      </c>
      <c r="C506" s="3839" t="s">
        <v>3669</v>
      </c>
      <c r="D506" s="3837" t="str">
        <f t="shared" si="25"/>
        <v>1174</v>
      </c>
      <c r="E506" s="3838" t="s">
        <v>3338</v>
      </c>
      <c r="F506" s="3840">
        <v>34.85</v>
      </c>
    </row>
    <row r="507" spans="1:6">
      <c r="A507" s="3838" t="s">
        <v>3469</v>
      </c>
      <c r="B507" s="3841">
        <v>-1</v>
      </c>
      <c r="C507" s="3839" t="s">
        <v>3670</v>
      </c>
      <c r="D507" s="3837" t="str">
        <f t="shared" si="25"/>
        <v>1175</v>
      </c>
      <c r="E507" s="3838" t="s">
        <v>3338</v>
      </c>
      <c r="F507" s="3840">
        <v>34.85</v>
      </c>
    </row>
    <row r="508" spans="1:6">
      <c r="A508" s="3838" t="s">
        <v>3469</v>
      </c>
      <c r="B508" s="3841">
        <v>-1</v>
      </c>
      <c r="C508" s="3839" t="s">
        <v>3671</v>
      </c>
      <c r="D508" s="3837" t="str">
        <f t="shared" si="25"/>
        <v>1176</v>
      </c>
      <c r="E508" s="3838" t="s">
        <v>3338</v>
      </c>
      <c r="F508" s="3840">
        <v>34.85</v>
      </c>
    </row>
    <row r="509" spans="1:6">
      <c r="A509" s="3838" t="s">
        <v>3469</v>
      </c>
      <c r="B509" s="3841">
        <v>-1</v>
      </c>
      <c r="C509" s="3839" t="s">
        <v>3672</v>
      </c>
      <c r="D509" s="3837" t="str">
        <f t="shared" si="25"/>
        <v>1177</v>
      </c>
      <c r="E509" s="3838" t="s">
        <v>3338</v>
      </c>
      <c r="F509" s="3840">
        <v>34.85</v>
      </c>
    </row>
    <row r="510" spans="1:6">
      <c r="A510" s="3838" t="s">
        <v>3469</v>
      </c>
      <c r="B510" s="3841">
        <v>-1</v>
      </c>
      <c r="C510" s="3839" t="s">
        <v>3673</v>
      </c>
      <c r="D510" s="3837" t="str">
        <f t="shared" si="25"/>
        <v>1178</v>
      </c>
      <c r="E510" s="3838" t="s">
        <v>3338</v>
      </c>
      <c r="F510" s="3840">
        <v>34.85</v>
      </c>
    </row>
    <row r="511" spans="1:6">
      <c r="A511" s="3838" t="s">
        <v>3469</v>
      </c>
      <c r="B511" s="3841">
        <v>-1</v>
      </c>
      <c r="C511" s="3839" t="s">
        <v>3674</v>
      </c>
      <c r="D511" s="3837" t="str">
        <f t="shared" si="25"/>
        <v>1179</v>
      </c>
      <c r="E511" s="3838" t="s">
        <v>3338</v>
      </c>
      <c r="F511" s="3840">
        <v>34.85</v>
      </c>
    </row>
    <row r="512" spans="1:6">
      <c r="A512" s="3838" t="s">
        <v>3469</v>
      </c>
      <c r="B512" s="3841">
        <v>-1</v>
      </c>
      <c r="C512" s="3839" t="s">
        <v>3675</v>
      </c>
      <c r="D512" s="3837" t="str">
        <f t="shared" si="25"/>
        <v>1180</v>
      </c>
      <c r="E512" s="3838" t="s">
        <v>3338</v>
      </c>
      <c r="F512" s="3840">
        <v>34.85</v>
      </c>
    </row>
    <row r="513" spans="1:6">
      <c r="A513" s="3838" t="s">
        <v>3469</v>
      </c>
      <c r="B513" s="3841">
        <v>-1</v>
      </c>
      <c r="C513" s="3839" t="s">
        <v>3676</v>
      </c>
      <c r="D513" s="3837" t="str">
        <f t="shared" si="25"/>
        <v>1181</v>
      </c>
      <c r="E513" s="3838" t="s">
        <v>3338</v>
      </c>
      <c r="F513" s="3840">
        <v>34.85</v>
      </c>
    </row>
    <row r="514" spans="1:6">
      <c r="A514" s="3838" t="s">
        <v>3469</v>
      </c>
      <c r="B514" s="3841">
        <v>-1</v>
      </c>
      <c r="C514" s="3839" t="s">
        <v>3677</v>
      </c>
      <c r="D514" s="3837" t="str">
        <f t="shared" si="25"/>
        <v>1182</v>
      </c>
      <c r="E514" s="3838" t="s">
        <v>3338</v>
      </c>
      <c r="F514" s="3840">
        <v>34.85</v>
      </c>
    </row>
    <row r="515" spans="1:6">
      <c r="A515" s="3838" t="s">
        <v>3469</v>
      </c>
      <c r="B515" s="3841">
        <v>-1</v>
      </c>
      <c r="C515" s="3839" t="s">
        <v>3678</v>
      </c>
      <c r="D515" s="3837" t="str">
        <f t="shared" si="25"/>
        <v>1183</v>
      </c>
      <c r="E515" s="3838" t="s">
        <v>3338</v>
      </c>
      <c r="F515" s="3840">
        <v>34.85</v>
      </c>
    </row>
    <row r="516" spans="1:6">
      <c r="A516" s="3838" t="s">
        <v>3469</v>
      </c>
      <c r="B516" s="3841">
        <v>-1</v>
      </c>
      <c r="C516" s="3839" t="s">
        <v>3679</v>
      </c>
      <c r="D516" s="3837" t="str">
        <f t="shared" si="25"/>
        <v>1184</v>
      </c>
      <c r="E516" s="3838" t="s">
        <v>3338</v>
      </c>
      <c r="F516" s="3840">
        <v>34.85</v>
      </c>
    </row>
    <row r="517" spans="1:6">
      <c r="A517" s="3838" t="s">
        <v>3469</v>
      </c>
      <c r="B517" s="3841">
        <v>-1</v>
      </c>
      <c r="C517" s="3839" t="s">
        <v>3680</v>
      </c>
      <c r="D517" s="3837" t="str">
        <f t="shared" si="25"/>
        <v>1185</v>
      </c>
      <c r="E517" s="3838" t="s">
        <v>3338</v>
      </c>
      <c r="F517" s="3840">
        <v>34.85</v>
      </c>
    </row>
    <row r="518" spans="1:6">
      <c r="A518" s="3838" t="s">
        <v>3469</v>
      </c>
      <c r="B518" s="3841">
        <v>-1</v>
      </c>
      <c r="C518" s="3839" t="s">
        <v>3681</v>
      </c>
      <c r="D518" s="3837" t="str">
        <f t="shared" si="25"/>
        <v>1186</v>
      </c>
      <c r="E518" s="3838" t="s">
        <v>3338</v>
      </c>
      <c r="F518" s="3840">
        <v>34.85</v>
      </c>
    </row>
    <row r="519" spans="1:6">
      <c r="A519" s="3838" t="s">
        <v>3469</v>
      </c>
      <c r="B519" s="3841">
        <v>-1</v>
      </c>
      <c r="C519" s="3839" t="s">
        <v>3682</v>
      </c>
      <c r="D519" s="3837" t="str">
        <f t="shared" si="25"/>
        <v>1187</v>
      </c>
      <c r="E519" s="3838" t="s">
        <v>3338</v>
      </c>
      <c r="F519" s="3840">
        <v>34.85</v>
      </c>
    </row>
    <row r="520" spans="1:6">
      <c r="A520" s="3838" t="s">
        <v>3469</v>
      </c>
      <c r="B520" s="3841">
        <v>-1</v>
      </c>
      <c r="C520" s="3839" t="s">
        <v>3683</v>
      </c>
      <c r="D520" s="3837" t="str">
        <f t="shared" si="25"/>
        <v>1188</v>
      </c>
      <c r="E520" s="3838" t="s">
        <v>3338</v>
      </c>
      <c r="F520" s="3840">
        <v>34.85</v>
      </c>
    </row>
    <row r="521" spans="1:6">
      <c r="A521" s="3838" t="s">
        <v>3469</v>
      </c>
      <c r="B521" s="3841">
        <v>-1</v>
      </c>
      <c r="C521" s="3839" t="s">
        <v>3684</v>
      </c>
      <c r="D521" s="3837" t="str">
        <f t="shared" si="25"/>
        <v>1189</v>
      </c>
      <c r="E521" s="3838" t="s">
        <v>3338</v>
      </c>
      <c r="F521" s="3840">
        <v>34.85</v>
      </c>
    </row>
    <row r="522" spans="1:6">
      <c r="A522" s="3838" t="s">
        <v>3469</v>
      </c>
      <c r="B522" s="3841">
        <v>-1</v>
      </c>
      <c r="C522" s="3839" t="s">
        <v>3685</v>
      </c>
      <c r="D522" s="3837" t="str">
        <f t="shared" si="25"/>
        <v>1190</v>
      </c>
      <c r="E522" s="3838" t="s">
        <v>3338</v>
      </c>
      <c r="F522" s="3840">
        <v>34.85</v>
      </c>
    </row>
    <row r="523" spans="1:6">
      <c r="A523" s="3838" t="s">
        <v>3469</v>
      </c>
      <c r="B523" s="3841">
        <v>-1</v>
      </c>
      <c r="C523" s="3839" t="s">
        <v>3686</v>
      </c>
      <c r="D523" s="3837" t="str">
        <f t="shared" si="25"/>
        <v>1191</v>
      </c>
      <c r="E523" s="3838" t="s">
        <v>3338</v>
      </c>
      <c r="F523" s="3840">
        <v>34.85</v>
      </c>
    </row>
    <row r="524" spans="1:6">
      <c r="A524" s="3838" t="s">
        <v>3469</v>
      </c>
      <c r="B524" s="3841">
        <v>-1</v>
      </c>
      <c r="C524" s="3839" t="s">
        <v>3687</v>
      </c>
      <c r="D524" s="3837" t="str">
        <f t="shared" si="25"/>
        <v>1192</v>
      </c>
      <c r="E524" s="3838" t="s">
        <v>3338</v>
      </c>
      <c r="F524" s="3840">
        <v>34.85</v>
      </c>
    </row>
    <row r="525" spans="1:6">
      <c r="A525" s="3838" t="s">
        <v>3469</v>
      </c>
      <c r="B525" s="3841">
        <v>-1</v>
      </c>
      <c r="C525" s="3839" t="s">
        <v>3688</v>
      </c>
      <c r="D525" s="3837" t="str">
        <f t="shared" ref="D525:D588" si="26">""&amp;C525</f>
        <v>1193</v>
      </c>
      <c r="E525" s="3838" t="s">
        <v>3338</v>
      </c>
      <c r="F525" s="3840">
        <v>34.85</v>
      </c>
    </row>
    <row r="526" spans="1:6">
      <c r="A526" s="3838" t="s">
        <v>3469</v>
      </c>
      <c r="B526" s="3841">
        <v>-1</v>
      </c>
      <c r="C526" s="3839" t="s">
        <v>3689</v>
      </c>
      <c r="D526" s="3837" t="str">
        <f t="shared" si="26"/>
        <v>1194</v>
      </c>
      <c r="E526" s="3838" t="s">
        <v>3338</v>
      </c>
      <c r="F526" s="3840">
        <v>34.85</v>
      </c>
    </row>
    <row r="527" spans="1:6">
      <c r="A527" s="3838" t="s">
        <v>3469</v>
      </c>
      <c r="B527" s="3841">
        <v>-1</v>
      </c>
      <c r="C527" s="3839" t="s">
        <v>3690</v>
      </c>
      <c r="D527" s="3837" t="str">
        <f t="shared" si="26"/>
        <v>1195</v>
      </c>
      <c r="E527" s="3838" t="s">
        <v>3338</v>
      </c>
      <c r="F527" s="3840">
        <v>34.85</v>
      </c>
    </row>
    <row r="528" spans="1:6">
      <c r="A528" s="3838" t="s">
        <v>3469</v>
      </c>
      <c r="B528" s="3841">
        <v>-1</v>
      </c>
      <c r="C528" s="3839" t="s">
        <v>3691</v>
      </c>
      <c r="D528" s="3837" t="str">
        <f t="shared" si="26"/>
        <v>1196</v>
      </c>
      <c r="E528" s="3838" t="s">
        <v>3338</v>
      </c>
      <c r="F528" s="3840">
        <v>34.85</v>
      </c>
    </row>
    <row r="529" spans="1:6">
      <c r="A529" s="3838" t="s">
        <v>3469</v>
      </c>
      <c r="B529" s="3841">
        <v>-1</v>
      </c>
      <c r="C529" s="3839" t="s">
        <v>3692</v>
      </c>
      <c r="D529" s="3837" t="str">
        <f t="shared" si="26"/>
        <v>1197</v>
      </c>
      <c r="E529" s="3838" t="s">
        <v>3338</v>
      </c>
      <c r="F529" s="3840">
        <v>34.85</v>
      </c>
    </row>
    <row r="530" spans="1:6">
      <c r="A530" s="3838" t="s">
        <v>3469</v>
      </c>
      <c r="B530" s="3841">
        <v>-1</v>
      </c>
      <c r="C530" s="3839" t="s">
        <v>3693</v>
      </c>
      <c r="D530" s="3837" t="str">
        <f t="shared" si="26"/>
        <v>1198</v>
      </c>
      <c r="E530" s="3838" t="s">
        <v>3338</v>
      </c>
      <c r="F530" s="3840">
        <v>34.85</v>
      </c>
    </row>
    <row r="531" spans="1:6">
      <c r="A531" s="3838" t="s">
        <v>3469</v>
      </c>
      <c r="B531" s="3841">
        <v>-1</v>
      </c>
      <c r="C531" s="3839" t="s">
        <v>3694</v>
      </c>
      <c r="D531" s="3837" t="str">
        <f t="shared" si="26"/>
        <v>1199</v>
      </c>
      <c r="E531" s="3838" t="s">
        <v>3338</v>
      </c>
      <c r="F531" s="3840">
        <v>34.85</v>
      </c>
    </row>
    <row r="532" spans="1:6">
      <c r="A532" s="3838" t="s">
        <v>3469</v>
      </c>
      <c r="B532" s="3841">
        <v>-1</v>
      </c>
      <c r="C532" s="3839" t="s">
        <v>3695</v>
      </c>
      <c r="D532" s="3837" t="str">
        <f t="shared" si="26"/>
        <v>1200</v>
      </c>
      <c r="E532" s="3838" t="s">
        <v>3338</v>
      </c>
      <c r="F532" s="3840">
        <v>34.85</v>
      </c>
    </row>
    <row r="533" spans="1:6">
      <c r="A533" s="3838" t="s">
        <v>3469</v>
      </c>
      <c r="B533" s="3841">
        <v>-1</v>
      </c>
      <c r="C533" s="3839" t="s">
        <v>3696</v>
      </c>
      <c r="D533" s="3837" t="str">
        <f t="shared" si="26"/>
        <v>1201</v>
      </c>
      <c r="E533" s="3838" t="s">
        <v>3338</v>
      </c>
      <c r="F533" s="3840">
        <v>34.85</v>
      </c>
    </row>
    <row r="534" spans="1:6">
      <c r="A534" s="3838" t="s">
        <v>3469</v>
      </c>
      <c r="B534" s="3841">
        <v>-1</v>
      </c>
      <c r="C534" s="3839" t="s">
        <v>3697</v>
      </c>
      <c r="D534" s="3837" t="str">
        <f t="shared" si="26"/>
        <v>1202</v>
      </c>
      <c r="E534" s="3838" t="s">
        <v>3338</v>
      </c>
      <c r="F534" s="3840">
        <v>34.85</v>
      </c>
    </row>
    <row r="535" spans="1:6">
      <c r="A535" s="3838" t="s">
        <v>3469</v>
      </c>
      <c r="B535" s="3841">
        <v>-1</v>
      </c>
      <c r="C535" s="3839" t="s">
        <v>3698</v>
      </c>
      <c r="D535" s="3837" t="str">
        <f t="shared" si="26"/>
        <v>1203</v>
      </c>
      <c r="E535" s="3838" t="s">
        <v>3338</v>
      </c>
      <c r="F535" s="3840">
        <v>34.85</v>
      </c>
    </row>
    <row r="536" spans="1:6">
      <c r="A536" s="3838" t="s">
        <v>3469</v>
      </c>
      <c r="B536" s="3841">
        <v>-1</v>
      </c>
      <c r="C536" s="3839" t="s">
        <v>3699</v>
      </c>
      <c r="D536" s="3837" t="str">
        <f t="shared" si="26"/>
        <v>1204</v>
      </c>
      <c r="E536" s="3838" t="s">
        <v>3338</v>
      </c>
      <c r="F536" s="3840">
        <v>34.85</v>
      </c>
    </row>
    <row r="537" spans="1:6">
      <c r="A537" s="3838" t="s">
        <v>3469</v>
      </c>
      <c r="B537" s="3841">
        <v>-1</v>
      </c>
      <c r="C537" s="3839" t="s">
        <v>3700</v>
      </c>
      <c r="D537" s="3837" t="str">
        <f t="shared" si="26"/>
        <v>1205</v>
      </c>
      <c r="E537" s="3838" t="s">
        <v>3338</v>
      </c>
      <c r="F537" s="3840">
        <v>34.85</v>
      </c>
    </row>
    <row r="538" spans="1:6">
      <c r="A538" s="3838" t="s">
        <v>3469</v>
      </c>
      <c r="B538" s="3841">
        <v>-1</v>
      </c>
      <c r="C538" s="3839" t="s">
        <v>3701</v>
      </c>
      <c r="D538" s="3837" t="str">
        <f t="shared" si="26"/>
        <v>1206</v>
      </c>
      <c r="E538" s="3838" t="s">
        <v>3338</v>
      </c>
      <c r="F538" s="3840">
        <v>34.85</v>
      </c>
    </row>
    <row r="539" spans="1:6">
      <c r="A539" s="3838" t="s">
        <v>3469</v>
      </c>
      <c r="B539" s="3841">
        <v>-1</v>
      </c>
      <c r="C539" s="3839" t="s">
        <v>3702</v>
      </c>
      <c r="D539" s="3837" t="str">
        <f t="shared" si="26"/>
        <v>1207</v>
      </c>
      <c r="E539" s="3838" t="s">
        <v>3338</v>
      </c>
      <c r="F539" s="3840">
        <v>34.85</v>
      </c>
    </row>
    <row r="540" spans="1:6">
      <c r="A540" s="3838" t="s">
        <v>3469</v>
      </c>
      <c r="B540" s="3841">
        <v>-1</v>
      </c>
      <c r="C540" s="3839" t="s">
        <v>3703</v>
      </c>
      <c r="D540" s="3837" t="str">
        <f t="shared" si="26"/>
        <v>1208</v>
      </c>
      <c r="E540" s="3838" t="s">
        <v>3338</v>
      </c>
      <c r="F540" s="3840">
        <v>34.85</v>
      </c>
    </row>
    <row r="541" spans="1:6">
      <c r="A541" s="3838" t="s">
        <v>3469</v>
      </c>
      <c r="B541" s="3841">
        <v>-1</v>
      </c>
      <c r="C541" s="3839" t="s">
        <v>3704</v>
      </c>
      <c r="D541" s="3837" t="str">
        <f t="shared" si="26"/>
        <v>1209</v>
      </c>
      <c r="E541" s="3838" t="s">
        <v>3338</v>
      </c>
      <c r="F541" s="3840">
        <v>34.85</v>
      </c>
    </row>
    <row r="542" spans="1:6">
      <c r="A542" s="3838" t="s">
        <v>3469</v>
      </c>
      <c r="B542" s="3841">
        <v>-1</v>
      </c>
      <c r="C542" s="3839" t="s">
        <v>3705</v>
      </c>
      <c r="D542" s="3837" t="str">
        <f t="shared" si="26"/>
        <v>1210</v>
      </c>
      <c r="E542" s="3838" t="s">
        <v>3338</v>
      </c>
      <c r="F542" s="3840">
        <v>34.85</v>
      </c>
    </row>
    <row r="543" spans="1:6">
      <c r="A543" s="3838" t="s">
        <v>3469</v>
      </c>
      <c r="B543" s="3841">
        <v>-1</v>
      </c>
      <c r="C543" s="3839" t="s">
        <v>3706</v>
      </c>
      <c r="D543" s="3837" t="str">
        <f t="shared" si="26"/>
        <v>1211</v>
      </c>
      <c r="E543" s="3838" t="s">
        <v>3338</v>
      </c>
      <c r="F543" s="3840">
        <v>34.85</v>
      </c>
    </row>
    <row r="544" spans="1:6">
      <c r="A544" s="3838" t="s">
        <v>3469</v>
      </c>
      <c r="B544" s="3841">
        <v>-1</v>
      </c>
      <c r="C544" s="3839" t="s">
        <v>3707</v>
      </c>
      <c r="D544" s="3837" t="str">
        <f t="shared" si="26"/>
        <v>1212</v>
      </c>
      <c r="E544" s="3838" t="s">
        <v>3338</v>
      </c>
      <c r="F544" s="3840">
        <v>34.85</v>
      </c>
    </row>
    <row r="545" spans="1:6">
      <c r="A545" s="3838" t="s">
        <v>3469</v>
      </c>
      <c r="B545" s="3841">
        <v>-1</v>
      </c>
      <c r="C545" s="3839" t="s">
        <v>3708</v>
      </c>
      <c r="D545" s="3837" t="str">
        <f t="shared" si="26"/>
        <v>1213</v>
      </c>
      <c r="E545" s="3838" t="s">
        <v>3338</v>
      </c>
      <c r="F545" s="3840">
        <v>34.85</v>
      </c>
    </row>
    <row r="546" spans="1:6">
      <c r="A546" s="3838" t="s">
        <v>3469</v>
      </c>
      <c r="B546" s="3841">
        <v>-1</v>
      </c>
      <c r="C546" s="3839" t="s">
        <v>3709</v>
      </c>
      <c r="D546" s="3837" t="str">
        <f t="shared" si="26"/>
        <v>1214</v>
      </c>
      <c r="E546" s="3838" t="s">
        <v>3338</v>
      </c>
      <c r="F546" s="3840">
        <v>34.85</v>
      </c>
    </row>
    <row r="547" spans="1:6">
      <c r="A547" s="3838" t="s">
        <v>3469</v>
      </c>
      <c r="B547" s="3841">
        <v>-1</v>
      </c>
      <c r="C547" s="3839" t="s">
        <v>3710</v>
      </c>
      <c r="D547" s="3837" t="str">
        <f t="shared" si="26"/>
        <v>1215</v>
      </c>
      <c r="E547" s="3838" t="s">
        <v>3338</v>
      </c>
      <c r="F547" s="3840">
        <v>34.85</v>
      </c>
    </row>
    <row r="548" spans="1:6">
      <c r="A548" s="3838" t="s">
        <v>3469</v>
      </c>
      <c r="B548" s="3841">
        <v>-1</v>
      </c>
      <c r="C548" s="3839" t="s">
        <v>3711</v>
      </c>
      <c r="D548" s="3837" t="str">
        <f t="shared" si="26"/>
        <v>1216</v>
      </c>
      <c r="E548" s="3838" t="s">
        <v>3338</v>
      </c>
      <c r="F548" s="3840">
        <v>34.85</v>
      </c>
    </row>
    <row r="549" spans="1:6">
      <c r="A549" s="3838" t="s">
        <v>3469</v>
      </c>
      <c r="B549" s="3841">
        <v>-1</v>
      </c>
      <c r="C549" s="3839" t="s">
        <v>3712</v>
      </c>
      <c r="D549" s="3837" t="str">
        <f t="shared" si="26"/>
        <v>1217</v>
      </c>
      <c r="E549" s="3838" t="s">
        <v>3338</v>
      </c>
      <c r="F549" s="3840">
        <v>34.85</v>
      </c>
    </row>
    <row r="550" spans="1:6">
      <c r="A550" s="3838" t="s">
        <v>3469</v>
      </c>
      <c r="B550" s="3841">
        <v>-1</v>
      </c>
      <c r="C550" s="3839" t="s">
        <v>3713</v>
      </c>
      <c r="D550" s="3837" t="str">
        <f t="shared" si="26"/>
        <v>1218</v>
      </c>
      <c r="E550" s="3838" t="s">
        <v>3338</v>
      </c>
      <c r="F550" s="3840">
        <v>34.85</v>
      </c>
    </row>
    <row r="551" spans="1:6">
      <c r="A551" s="3838" t="s">
        <v>3469</v>
      </c>
      <c r="B551" s="3841">
        <v>-1</v>
      </c>
      <c r="C551" s="3839" t="s">
        <v>3714</v>
      </c>
      <c r="D551" s="3837" t="str">
        <f t="shared" si="26"/>
        <v>1219</v>
      </c>
      <c r="E551" s="3838" t="s">
        <v>3338</v>
      </c>
      <c r="F551" s="3840">
        <v>34.85</v>
      </c>
    </row>
    <row r="552" spans="1:6">
      <c r="A552" s="3838" t="s">
        <v>3469</v>
      </c>
      <c r="B552" s="3841">
        <v>-1</v>
      </c>
      <c r="C552" s="3839" t="s">
        <v>3715</v>
      </c>
      <c r="D552" s="3837" t="str">
        <f t="shared" si="26"/>
        <v>1220</v>
      </c>
      <c r="E552" s="3838" t="s">
        <v>3338</v>
      </c>
      <c r="F552" s="3840">
        <v>34.85</v>
      </c>
    </row>
    <row r="553" spans="1:6">
      <c r="A553" s="3838" t="s">
        <v>3469</v>
      </c>
      <c r="B553" s="3841">
        <v>-1</v>
      </c>
      <c r="C553" s="3839" t="s">
        <v>3716</v>
      </c>
      <c r="D553" s="3837" t="str">
        <f t="shared" si="26"/>
        <v>1221</v>
      </c>
      <c r="E553" s="3838" t="s">
        <v>3338</v>
      </c>
      <c r="F553" s="3840">
        <v>34.85</v>
      </c>
    </row>
    <row r="554" spans="1:6">
      <c r="A554" s="3838" t="s">
        <v>3469</v>
      </c>
      <c r="B554" s="3841">
        <v>-1</v>
      </c>
      <c r="C554" s="3839" t="s">
        <v>3717</v>
      </c>
      <c r="D554" s="3837" t="str">
        <f t="shared" si="26"/>
        <v>1222</v>
      </c>
      <c r="E554" s="3838" t="s">
        <v>3338</v>
      </c>
      <c r="F554" s="3840">
        <v>34.85</v>
      </c>
    </row>
    <row r="555" spans="1:6">
      <c r="A555" s="3838" t="s">
        <v>3469</v>
      </c>
      <c r="B555" s="3841">
        <v>-1</v>
      </c>
      <c r="C555" s="3839" t="s">
        <v>3718</v>
      </c>
      <c r="D555" s="3837" t="str">
        <f t="shared" si="26"/>
        <v>1223</v>
      </c>
      <c r="E555" s="3838" t="s">
        <v>3338</v>
      </c>
      <c r="F555" s="3840">
        <v>34.85</v>
      </c>
    </row>
    <row r="556" spans="1:6">
      <c r="A556" s="3838" t="s">
        <v>3469</v>
      </c>
      <c r="B556" s="3841">
        <v>-1</v>
      </c>
      <c r="C556" s="3839" t="s">
        <v>3719</v>
      </c>
      <c r="D556" s="3837" t="str">
        <f t="shared" si="26"/>
        <v>1224</v>
      </c>
      <c r="E556" s="3838" t="s">
        <v>3338</v>
      </c>
      <c r="F556" s="3840">
        <v>34.85</v>
      </c>
    </row>
    <row r="557" spans="1:6">
      <c r="A557" s="3838" t="s">
        <v>3469</v>
      </c>
      <c r="B557" s="3841">
        <v>-1</v>
      </c>
      <c r="C557" s="3839" t="s">
        <v>3720</v>
      </c>
      <c r="D557" s="3837" t="str">
        <f t="shared" si="26"/>
        <v>1225</v>
      </c>
      <c r="E557" s="3838" t="s">
        <v>3338</v>
      </c>
      <c r="F557" s="3840">
        <v>34.85</v>
      </c>
    </row>
    <row r="558" spans="1:6">
      <c r="A558" s="3838" t="s">
        <v>3469</v>
      </c>
      <c r="B558" s="3841">
        <v>-1</v>
      </c>
      <c r="C558" s="3839" t="s">
        <v>3721</v>
      </c>
      <c r="D558" s="3837" t="str">
        <f t="shared" si="26"/>
        <v>1226</v>
      </c>
      <c r="E558" s="3838" t="s">
        <v>3338</v>
      </c>
      <c r="F558" s="3840">
        <v>34.85</v>
      </c>
    </row>
    <row r="559" spans="1:6">
      <c r="A559" s="3838" t="s">
        <v>3469</v>
      </c>
      <c r="B559" s="3841">
        <v>-1</v>
      </c>
      <c r="C559" s="3839" t="s">
        <v>3722</v>
      </c>
      <c r="D559" s="3837" t="str">
        <f t="shared" si="26"/>
        <v>1227</v>
      </c>
      <c r="E559" s="3838" t="s">
        <v>3338</v>
      </c>
      <c r="F559" s="3840">
        <v>34.85</v>
      </c>
    </row>
    <row r="560" spans="1:6">
      <c r="A560" s="3838" t="s">
        <v>3469</v>
      </c>
      <c r="B560" s="3841">
        <v>-1</v>
      </c>
      <c r="C560" s="3839" t="s">
        <v>3723</v>
      </c>
      <c r="D560" s="3837" t="str">
        <f t="shared" si="26"/>
        <v>1228</v>
      </c>
      <c r="E560" s="3838" t="s">
        <v>3338</v>
      </c>
      <c r="F560" s="3840">
        <v>34.85</v>
      </c>
    </row>
    <row r="561" spans="1:6">
      <c r="A561" s="3838" t="s">
        <v>3469</v>
      </c>
      <c r="B561" s="3841">
        <v>-1</v>
      </c>
      <c r="C561" s="3839" t="s">
        <v>3724</v>
      </c>
      <c r="D561" s="3837" t="str">
        <f t="shared" si="26"/>
        <v>1229</v>
      </c>
      <c r="E561" s="3838" t="s">
        <v>3338</v>
      </c>
      <c r="F561" s="3840">
        <v>34.85</v>
      </c>
    </row>
    <row r="562" spans="1:6">
      <c r="A562" s="3838" t="s">
        <v>3469</v>
      </c>
      <c r="B562" s="3841">
        <v>-1</v>
      </c>
      <c r="C562" s="3839" t="s">
        <v>3725</v>
      </c>
      <c r="D562" s="3837" t="str">
        <f t="shared" si="26"/>
        <v>1230</v>
      </c>
      <c r="E562" s="3838" t="s">
        <v>3338</v>
      </c>
      <c r="F562" s="3840">
        <v>34.85</v>
      </c>
    </row>
    <row r="563" spans="1:6">
      <c r="A563" s="3838" t="s">
        <v>3469</v>
      </c>
      <c r="B563" s="3841">
        <v>-1</v>
      </c>
      <c r="C563" s="3839" t="s">
        <v>3726</v>
      </c>
      <c r="D563" s="3837" t="str">
        <f t="shared" si="26"/>
        <v>1231</v>
      </c>
      <c r="E563" s="3838" t="s">
        <v>3338</v>
      </c>
      <c r="F563" s="3840">
        <v>34.85</v>
      </c>
    </row>
    <row r="564" spans="1:6">
      <c r="A564" s="3838" t="s">
        <v>3469</v>
      </c>
      <c r="B564" s="3841">
        <v>-1</v>
      </c>
      <c r="C564" s="3839" t="s">
        <v>3727</v>
      </c>
      <c r="D564" s="3837" t="str">
        <f t="shared" si="26"/>
        <v>1232</v>
      </c>
      <c r="E564" s="3838" t="s">
        <v>3338</v>
      </c>
      <c r="F564" s="3840">
        <v>34.85</v>
      </c>
    </row>
    <row r="565" spans="1:6">
      <c r="A565" s="3838" t="s">
        <v>3469</v>
      </c>
      <c r="B565" s="3841">
        <v>-1</v>
      </c>
      <c r="C565" s="3839" t="s">
        <v>3728</v>
      </c>
      <c r="D565" s="3837" t="str">
        <f t="shared" si="26"/>
        <v>1233</v>
      </c>
      <c r="E565" s="3838" t="s">
        <v>3338</v>
      </c>
      <c r="F565" s="3840">
        <v>34.85</v>
      </c>
    </row>
    <row r="566" spans="1:6">
      <c r="A566" s="3838" t="s">
        <v>3469</v>
      </c>
      <c r="B566" s="3841">
        <v>-1</v>
      </c>
      <c r="C566" s="3839" t="s">
        <v>3729</v>
      </c>
      <c r="D566" s="3837" t="str">
        <f t="shared" si="26"/>
        <v>1234</v>
      </c>
      <c r="E566" s="3838" t="s">
        <v>3338</v>
      </c>
      <c r="F566" s="3840">
        <v>34.85</v>
      </c>
    </row>
    <row r="567" spans="1:6">
      <c r="A567" s="3838" t="s">
        <v>3469</v>
      </c>
      <c r="B567" s="3841">
        <v>-1</v>
      </c>
      <c r="C567" s="3839" t="s">
        <v>3730</v>
      </c>
      <c r="D567" s="3837" t="str">
        <f t="shared" si="26"/>
        <v>1235</v>
      </c>
      <c r="E567" s="3838" t="s">
        <v>3338</v>
      </c>
      <c r="F567" s="3840">
        <v>34.85</v>
      </c>
    </row>
    <row r="568" spans="1:6">
      <c r="A568" s="3838" t="s">
        <v>3469</v>
      </c>
      <c r="B568" s="3841">
        <v>-1</v>
      </c>
      <c r="C568" s="3839" t="s">
        <v>3731</v>
      </c>
      <c r="D568" s="3837" t="str">
        <f t="shared" si="26"/>
        <v>1236</v>
      </c>
      <c r="E568" s="3838" t="s">
        <v>3338</v>
      </c>
      <c r="F568" s="3840">
        <v>34.85</v>
      </c>
    </row>
    <row r="569" spans="1:6">
      <c r="A569" s="3838" t="s">
        <v>3469</v>
      </c>
      <c r="B569" s="3841">
        <v>-1</v>
      </c>
      <c r="C569" s="3839" t="s">
        <v>3732</v>
      </c>
      <c r="D569" s="3837" t="str">
        <f t="shared" si="26"/>
        <v>1237</v>
      </c>
      <c r="E569" s="3838" t="s">
        <v>3338</v>
      </c>
      <c r="F569" s="3840">
        <v>34.85</v>
      </c>
    </row>
    <row r="570" spans="1:6">
      <c r="A570" s="3838" t="s">
        <v>3469</v>
      </c>
      <c r="B570" s="3841">
        <v>-1</v>
      </c>
      <c r="C570" s="3839" t="s">
        <v>3733</v>
      </c>
      <c r="D570" s="3837" t="str">
        <f t="shared" si="26"/>
        <v>1238</v>
      </c>
      <c r="E570" s="3838" t="s">
        <v>3338</v>
      </c>
      <c r="F570" s="3840">
        <v>34.85</v>
      </c>
    </row>
    <row r="571" spans="1:6">
      <c r="A571" s="3838" t="s">
        <v>3469</v>
      </c>
      <c r="B571" s="3841">
        <v>-1</v>
      </c>
      <c r="C571" s="3839" t="s">
        <v>3734</v>
      </c>
      <c r="D571" s="3837" t="str">
        <f t="shared" si="26"/>
        <v>1239</v>
      </c>
      <c r="E571" s="3838" t="s">
        <v>3338</v>
      </c>
      <c r="F571" s="3840">
        <v>34.85</v>
      </c>
    </row>
    <row r="572" spans="1:6">
      <c r="A572" s="3838" t="s">
        <v>3469</v>
      </c>
      <c r="B572" s="3841">
        <v>-1</v>
      </c>
      <c r="C572" s="3839" t="s">
        <v>3735</v>
      </c>
      <c r="D572" s="3837" t="str">
        <f t="shared" si="26"/>
        <v>1240</v>
      </c>
      <c r="E572" s="3838" t="s">
        <v>3338</v>
      </c>
      <c r="F572" s="3840">
        <v>34.85</v>
      </c>
    </row>
    <row r="573" spans="1:6">
      <c r="A573" s="3838" t="s">
        <v>3469</v>
      </c>
      <c r="B573" s="3841">
        <v>-1</v>
      </c>
      <c r="C573" s="3839" t="s">
        <v>3736</v>
      </c>
      <c r="D573" s="3837" t="str">
        <f t="shared" si="26"/>
        <v>1241</v>
      </c>
      <c r="E573" s="3838" t="s">
        <v>3338</v>
      </c>
      <c r="F573" s="3840">
        <v>34.85</v>
      </c>
    </row>
    <row r="574" spans="1:6">
      <c r="A574" s="3838" t="s">
        <v>3469</v>
      </c>
      <c r="B574" s="3841">
        <v>-1</v>
      </c>
      <c r="C574" s="3839" t="s">
        <v>3737</v>
      </c>
      <c r="D574" s="3837" t="str">
        <f t="shared" si="26"/>
        <v>1242</v>
      </c>
      <c r="E574" s="3838" t="s">
        <v>3338</v>
      </c>
      <c r="F574" s="3840">
        <v>34.85</v>
      </c>
    </row>
    <row r="575" spans="1:6">
      <c r="A575" s="3838" t="s">
        <v>3469</v>
      </c>
      <c r="B575" s="3841">
        <v>-1</v>
      </c>
      <c r="C575" s="3839" t="s">
        <v>3738</v>
      </c>
      <c r="D575" s="3837" t="str">
        <f t="shared" si="26"/>
        <v>1243</v>
      </c>
      <c r="E575" s="3838" t="s">
        <v>3338</v>
      </c>
      <c r="F575" s="3840">
        <v>34.85</v>
      </c>
    </row>
    <row r="576" spans="1:6">
      <c r="A576" s="3838" t="s">
        <v>3469</v>
      </c>
      <c r="B576" s="3841">
        <v>-1</v>
      </c>
      <c r="C576" s="3839" t="s">
        <v>3739</v>
      </c>
      <c r="D576" s="3837" t="str">
        <f t="shared" si="26"/>
        <v>1244</v>
      </c>
      <c r="E576" s="3838" t="s">
        <v>3338</v>
      </c>
      <c r="F576" s="3840">
        <v>34.85</v>
      </c>
    </row>
    <row r="577" spans="1:6">
      <c r="A577" s="3838" t="s">
        <v>3469</v>
      </c>
      <c r="B577" s="3841">
        <v>-1</v>
      </c>
      <c r="C577" s="3839" t="s">
        <v>3740</v>
      </c>
      <c r="D577" s="3837" t="str">
        <f t="shared" si="26"/>
        <v>1245</v>
      </c>
      <c r="E577" s="3838" t="s">
        <v>3338</v>
      </c>
      <c r="F577" s="3840">
        <v>34.85</v>
      </c>
    </row>
    <row r="578" spans="1:6">
      <c r="A578" s="3838" t="s">
        <v>3469</v>
      </c>
      <c r="B578" s="3841">
        <v>-1</v>
      </c>
      <c r="C578" s="3839" t="s">
        <v>3741</v>
      </c>
      <c r="D578" s="3837" t="str">
        <f t="shared" si="26"/>
        <v>1246</v>
      </c>
      <c r="E578" s="3838" t="s">
        <v>3338</v>
      </c>
      <c r="F578" s="3840">
        <v>34.85</v>
      </c>
    </row>
    <row r="579" spans="1:6">
      <c r="A579" s="3838" t="s">
        <v>3469</v>
      </c>
      <c r="B579" s="3841">
        <v>-1</v>
      </c>
      <c r="C579" s="3839" t="s">
        <v>3742</v>
      </c>
      <c r="D579" s="3837" t="str">
        <f t="shared" si="26"/>
        <v>1247</v>
      </c>
      <c r="E579" s="3838" t="s">
        <v>3338</v>
      </c>
      <c r="F579" s="3840">
        <v>34.85</v>
      </c>
    </row>
    <row r="580" spans="1:6">
      <c r="A580" s="3838" t="s">
        <v>3469</v>
      </c>
      <c r="B580" s="3841">
        <v>-1</v>
      </c>
      <c r="C580" s="3839" t="s">
        <v>3743</v>
      </c>
      <c r="D580" s="3837" t="str">
        <f t="shared" si="26"/>
        <v>1248</v>
      </c>
      <c r="E580" s="3838" t="s">
        <v>3338</v>
      </c>
      <c r="F580" s="3840">
        <v>34.85</v>
      </c>
    </row>
    <row r="581" spans="1:6">
      <c r="A581" s="3838" t="s">
        <v>3469</v>
      </c>
      <c r="B581" s="3841">
        <v>-1</v>
      </c>
      <c r="C581" s="3839" t="s">
        <v>3744</v>
      </c>
      <c r="D581" s="3837" t="str">
        <f t="shared" si="26"/>
        <v>1249</v>
      </c>
      <c r="E581" s="3838" t="s">
        <v>3338</v>
      </c>
      <c r="F581" s="3840">
        <v>34.85</v>
      </c>
    </row>
    <row r="582" spans="1:6">
      <c r="A582" s="3838" t="s">
        <v>3469</v>
      </c>
      <c r="B582" s="3841">
        <v>-1</v>
      </c>
      <c r="C582" s="3839" t="s">
        <v>3745</v>
      </c>
      <c r="D582" s="3837" t="str">
        <f t="shared" si="26"/>
        <v>1250</v>
      </c>
      <c r="E582" s="3838" t="s">
        <v>3338</v>
      </c>
      <c r="F582" s="3840">
        <v>34.85</v>
      </c>
    </row>
    <row r="583" spans="1:6">
      <c r="A583" s="3838" t="s">
        <v>3469</v>
      </c>
      <c r="B583" s="3841">
        <v>-1</v>
      </c>
      <c r="C583" s="3839" t="s">
        <v>3746</v>
      </c>
      <c r="D583" s="3837" t="str">
        <f t="shared" si="26"/>
        <v>1251</v>
      </c>
      <c r="E583" s="3838" t="s">
        <v>3338</v>
      </c>
      <c r="F583" s="3840">
        <v>34.85</v>
      </c>
    </row>
    <row r="584" spans="1:6">
      <c r="A584" s="3838" t="s">
        <v>3469</v>
      </c>
      <c r="B584" s="3841">
        <v>-1</v>
      </c>
      <c r="C584" s="3839" t="s">
        <v>3747</v>
      </c>
      <c r="D584" s="3837" t="str">
        <f t="shared" si="26"/>
        <v>1252</v>
      </c>
      <c r="E584" s="3838" t="s">
        <v>3338</v>
      </c>
      <c r="F584" s="3840">
        <v>34.85</v>
      </c>
    </row>
    <row r="585" spans="1:6">
      <c r="A585" s="3838" t="s">
        <v>3469</v>
      </c>
      <c r="B585" s="3841">
        <v>-1</v>
      </c>
      <c r="C585" s="3839" t="s">
        <v>3748</v>
      </c>
      <c r="D585" s="3837" t="str">
        <f t="shared" si="26"/>
        <v>1253</v>
      </c>
      <c r="E585" s="3838" t="s">
        <v>3338</v>
      </c>
      <c r="F585" s="3840">
        <v>34.85</v>
      </c>
    </row>
    <row r="586" spans="1:6">
      <c r="A586" s="3838" t="s">
        <v>3469</v>
      </c>
      <c r="B586" s="3841">
        <v>-1</v>
      </c>
      <c r="C586" s="3839" t="s">
        <v>3749</v>
      </c>
      <c r="D586" s="3837" t="str">
        <f t="shared" si="26"/>
        <v>1254</v>
      </c>
      <c r="E586" s="3838" t="s">
        <v>3338</v>
      </c>
      <c r="F586" s="3840">
        <v>34.85</v>
      </c>
    </row>
    <row r="587" spans="1:6">
      <c r="A587" s="3838" t="s">
        <v>3469</v>
      </c>
      <c r="B587" s="3841">
        <v>-1</v>
      </c>
      <c r="C587" s="3839" t="s">
        <v>3750</v>
      </c>
      <c r="D587" s="3837" t="str">
        <f t="shared" si="26"/>
        <v>1255</v>
      </c>
      <c r="E587" s="3838" t="s">
        <v>3338</v>
      </c>
      <c r="F587" s="3840">
        <v>34.85</v>
      </c>
    </row>
    <row r="588" spans="1:6">
      <c r="A588" s="3838" t="s">
        <v>3469</v>
      </c>
      <c r="B588" s="3841">
        <v>-1</v>
      </c>
      <c r="C588" s="3839" t="s">
        <v>3751</v>
      </c>
      <c r="D588" s="3837" t="str">
        <f t="shared" si="26"/>
        <v>1256</v>
      </c>
      <c r="E588" s="3838" t="s">
        <v>3338</v>
      </c>
      <c r="F588" s="3840">
        <v>34.85</v>
      </c>
    </row>
    <row r="589" spans="1:6">
      <c r="A589" s="3838" t="s">
        <v>3469</v>
      </c>
      <c r="B589" s="3841">
        <v>-1</v>
      </c>
      <c r="C589" s="3839" t="s">
        <v>3752</v>
      </c>
      <c r="D589" s="3837" t="str">
        <f t="shared" ref="D589:D652" si="27">""&amp;C589</f>
        <v>1257</v>
      </c>
      <c r="E589" s="3838" t="s">
        <v>3338</v>
      </c>
      <c r="F589" s="3840">
        <v>34.85</v>
      </c>
    </row>
    <row r="590" spans="1:6">
      <c r="A590" s="3838" t="s">
        <v>3469</v>
      </c>
      <c r="B590" s="3841">
        <v>-1</v>
      </c>
      <c r="C590" s="3839" t="s">
        <v>3753</v>
      </c>
      <c r="D590" s="3837" t="str">
        <f t="shared" si="27"/>
        <v>1258</v>
      </c>
      <c r="E590" s="3838" t="s">
        <v>3338</v>
      </c>
      <c r="F590" s="3840">
        <v>34.85</v>
      </c>
    </row>
    <row r="591" spans="1:6">
      <c r="A591" s="3838" t="s">
        <v>3469</v>
      </c>
      <c r="B591" s="3841">
        <v>-1</v>
      </c>
      <c r="C591" s="3839" t="s">
        <v>3754</v>
      </c>
      <c r="D591" s="3837" t="str">
        <f t="shared" si="27"/>
        <v>1259</v>
      </c>
      <c r="E591" s="3838" t="s">
        <v>3338</v>
      </c>
      <c r="F591" s="3840">
        <v>34.85</v>
      </c>
    </row>
    <row r="592" spans="1:6">
      <c r="A592" s="3838" t="s">
        <v>3469</v>
      </c>
      <c r="B592" s="3841">
        <v>-1</v>
      </c>
      <c r="C592" s="3839" t="s">
        <v>3755</v>
      </c>
      <c r="D592" s="3837" t="str">
        <f t="shared" si="27"/>
        <v>1260</v>
      </c>
      <c r="E592" s="3838" t="s">
        <v>3338</v>
      </c>
      <c r="F592" s="3840">
        <v>34.85</v>
      </c>
    </row>
    <row r="593" spans="1:6">
      <c r="A593" s="3838" t="s">
        <v>3469</v>
      </c>
      <c r="B593" s="3841">
        <v>-1</v>
      </c>
      <c r="C593" s="3839" t="s">
        <v>3756</v>
      </c>
      <c r="D593" s="3837" t="str">
        <f t="shared" si="27"/>
        <v>1261</v>
      </c>
      <c r="E593" s="3838" t="s">
        <v>3338</v>
      </c>
      <c r="F593" s="3840">
        <v>34.85</v>
      </c>
    </row>
    <row r="594" spans="1:6">
      <c r="A594" s="3838" t="s">
        <v>3469</v>
      </c>
      <c r="B594" s="3841">
        <v>-1</v>
      </c>
      <c r="C594" s="3839" t="s">
        <v>3757</v>
      </c>
      <c r="D594" s="3837" t="str">
        <f t="shared" si="27"/>
        <v>1262</v>
      </c>
      <c r="E594" s="3838" t="s">
        <v>3338</v>
      </c>
      <c r="F594" s="3840">
        <v>34.85</v>
      </c>
    </row>
    <row r="595" spans="1:6">
      <c r="A595" s="3838" t="s">
        <v>3469</v>
      </c>
      <c r="B595" s="3841">
        <v>-1</v>
      </c>
      <c r="C595" s="3839" t="s">
        <v>3758</v>
      </c>
      <c r="D595" s="3837" t="str">
        <f t="shared" si="27"/>
        <v>1263</v>
      </c>
      <c r="E595" s="3838" t="s">
        <v>3338</v>
      </c>
      <c r="F595" s="3840">
        <v>34.85</v>
      </c>
    </row>
    <row r="596" spans="1:6">
      <c r="A596" s="3838" t="s">
        <v>3469</v>
      </c>
      <c r="B596" s="3841">
        <v>-1</v>
      </c>
      <c r="C596" s="3839" t="s">
        <v>3759</v>
      </c>
      <c r="D596" s="3837" t="str">
        <f t="shared" si="27"/>
        <v>1264</v>
      </c>
      <c r="E596" s="3838" t="s">
        <v>3338</v>
      </c>
      <c r="F596" s="3840">
        <v>34.85</v>
      </c>
    </row>
    <row r="597" spans="1:6">
      <c r="A597" s="3838" t="s">
        <v>3469</v>
      </c>
      <c r="B597" s="3841">
        <v>-1</v>
      </c>
      <c r="C597" s="3839" t="s">
        <v>3760</v>
      </c>
      <c r="D597" s="3837" t="str">
        <f t="shared" si="27"/>
        <v>1265</v>
      </c>
      <c r="E597" s="3838" t="s">
        <v>3338</v>
      </c>
      <c r="F597" s="3840">
        <v>34.85</v>
      </c>
    </row>
    <row r="598" spans="1:6">
      <c r="A598" s="3838" t="s">
        <v>3469</v>
      </c>
      <c r="B598" s="3841">
        <v>-1</v>
      </c>
      <c r="C598" s="3839" t="s">
        <v>3761</v>
      </c>
      <c r="D598" s="3837" t="str">
        <f t="shared" si="27"/>
        <v>1266</v>
      </c>
      <c r="E598" s="3838" t="s">
        <v>3338</v>
      </c>
      <c r="F598" s="3840">
        <v>34.85</v>
      </c>
    </row>
    <row r="599" spans="1:6">
      <c r="A599" s="3838" t="s">
        <v>3469</v>
      </c>
      <c r="B599" s="3841">
        <v>-1</v>
      </c>
      <c r="C599" s="3839" t="s">
        <v>3762</v>
      </c>
      <c r="D599" s="3837" t="str">
        <f t="shared" si="27"/>
        <v>1267</v>
      </c>
      <c r="E599" s="3838" t="s">
        <v>3338</v>
      </c>
      <c r="F599" s="3840">
        <v>34.85</v>
      </c>
    </row>
    <row r="600" spans="1:6">
      <c r="A600" s="3838" t="s">
        <v>3469</v>
      </c>
      <c r="B600" s="3841">
        <v>-1</v>
      </c>
      <c r="C600" s="3839" t="s">
        <v>3763</v>
      </c>
      <c r="D600" s="3837" t="str">
        <f t="shared" si="27"/>
        <v>1268</v>
      </c>
      <c r="E600" s="3838" t="s">
        <v>3338</v>
      </c>
      <c r="F600" s="3840">
        <v>34.85</v>
      </c>
    </row>
    <row r="601" spans="1:6">
      <c r="A601" s="3838" t="s">
        <v>3469</v>
      </c>
      <c r="B601" s="3841">
        <v>-1</v>
      </c>
      <c r="C601" s="3839" t="s">
        <v>3764</v>
      </c>
      <c r="D601" s="3837" t="str">
        <f t="shared" si="27"/>
        <v>1269</v>
      </c>
      <c r="E601" s="3838" t="s">
        <v>3338</v>
      </c>
      <c r="F601" s="3840">
        <v>34.85</v>
      </c>
    </row>
    <row r="602" spans="1:6">
      <c r="A602" s="3838" t="s">
        <v>3469</v>
      </c>
      <c r="B602" s="3841">
        <v>-1</v>
      </c>
      <c r="C602" s="3839" t="s">
        <v>3765</v>
      </c>
      <c r="D602" s="3837" t="str">
        <f t="shared" si="27"/>
        <v>1270</v>
      </c>
      <c r="E602" s="3838" t="s">
        <v>3338</v>
      </c>
      <c r="F602" s="3840">
        <v>34.85</v>
      </c>
    </row>
    <row r="603" spans="1:6">
      <c r="A603" s="3838" t="s">
        <v>3469</v>
      </c>
      <c r="B603" s="3841">
        <v>-1</v>
      </c>
      <c r="C603" s="3839" t="s">
        <v>3766</v>
      </c>
      <c r="D603" s="3837" t="str">
        <f t="shared" si="27"/>
        <v>1271</v>
      </c>
      <c r="E603" s="3838" t="s">
        <v>3338</v>
      </c>
      <c r="F603" s="3840">
        <v>34.85</v>
      </c>
    </row>
    <row r="604" spans="1:6">
      <c r="A604" s="3838" t="s">
        <v>3469</v>
      </c>
      <c r="B604" s="3841">
        <v>-1</v>
      </c>
      <c r="C604" s="3839" t="s">
        <v>3767</v>
      </c>
      <c r="D604" s="3837" t="str">
        <f t="shared" si="27"/>
        <v>1272</v>
      </c>
      <c r="E604" s="3838" t="s">
        <v>3338</v>
      </c>
      <c r="F604" s="3840">
        <v>34.85</v>
      </c>
    </row>
    <row r="605" spans="1:6">
      <c r="A605" s="3838" t="s">
        <v>3469</v>
      </c>
      <c r="B605" s="3841">
        <v>-1</v>
      </c>
      <c r="C605" s="3839" t="s">
        <v>3768</v>
      </c>
      <c r="D605" s="3837" t="str">
        <f t="shared" si="27"/>
        <v>1273</v>
      </c>
      <c r="E605" s="3838" t="s">
        <v>3338</v>
      </c>
      <c r="F605" s="3840">
        <v>34.85</v>
      </c>
    </row>
    <row r="606" spans="1:6">
      <c r="A606" s="3838" t="s">
        <v>3469</v>
      </c>
      <c r="B606" s="3841">
        <v>-1</v>
      </c>
      <c r="C606" s="3839" t="s">
        <v>3769</v>
      </c>
      <c r="D606" s="3837" t="str">
        <f t="shared" si="27"/>
        <v>1274</v>
      </c>
      <c r="E606" s="3838" t="s">
        <v>3338</v>
      </c>
      <c r="F606" s="3840">
        <v>34.85</v>
      </c>
    </row>
    <row r="607" spans="1:6">
      <c r="A607" s="3838" t="s">
        <v>3469</v>
      </c>
      <c r="B607" s="3841">
        <v>-1</v>
      </c>
      <c r="C607" s="3839" t="s">
        <v>3770</v>
      </c>
      <c r="D607" s="3837" t="str">
        <f t="shared" si="27"/>
        <v>1275</v>
      </c>
      <c r="E607" s="3838" t="s">
        <v>3338</v>
      </c>
      <c r="F607" s="3840">
        <v>34.85</v>
      </c>
    </row>
    <row r="608" spans="1:6">
      <c r="A608" s="3838" t="s">
        <v>3469</v>
      </c>
      <c r="B608" s="3841">
        <v>-1</v>
      </c>
      <c r="C608" s="3839" t="s">
        <v>3771</v>
      </c>
      <c r="D608" s="3837" t="str">
        <f t="shared" si="27"/>
        <v>1276</v>
      </c>
      <c r="E608" s="3838" t="s">
        <v>3338</v>
      </c>
      <c r="F608" s="3840">
        <v>34.85</v>
      </c>
    </row>
    <row r="609" spans="1:6">
      <c r="A609" s="3838" t="s">
        <v>3469</v>
      </c>
      <c r="B609" s="3841">
        <v>-1</v>
      </c>
      <c r="C609" s="3839" t="s">
        <v>3772</v>
      </c>
      <c r="D609" s="3837" t="str">
        <f t="shared" si="27"/>
        <v>1277</v>
      </c>
      <c r="E609" s="3838" t="s">
        <v>3338</v>
      </c>
      <c r="F609" s="3840">
        <v>34.85</v>
      </c>
    </row>
    <row r="610" spans="1:6">
      <c r="A610" s="3838" t="s">
        <v>3469</v>
      </c>
      <c r="B610" s="3841">
        <v>-1</v>
      </c>
      <c r="C610" s="3839" t="s">
        <v>3773</v>
      </c>
      <c r="D610" s="3837" t="str">
        <f t="shared" si="27"/>
        <v>1278</v>
      </c>
      <c r="E610" s="3838" t="s">
        <v>3338</v>
      </c>
      <c r="F610" s="3840">
        <v>34.85</v>
      </c>
    </row>
    <row r="611" spans="1:6">
      <c r="A611" s="3838" t="s">
        <v>3469</v>
      </c>
      <c r="B611" s="3841">
        <v>-1</v>
      </c>
      <c r="C611" s="3839" t="s">
        <v>3774</v>
      </c>
      <c r="D611" s="3837" t="str">
        <f t="shared" si="27"/>
        <v>1279</v>
      </c>
      <c r="E611" s="3838" t="s">
        <v>3338</v>
      </c>
      <c r="F611" s="3840">
        <v>34.85</v>
      </c>
    </row>
    <row r="612" spans="1:6">
      <c r="A612" s="3838" t="s">
        <v>3469</v>
      </c>
      <c r="B612" s="3841">
        <v>-1</v>
      </c>
      <c r="C612" s="3839" t="s">
        <v>3775</v>
      </c>
      <c r="D612" s="3837" t="str">
        <f t="shared" si="27"/>
        <v>1280</v>
      </c>
      <c r="E612" s="3838" t="s">
        <v>3338</v>
      </c>
      <c r="F612" s="3840">
        <v>34.85</v>
      </c>
    </row>
    <row r="613" spans="1:6">
      <c r="A613" s="3838" t="s">
        <v>3469</v>
      </c>
      <c r="B613" s="3841">
        <v>-1</v>
      </c>
      <c r="C613" s="3839" t="s">
        <v>3776</v>
      </c>
      <c r="D613" s="3837" t="str">
        <f t="shared" si="27"/>
        <v>1281</v>
      </c>
      <c r="E613" s="3838" t="s">
        <v>3338</v>
      </c>
      <c r="F613" s="3840">
        <v>34.85</v>
      </c>
    </row>
    <row r="614" spans="1:6">
      <c r="A614" s="3838" t="s">
        <v>3469</v>
      </c>
      <c r="B614" s="3841">
        <v>-1</v>
      </c>
      <c r="C614" s="3839" t="s">
        <v>3777</v>
      </c>
      <c r="D614" s="3837" t="str">
        <f t="shared" si="27"/>
        <v>1282</v>
      </c>
      <c r="E614" s="3838" t="s">
        <v>3338</v>
      </c>
      <c r="F614" s="3840">
        <v>34.85</v>
      </c>
    </row>
    <row r="615" spans="1:6">
      <c r="A615" s="3838" t="s">
        <v>3469</v>
      </c>
      <c r="B615" s="3841">
        <v>-1</v>
      </c>
      <c r="C615" s="3839" t="s">
        <v>3778</v>
      </c>
      <c r="D615" s="3837" t="str">
        <f t="shared" si="27"/>
        <v>1283</v>
      </c>
      <c r="E615" s="3838" t="s">
        <v>3338</v>
      </c>
      <c r="F615" s="3840">
        <v>34.85</v>
      </c>
    </row>
    <row r="616" spans="1:6">
      <c r="A616" s="3838" t="s">
        <v>3469</v>
      </c>
      <c r="B616" s="3841">
        <v>-1</v>
      </c>
      <c r="C616" s="3839" t="s">
        <v>3779</v>
      </c>
      <c r="D616" s="3837" t="str">
        <f t="shared" si="27"/>
        <v>1284</v>
      </c>
      <c r="E616" s="3838" t="s">
        <v>3338</v>
      </c>
      <c r="F616" s="3840">
        <v>34.85</v>
      </c>
    </row>
    <row r="617" spans="1:6">
      <c r="A617" s="3838" t="s">
        <v>3469</v>
      </c>
      <c r="B617" s="3841">
        <v>-1</v>
      </c>
      <c r="C617" s="3839" t="s">
        <v>3780</v>
      </c>
      <c r="D617" s="3837" t="str">
        <f t="shared" si="27"/>
        <v>1285</v>
      </c>
      <c r="E617" s="3838" t="s">
        <v>3338</v>
      </c>
      <c r="F617" s="3840">
        <v>34.85</v>
      </c>
    </row>
    <row r="618" spans="1:6">
      <c r="A618" s="3838" t="s">
        <v>3469</v>
      </c>
      <c r="B618" s="3841">
        <v>-1</v>
      </c>
      <c r="C618" s="3839" t="s">
        <v>3781</v>
      </c>
      <c r="D618" s="3837" t="str">
        <f t="shared" si="27"/>
        <v>1286</v>
      </c>
      <c r="E618" s="3838" t="s">
        <v>3338</v>
      </c>
      <c r="F618" s="3840">
        <v>34.85</v>
      </c>
    </row>
    <row r="619" spans="1:6">
      <c r="A619" s="3838" t="s">
        <v>3469</v>
      </c>
      <c r="B619" s="3841">
        <v>-1</v>
      </c>
      <c r="C619" s="3839" t="s">
        <v>3782</v>
      </c>
      <c r="D619" s="3837" t="str">
        <f t="shared" si="27"/>
        <v>1287</v>
      </c>
      <c r="E619" s="3838" t="s">
        <v>3338</v>
      </c>
      <c r="F619" s="3840">
        <v>34.85</v>
      </c>
    </row>
    <row r="620" spans="1:6">
      <c r="A620" s="3838" t="s">
        <v>3469</v>
      </c>
      <c r="B620" s="3841">
        <v>-1</v>
      </c>
      <c r="C620" s="3839" t="s">
        <v>3783</v>
      </c>
      <c r="D620" s="3837" t="str">
        <f t="shared" si="27"/>
        <v>1288</v>
      </c>
      <c r="E620" s="3838" t="s">
        <v>3338</v>
      </c>
      <c r="F620" s="3840">
        <v>34.85</v>
      </c>
    </row>
    <row r="621" spans="1:6">
      <c r="A621" s="3838" t="s">
        <v>3469</v>
      </c>
      <c r="B621" s="3841">
        <v>-1</v>
      </c>
      <c r="C621" s="3839" t="s">
        <v>3784</v>
      </c>
      <c r="D621" s="3837" t="str">
        <f t="shared" si="27"/>
        <v>1289</v>
      </c>
      <c r="E621" s="3838" t="s">
        <v>3338</v>
      </c>
      <c r="F621" s="3840">
        <v>34.85</v>
      </c>
    </row>
    <row r="622" spans="1:6">
      <c r="A622" s="3838" t="s">
        <v>3469</v>
      </c>
      <c r="B622" s="3841">
        <v>-1</v>
      </c>
      <c r="C622" s="3839" t="s">
        <v>3785</v>
      </c>
      <c r="D622" s="3837" t="str">
        <f t="shared" si="27"/>
        <v>1290</v>
      </c>
      <c r="E622" s="3838" t="s">
        <v>3338</v>
      </c>
      <c r="F622" s="3840">
        <v>34.85</v>
      </c>
    </row>
    <row r="623" spans="1:6">
      <c r="A623" s="3838" t="s">
        <v>3469</v>
      </c>
      <c r="B623" s="3841">
        <v>-1</v>
      </c>
      <c r="C623" s="3839" t="s">
        <v>3786</v>
      </c>
      <c r="D623" s="3837" t="str">
        <f t="shared" si="27"/>
        <v>1291</v>
      </c>
      <c r="E623" s="3838" t="s">
        <v>3338</v>
      </c>
      <c r="F623" s="3840">
        <v>34.85</v>
      </c>
    </row>
    <row r="624" spans="1:6">
      <c r="A624" s="3838" t="s">
        <v>3469</v>
      </c>
      <c r="B624" s="3841">
        <v>-1</v>
      </c>
      <c r="C624" s="3839" t="s">
        <v>3787</v>
      </c>
      <c r="D624" s="3837" t="str">
        <f t="shared" si="27"/>
        <v>1292</v>
      </c>
      <c r="E624" s="3838" t="s">
        <v>3338</v>
      </c>
      <c r="F624" s="3840">
        <v>34.85</v>
      </c>
    </row>
    <row r="625" spans="1:6">
      <c r="A625" s="3838" t="s">
        <v>3469</v>
      </c>
      <c r="B625" s="3841">
        <v>-1</v>
      </c>
      <c r="C625" s="3839" t="s">
        <v>3788</v>
      </c>
      <c r="D625" s="3837" t="str">
        <f t="shared" si="27"/>
        <v>1293</v>
      </c>
      <c r="E625" s="3838" t="s">
        <v>3338</v>
      </c>
      <c r="F625" s="3840">
        <v>34.85</v>
      </c>
    </row>
    <row r="626" spans="1:6">
      <c r="A626" s="3838" t="s">
        <v>3469</v>
      </c>
      <c r="B626" s="3841">
        <v>-1</v>
      </c>
      <c r="C626" s="3839" t="s">
        <v>3789</v>
      </c>
      <c r="D626" s="3837" t="str">
        <f t="shared" si="27"/>
        <v>1294</v>
      </c>
      <c r="E626" s="3838" t="s">
        <v>3338</v>
      </c>
      <c r="F626" s="3840">
        <v>34.85</v>
      </c>
    </row>
    <row r="627" spans="1:6">
      <c r="A627" s="3838" t="s">
        <v>3469</v>
      </c>
      <c r="B627" s="3841">
        <v>-1</v>
      </c>
      <c r="C627" s="3839" t="s">
        <v>3790</v>
      </c>
      <c r="D627" s="3837" t="str">
        <f t="shared" si="27"/>
        <v>1295</v>
      </c>
      <c r="E627" s="3838" t="s">
        <v>3338</v>
      </c>
      <c r="F627" s="3840">
        <v>34.85</v>
      </c>
    </row>
    <row r="628" spans="1:6">
      <c r="A628" s="3838" t="s">
        <v>3469</v>
      </c>
      <c r="B628" s="3841">
        <v>-1</v>
      </c>
      <c r="C628" s="3839" t="s">
        <v>3791</v>
      </c>
      <c r="D628" s="3837" t="str">
        <f t="shared" si="27"/>
        <v>1296</v>
      </c>
      <c r="E628" s="3838" t="s">
        <v>3338</v>
      </c>
      <c r="F628" s="3840">
        <v>34.85</v>
      </c>
    </row>
    <row r="629" spans="1:6">
      <c r="A629" s="3838" t="s">
        <v>3469</v>
      </c>
      <c r="B629" s="3841">
        <v>-1</v>
      </c>
      <c r="C629" s="3839" t="s">
        <v>3792</v>
      </c>
      <c r="D629" s="3837" t="str">
        <f t="shared" si="27"/>
        <v>1297</v>
      </c>
      <c r="E629" s="3838" t="s">
        <v>3338</v>
      </c>
      <c r="F629" s="3840">
        <v>34.85</v>
      </c>
    </row>
    <row r="630" spans="1:6">
      <c r="A630" s="3838" t="s">
        <v>3469</v>
      </c>
      <c r="B630" s="3841">
        <v>-1</v>
      </c>
      <c r="C630" s="3839" t="s">
        <v>3793</v>
      </c>
      <c r="D630" s="3837" t="str">
        <f t="shared" si="27"/>
        <v>1298</v>
      </c>
      <c r="E630" s="3838" t="s">
        <v>3338</v>
      </c>
      <c r="F630" s="3840">
        <v>34.85</v>
      </c>
    </row>
    <row r="631" spans="1:6">
      <c r="A631" s="3838" t="s">
        <v>3469</v>
      </c>
      <c r="B631" s="3841">
        <v>-1</v>
      </c>
      <c r="C631" s="3839" t="s">
        <v>3794</v>
      </c>
      <c r="D631" s="3837" t="str">
        <f t="shared" si="27"/>
        <v>1299</v>
      </c>
      <c r="E631" s="3838" t="s">
        <v>3338</v>
      </c>
      <c r="F631" s="3840">
        <v>34.85</v>
      </c>
    </row>
    <row r="632" spans="1:6">
      <c r="A632" s="3838" t="s">
        <v>3469</v>
      </c>
      <c r="B632" s="3841">
        <v>-1</v>
      </c>
      <c r="C632" s="3839" t="s">
        <v>3795</v>
      </c>
      <c r="D632" s="3837" t="str">
        <f t="shared" si="27"/>
        <v>1300</v>
      </c>
      <c r="E632" s="3838" t="s">
        <v>3338</v>
      </c>
      <c r="F632" s="3840">
        <v>34.85</v>
      </c>
    </row>
    <row r="633" spans="1:6">
      <c r="A633" s="3838" t="s">
        <v>3469</v>
      </c>
      <c r="B633" s="3841">
        <v>-1</v>
      </c>
      <c r="C633" s="3839" t="s">
        <v>3796</v>
      </c>
      <c r="D633" s="3837" t="str">
        <f t="shared" si="27"/>
        <v>1301</v>
      </c>
      <c r="E633" s="3838" t="s">
        <v>3338</v>
      </c>
      <c r="F633" s="3840">
        <v>34.85</v>
      </c>
    </row>
    <row r="634" spans="1:6">
      <c r="A634" s="3838" t="s">
        <v>3469</v>
      </c>
      <c r="B634" s="3841">
        <v>-1</v>
      </c>
      <c r="C634" s="3839" t="s">
        <v>3797</v>
      </c>
      <c r="D634" s="3837" t="str">
        <f t="shared" si="27"/>
        <v>1302</v>
      </c>
      <c r="E634" s="3838" t="s">
        <v>3338</v>
      </c>
      <c r="F634" s="3840">
        <v>34.85</v>
      </c>
    </row>
    <row r="635" spans="1:6">
      <c r="A635" s="3838" t="s">
        <v>3469</v>
      </c>
      <c r="B635" s="3841">
        <v>-1</v>
      </c>
      <c r="C635" s="3839" t="s">
        <v>3798</v>
      </c>
      <c r="D635" s="3837" t="str">
        <f t="shared" si="27"/>
        <v>1303</v>
      </c>
      <c r="E635" s="3838" t="s">
        <v>3338</v>
      </c>
      <c r="F635" s="3840">
        <v>34.85</v>
      </c>
    </row>
    <row r="636" spans="1:6">
      <c r="A636" s="3838" t="s">
        <v>3469</v>
      </c>
      <c r="B636" s="3841">
        <v>-1</v>
      </c>
      <c r="C636" s="3839" t="s">
        <v>3799</v>
      </c>
      <c r="D636" s="3837" t="str">
        <f t="shared" si="27"/>
        <v>1304</v>
      </c>
      <c r="E636" s="3838" t="s">
        <v>3338</v>
      </c>
      <c r="F636" s="3840">
        <v>34.85</v>
      </c>
    </row>
    <row r="637" spans="1:6">
      <c r="A637" s="3838" t="s">
        <v>3469</v>
      </c>
      <c r="B637" s="3841">
        <v>-1</v>
      </c>
      <c r="C637" s="3839" t="s">
        <v>3800</v>
      </c>
      <c r="D637" s="3837" t="str">
        <f t="shared" si="27"/>
        <v>1305</v>
      </c>
      <c r="E637" s="3838" t="s">
        <v>3338</v>
      </c>
      <c r="F637" s="3840">
        <v>34.85</v>
      </c>
    </row>
    <row r="638" spans="1:6">
      <c r="A638" s="3838" t="s">
        <v>3469</v>
      </c>
      <c r="B638" s="3841">
        <v>-1</v>
      </c>
      <c r="C638" s="3839" t="s">
        <v>3801</v>
      </c>
      <c r="D638" s="3837" t="str">
        <f t="shared" si="27"/>
        <v>1306</v>
      </c>
      <c r="E638" s="3838" t="s">
        <v>3338</v>
      </c>
      <c r="F638" s="3840">
        <v>34.85</v>
      </c>
    </row>
    <row r="639" spans="1:6">
      <c r="A639" s="3838" t="s">
        <v>3469</v>
      </c>
      <c r="B639" s="3841">
        <v>-1</v>
      </c>
      <c r="C639" s="3839" t="s">
        <v>3802</v>
      </c>
      <c r="D639" s="3837" t="str">
        <f t="shared" si="27"/>
        <v>1307</v>
      </c>
      <c r="E639" s="3838" t="s">
        <v>3338</v>
      </c>
      <c r="F639" s="3840">
        <v>34.85</v>
      </c>
    </row>
    <row r="640" spans="1:6">
      <c r="A640" s="3838" t="s">
        <v>3469</v>
      </c>
      <c r="B640" s="3841">
        <v>-1</v>
      </c>
      <c r="C640" s="3839" t="s">
        <v>3803</v>
      </c>
      <c r="D640" s="3837" t="str">
        <f t="shared" si="27"/>
        <v>1308</v>
      </c>
      <c r="E640" s="3838" t="s">
        <v>3338</v>
      </c>
      <c r="F640" s="3840">
        <v>34.85</v>
      </c>
    </row>
    <row r="641" spans="1:6">
      <c r="A641" s="3838" t="s">
        <v>3469</v>
      </c>
      <c r="B641" s="3841">
        <v>-1</v>
      </c>
      <c r="C641" s="3839" t="s">
        <v>3804</v>
      </c>
      <c r="D641" s="3837" t="str">
        <f t="shared" si="27"/>
        <v>1309</v>
      </c>
      <c r="E641" s="3838" t="s">
        <v>3338</v>
      </c>
      <c r="F641" s="3840">
        <v>34.85</v>
      </c>
    </row>
    <row r="642" spans="1:6">
      <c r="A642" s="3838" t="s">
        <v>3469</v>
      </c>
      <c r="B642" s="3841">
        <v>-1</v>
      </c>
      <c r="C642" s="3839" t="s">
        <v>3805</v>
      </c>
      <c r="D642" s="3837" t="str">
        <f t="shared" si="27"/>
        <v>1310</v>
      </c>
      <c r="E642" s="3838" t="s">
        <v>3338</v>
      </c>
      <c r="F642" s="3840">
        <v>34.85</v>
      </c>
    </row>
    <row r="643" spans="1:6">
      <c r="A643" s="3838" t="s">
        <v>3469</v>
      </c>
      <c r="B643" s="3841">
        <v>-1</v>
      </c>
      <c r="C643" s="3839" t="s">
        <v>3806</v>
      </c>
      <c r="D643" s="3837" t="str">
        <f t="shared" si="27"/>
        <v>1311</v>
      </c>
      <c r="E643" s="3838" t="s">
        <v>3338</v>
      </c>
      <c r="F643" s="3840">
        <v>34.85</v>
      </c>
    </row>
    <row r="644" spans="1:6">
      <c r="A644" s="3838" t="s">
        <v>3469</v>
      </c>
      <c r="B644" s="3841">
        <v>-1</v>
      </c>
      <c r="C644" s="3839" t="s">
        <v>3807</v>
      </c>
      <c r="D644" s="3837" t="str">
        <f t="shared" si="27"/>
        <v>1312</v>
      </c>
      <c r="E644" s="3838" t="s">
        <v>3338</v>
      </c>
      <c r="F644" s="3840">
        <v>34.85</v>
      </c>
    </row>
    <row r="645" spans="1:6">
      <c r="A645" s="3838" t="s">
        <v>3469</v>
      </c>
      <c r="B645" s="3841">
        <v>-1</v>
      </c>
      <c r="C645" s="3839" t="s">
        <v>3808</v>
      </c>
      <c r="D645" s="3837" t="str">
        <f t="shared" si="27"/>
        <v>1313</v>
      </c>
      <c r="E645" s="3838" t="s">
        <v>3338</v>
      </c>
      <c r="F645" s="3840">
        <v>34.85</v>
      </c>
    </row>
    <row r="646" spans="1:6">
      <c r="A646" s="3838" t="s">
        <v>3469</v>
      </c>
      <c r="B646" s="3841">
        <v>-1</v>
      </c>
      <c r="C646" s="3839" t="s">
        <v>3809</v>
      </c>
      <c r="D646" s="3837" t="str">
        <f t="shared" si="27"/>
        <v>1314</v>
      </c>
      <c r="E646" s="3838" t="s">
        <v>3338</v>
      </c>
      <c r="F646" s="3840">
        <v>34.85</v>
      </c>
    </row>
    <row r="647" spans="1:6">
      <c r="A647" s="3838" t="s">
        <v>3469</v>
      </c>
      <c r="B647" s="3841">
        <v>-1</v>
      </c>
      <c r="C647" s="3839" t="s">
        <v>3810</v>
      </c>
      <c r="D647" s="3837" t="str">
        <f t="shared" si="27"/>
        <v>1315</v>
      </c>
      <c r="E647" s="3838" t="s">
        <v>3338</v>
      </c>
      <c r="F647" s="3840">
        <v>34.85</v>
      </c>
    </row>
    <row r="648" spans="1:6">
      <c r="A648" s="3838" t="s">
        <v>3469</v>
      </c>
      <c r="B648" s="3841">
        <v>-1</v>
      </c>
      <c r="C648" s="3839" t="s">
        <v>3811</v>
      </c>
      <c r="D648" s="3837" t="str">
        <f t="shared" si="27"/>
        <v>1316</v>
      </c>
      <c r="E648" s="3838" t="s">
        <v>3338</v>
      </c>
      <c r="F648" s="3840">
        <v>34.85</v>
      </c>
    </row>
    <row r="649" spans="1:6">
      <c r="A649" s="3838" t="s">
        <v>3469</v>
      </c>
      <c r="B649" s="3841">
        <v>-1</v>
      </c>
      <c r="C649" s="3839" t="s">
        <v>3812</v>
      </c>
      <c r="D649" s="3837" t="str">
        <f t="shared" si="27"/>
        <v>1317</v>
      </c>
      <c r="E649" s="3838" t="s">
        <v>3338</v>
      </c>
      <c r="F649" s="3840">
        <v>34.85</v>
      </c>
    </row>
    <row r="650" spans="1:6">
      <c r="A650" s="3838" t="s">
        <v>3469</v>
      </c>
      <c r="B650" s="3841">
        <v>-1</v>
      </c>
      <c r="C650" s="3839" t="s">
        <v>3813</v>
      </c>
      <c r="D650" s="3837" t="str">
        <f t="shared" si="27"/>
        <v>1318</v>
      </c>
      <c r="E650" s="3838" t="s">
        <v>3338</v>
      </c>
      <c r="F650" s="3840">
        <v>34.85</v>
      </c>
    </row>
    <row r="651" spans="1:6">
      <c r="A651" s="3838" t="s">
        <v>3469</v>
      </c>
      <c r="B651" s="3841">
        <v>-1</v>
      </c>
      <c r="C651" s="3839" t="s">
        <v>3814</v>
      </c>
      <c r="D651" s="3837" t="str">
        <f t="shared" si="27"/>
        <v>1319</v>
      </c>
      <c r="E651" s="3838" t="s">
        <v>3338</v>
      </c>
      <c r="F651" s="3840">
        <v>34.85</v>
      </c>
    </row>
    <row r="652" spans="1:6">
      <c r="A652" s="3838" t="s">
        <v>3469</v>
      </c>
      <c r="B652" s="3841">
        <v>-1</v>
      </c>
      <c r="C652" s="3839" t="s">
        <v>3815</v>
      </c>
      <c r="D652" s="3837" t="str">
        <f t="shared" si="27"/>
        <v>1320</v>
      </c>
      <c r="E652" s="3838" t="s">
        <v>3338</v>
      </c>
      <c r="F652" s="3840">
        <v>34.85</v>
      </c>
    </row>
    <row r="653" spans="1:6">
      <c r="A653" s="3838" t="s">
        <v>3469</v>
      </c>
      <c r="B653" s="3841">
        <v>-1</v>
      </c>
      <c r="C653" s="3839" t="s">
        <v>3816</v>
      </c>
      <c r="D653" s="3837" t="str">
        <f t="shared" ref="D653:D716" si="28">""&amp;C653</f>
        <v>1321</v>
      </c>
      <c r="E653" s="3838" t="s">
        <v>3338</v>
      </c>
      <c r="F653" s="3840">
        <v>34.85</v>
      </c>
    </row>
    <row r="654" spans="1:6">
      <c r="A654" s="3838" t="s">
        <v>3469</v>
      </c>
      <c r="B654" s="3841">
        <v>-1</v>
      </c>
      <c r="C654" s="3839" t="s">
        <v>3817</v>
      </c>
      <c r="D654" s="3837" t="str">
        <f t="shared" si="28"/>
        <v>1322</v>
      </c>
      <c r="E654" s="3838" t="s">
        <v>3338</v>
      </c>
      <c r="F654" s="3840">
        <v>34.85</v>
      </c>
    </row>
    <row r="655" spans="1:6">
      <c r="A655" s="3838" t="s">
        <v>3469</v>
      </c>
      <c r="B655" s="3841">
        <v>-1</v>
      </c>
      <c r="C655" s="3839" t="s">
        <v>3818</v>
      </c>
      <c r="D655" s="3837" t="str">
        <f t="shared" si="28"/>
        <v>1323</v>
      </c>
      <c r="E655" s="3838" t="s">
        <v>3338</v>
      </c>
      <c r="F655" s="3840">
        <v>34.85</v>
      </c>
    </row>
    <row r="656" spans="1:6">
      <c r="A656" s="3838" t="s">
        <v>3469</v>
      </c>
      <c r="B656" s="3841">
        <v>-1</v>
      </c>
      <c r="C656" s="3839" t="s">
        <v>3819</v>
      </c>
      <c r="D656" s="3837" t="str">
        <f t="shared" si="28"/>
        <v>1324</v>
      </c>
      <c r="E656" s="3838" t="s">
        <v>3338</v>
      </c>
      <c r="F656" s="3840">
        <v>34.85</v>
      </c>
    </row>
    <row r="657" spans="1:6">
      <c r="A657" s="3838" t="s">
        <v>3469</v>
      </c>
      <c r="B657" s="3841">
        <v>-1</v>
      </c>
      <c r="C657" s="3839" t="s">
        <v>3820</v>
      </c>
      <c r="D657" s="3837" t="str">
        <f t="shared" si="28"/>
        <v>1325</v>
      </c>
      <c r="E657" s="3838" t="s">
        <v>3338</v>
      </c>
      <c r="F657" s="3840">
        <v>34.85</v>
      </c>
    </row>
    <row r="658" spans="1:6">
      <c r="A658" s="3838" t="s">
        <v>3469</v>
      </c>
      <c r="B658" s="3841">
        <v>-1</v>
      </c>
      <c r="C658" s="3839" t="s">
        <v>3821</v>
      </c>
      <c r="D658" s="3837" t="str">
        <f t="shared" si="28"/>
        <v>1326</v>
      </c>
      <c r="E658" s="3838" t="s">
        <v>3338</v>
      </c>
      <c r="F658" s="3840">
        <v>34.85</v>
      </c>
    </row>
    <row r="659" spans="1:6">
      <c r="A659" s="3838" t="s">
        <v>3469</v>
      </c>
      <c r="B659" s="3841">
        <v>-1</v>
      </c>
      <c r="C659" s="3839" t="s">
        <v>3822</v>
      </c>
      <c r="D659" s="3837" t="str">
        <f t="shared" si="28"/>
        <v>1327</v>
      </c>
      <c r="E659" s="3838" t="s">
        <v>3338</v>
      </c>
      <c r="F659" s="3840">
        <v>34.85</v>
      </c>
    </row>
    <row r="660" spans="1:6">
      <c r="A660" s="3838" t="s">
        <v>3469</v>
      </c>
      <c r="B660" s="3841">
        <v>-1</v>
      </c>
      <c r="C660" s="3839" t="s">
        <v>3823</v>
      </c>
      <c r="D660" s="3837" t="str">
        <f t="shared" si="28"/>
        <v>1328</v>
      </c>
      <c r="E660" s="3838" t="s">
        <v>3338</v>
      </c>
      <c r="F660" s="3840">
        <v>34.85</v>
      </c>
    </row>
    <row r="661" spans="1:6">
      <c r="A661" s="3838" t="s">
        <v>3469</v>
      </c>
      <c r="B661" s="3841">
        <v>-1</v>
      </c>
      <c r="C661" s="3839" t="s">
        <v>3824</v>
      </c>
      <c r="D661" s="3837" t="str">
        <f t="shared" si="28"/>
        <v>1329</v>
      </c>
      <c r="E661" s="3838" t="s">
        <v>3338</v>
      </c>
      <c r="F661" s="3840">
        <v>34.85</v>
      </c>
    </row>
    <row r="662" spans="1:6">
      <c r="A662" s="3838" t="s">
        <v>3469</v>
      </c>
      <c r="B662" s="3841">
        <v>-1</v>
      </c>
      <c r="C662" s="3839" t="s">
        <v>3825</v>
      </c>
      <c r="D662" s="3837" t="str">
        <f t="shared" si="28"/>
        <v>1330</v>
      </c>
      <c r="E662" s="3838" t="s">
        <v>3338</v>
      </c>
      <c r="F662" s="3840">
        <v>34.85</v>
      </c>
    </row>
    <row r="663" spans="1:6">
      <c r="A663" s="3838" t="s">
        <v>3469</v>
      </c>
      <c r="B663" s="3841">
        <v>-1</v>
      </c>
      <c r="C663" s="3839" t="s">
        <v>3826</v>
      </c>
      <c r="D663" s="3837" t="str">
        <f t="shared" si="28"/>
        <v>1331</v>
      </c>
      <c r="E663" s="3838" t="s">
        <v>3338</v>
      </c>
      <c r="F663" s="3840">
        <v>34.85</v>
      </c>
    </row>
    <row r="664" spans="1:6">
      <c r="A664" s="3838" t="s">
        <v>3469</v>
      </c>
      <c r="B664" s="3841">
        <v>-1</v>
      </c>
      <c r="C664" s="3839" t="s">
        <v>3827</v>
      </c>
      <c r="D664" s="3837" t="str">
        <f t="shared" si="28"/>
        <v>1332</v>
      </c>
      <c r="E664" s="3838" t="s">
        <v>3338</v>
      </c>
      <c r="F664" s="3840">
        <v>34.85</v>
      </c>
    </row>
    <row r="665" spans="1:6">
      <c r="A665" s="3838" t="s">
        <v>3469</v>
      </c>
      <c r="B665" s="3841">
        <v>-1</v>
      </c>
      <c r="C665" s="3839" t="s">
        <v>3828</v>
      </c>
      <c r="D665" s="3837" t="str">
        <f t="shared" si="28"/>
        <v>1333</v>
      </c>
      <c r="E665" s="3838" t="s">
        <v>3338</v>
      </c>
      <c r="F665" s="3840">
        <v>34.85</v>
      </c>
    </row>
    <row r="666" spans="1:6">
      <c r="A666" s="3838" t="s">
        <v>3469</v>
      </c>
      <c r="B666" s="3841">
        <v>-1</v>
      </c>
      <c r="C666" s="3839" t="s">
        <v>3829</v>
      </c>
      <c r="D666" s="3837" t="str">
        <f t="shared" si="28"/>
        <v>1334</v>
      </c>
      <c r="E666" s="3838" t="s">
        <v>3338</v>
      </c>
      <c r="F666" s="3840">
        <v>34.85</v>
      </c>
    </row>
    <row r="667" spans="1:6">
      <c r="A667" s="3838" t="s">
        <v>3469</v>
      </c>
      <c r="B667" s="3841">
        <v>-1</v>
      </c>
      <c r="C667" s="3839" t="s">
        <v>3830</v>
      </c>
      <c r="D667" s="3837" t="str">
        <f t="shared" si="28"/>
        <v>1335</v>
      </c>
      <c r="E667" s="3838" t="s">
        <v>3338</v>
      </c>
      <c r="F667" s="3840">
        <v>34.85</v>
      </c>
    </row>
    <row r="668" spans="1:6">
      <c r="A668" s="3838" t="s">
        <v>3469</v>
      </c>
      <c r="B668" s="3841">
        <v>-1</v>
      </c>
      <c r="C668" s="3839" t="s">
        <v>3831</v>
      </c>
      <c r="D668" s="3837" t="str">
        <f t="shared" si="28"/>
        <v>1336</v>
      </c>
      <c r="E668" s="3838" t="s">
        <v>3338</v>
      </c>
      <c r="F668" s="3840">
        <v>34.85</v>
      </c>
    </row>
    <row r="669" spans="1:6">
      <c r="A669" s="3838" t="s">
        <v>3469</v>
      </c>
      <c r="B669" s="3841">
        <v>-1</v>
      </c>
      <c r="C669" s="3839" t="s">
        <v>3832</v>
      </c>
      <c r="D669" s="3837" t="str">
        <f t="shared" si="28"/>
        <v>1337</v>
      </c>
      <c r="E669" s="3838" t="s">
        <v>3338</v>
      </c>
      <c r="F669" s="3840">
        <v>34.85</v>
      </c>
    </row>
    <row r="670" spans="1:6">
      <c r="A670" s="3838" t="s">
        <v>3469</v>
      </c>
      <c r="B670" s="3841">
        <v>-1</v>
      </c>
      <c r="C670" s="3839" t="s">
        <v>3833</v>
      </c>
      <c r="D670" s="3837" t="str">
        <f t="shared" si="28"/>
        <v>1338</v>
      </c>
      <c r="E670" s="3838" t="s">
        <v>3338</v>
      </c>
      <c r="F670" s="3840">
        <v>34.85</v>
      </c>
    </row>
    <row r="671" spans="1:6">
      <c r="A671" s="3838" t="s">
        <v>3469</v>
      </c>
      <c r="B671" s="3841">
        <v>-1</v>
      </c>
      <c r="C671" s="3839" t="s">
        <v>3834</v>
      </c>
      <c r="D671" s="3837" t="str">
        <f t="shared" si="28"/>
        <v>1339</v>
      </c>
      <c r="E671" s="3838" t="s">
        <v>3338</v>
      </c>
      <c r="F671" s="3840">
        <v>34.85</v>
      </c>
    </row>
    <row r="672" spans="1:6">
      <c r="A672" s="3838" t="s">
        <v>3469</v>
      </c>
      <c r="B672" s="3841">
        <v>-1</v>
      </c>
      <c r="C672" s="3839" t="s">
        <v>3835</v>
      </c>
      <c r="D672" s="3837" t="str">
        <f t="shared" si="28"/>
        <v>1340</v>
      </c>
      <c r="E672" s="3838" t="s">
        <v>3338</v>
      </c>
      <c r="F672" s="3840">
        <v>34.85</v>
      </c>
    </row>
    <row r="673" spans="1:6">
      <c r="A673" s="3838" t="s">
        <v>3469</v>
      </c>
      <c r="B673" s="3841">
        <v>-1</v>
      </c>
      <c r="C673" s="3839" t="s">
        <v>3836</v>
      </c>
      <c r="D673" s="3837" t="str">
        <f t="shared" si="28"/>
        <v>1341</v>
      </c>
      <c r="E673" s="3838" t="s">
        <v>3338</v>
      </c>
      <c r="F673" s="3840">
        <v>34.85</v>
      </c>
    </row>
    <row r="674" spans="1:6">
      <c r="A674" s="3838" t="s">
        <v>3469</v>
      </c>
      <c r="B674" s="3841">
        <v>-1</v>
      </c>
      <c r="C674" s="3839" t="s">
        <v>3837</v>
      </c>
      <c r="D674" s="3837" t="str">
        <f t="shared" si="28"/>
        <v>1342</v>
      </c>
      <c r="E674" s="3838" t="s">
        <v>3338</v>
      </c>
      <c r="F674" s="3840">
        <v>34.85</v>
      </c>
    </row>
    <row r="675" spans="1:6">
      <c r="A675" s="3838" t="s">
        <v>3469</v>
      </c>
      <c r="B675" s="3841">
        <v>-1</v>
      </c>
      <c r="C675" s="3839" t="s">
        <v>3838</v>
      </c>
      <c r="D675" s="3837" t="str">
        <f t="shared" si="28"/>
        <v>1343</v>
      </c>
      <c r="E675" s="3838" t="s">
        <v>3338</v>
      </c>
      <c r="F675" s="3840">
        <v>34.85</v>
      </c>
    </row>
    <row r="676" spans="1:6">
      <c r="A676" s="3838" t="s">
        <v>3469</v>
      </c>
      <c r="B676" s="3841">
        <v>-1</v>
      </c>
      <c r="C676" s="3839" t="s">
        <v>3839</v>
      </c>
      <c r="D676" s="3837" t="str">
        <f t="shared" si="28"/>
        <v>1344</v>
      </c>
      <c r="E676" s="3838" t="s">
        <v>3338</v>
      </c>
      <c r="F676" s="3840">
        <v>34.85</v>
      </c>
    </row>
    <row r="677" spans="1:6">
      <c r="A677" s="3838" t="s">
        <v>3469</v>
      </c>
      <c r="B677" s="3841">
        <v>-1</v>
      </c>
      <c r="C677" s="3839" t="s">
        <v>3840</v>
      </c>
      <c r="D677" s="3837" t="str">
        <f t="shared" si="28"/>
        <v>1345</v>
      </c>
      <c r="E677" s="3838" t="s">
        <v>3338</v>
      </c>
      <c r="F677" s="3840">
        <v>34.85</v>
      </c>
    </row>
    <row r="678" spans="1:6">
      <c r="A678" s="3838" t="s">
        <v>3469</v>
      </c>
      <c r="B678" s="3841">
        <v>-1</v>
      </c>
      <c r="C678" s="3839" t="s">
        <v>3841</v>
      </c>
      <c r="D678" s="3837" t="str">
        <f t="shared" si="28"/>
        <v>1346</v>
      </c>
      <c r="E678" s="3838" t="s">
        <v>3338</v>
      </c>
      <c r="F678" s="3840">
        <v>34.85</v>
      </c>
    </row>
    <row r="679" spans="1:6">
      <c r="A679" s="3838" t="s">
        <v>3469</v>
      </c>
      <c r="B679" s="3841">
        <v>-1</v>
      </c>
      <c r="C679" s="3839" t="s">
        <v>3842</v>
      </c>
      <c r="D679" s="3837" t="str">
        <f t="shared" si="28"/>
        <v>1347</v>
      </c>
      <c r="E679" s="3838" t="s">
        <v>3338</v>
      </c>
      <c r="F679" s="3840">
        <v>34.85</v>
      </c>
    </row>
    <row r="680" spans="1:6">
      <c r="A680" s="3838" t="s">
        <v>3469</v>
      </c>
      <c r="B680" s="3841">
        <v>-1</v>
      </c>
      <c r="C680" s="3839" t="s">
        <v>3843</v>
      </c>
      <c r="D680" s="3837" t="str">
        <f t="shared" si="28"/>
        <v>1348</v>
      </c>
      <c r="E680" s="3838" t="s">
        <v>3338</v>
      </c>
      <c r="F680" s="3840">
        <v>34.85</v>
      </c>
    </row>
    <row r="681" spans="1:6">
      <c r="A681" s="3838" t="s">
        <v>3469</v>
      </c>
      <c r="B681" s="3841">
        <v>-1</v>
      </c>
      <c r="C681" s="3839" t="s">
        <v>3844</v>
      </c>
      <c r="D681" s="3837" t="str">
        <f t="shared" si="28"/>
        <v>1349</v>
      </c>
      <c r="E681" s="3838" t="s">
        <v>3338</v>
      </c>
      <c r="F681" s="3840">
        <v>34.85</v>
      </c>
    </row>
    <row r="682" spans="1:6">
      <c r="A682" s="3838" t="s">
        <v>3469</v>
      </c>
      <c r="B682" s="3841">
        <v>-1</v>
      </c>
      <c r="C682" s="3839" t="s">
        <v>3845</v>
      </c>
      <c r="D682" s="3837" t="str">
        <f t="shared" si="28"/>
        <v>1350</v>
      </c>
      <c r="E682" s="3838" t="s">
        <v>3338</v>
      </c>
      <c r="F682" s="3840">
        <v>34.85</v>
      </c>
    </row>
    <row r="683" spans="1:6">
      <c r="A683" s="3838" t="s">
        <v>3469</v>
      </c>
      <c r="B683" s="3841">
        <v>-1</v>
      </c>
      <c r="C683" s="3839" t="s">
        <v>3846</v>
      </c>
      <c r="D683" s="3837" t="str">
        <f t="shared" si="28"/>
        <v>1351</v>
      </c>
      <c r="E683" s="3838" t="s">
        <v>3338</v>
      </c>
      <c r="F683" s="3840">
        <v>34.85</v>
      </c>
    </row>
    <row r="684" spans="1:6">
      <c r="A684" s="3838" t="s">
        <v>3469</v>
      </c>
      <c r="B684" s="3841">
        <v>-1</v>
      </c>
      <c r="C684" s="3839" t="s">
        <v>3847</v>
      </c>
      <c r="D684" s="3837" t="str">
        <f t="shared" si="28"/>
        <v>1352</v>
      </c>
      <c r="E684" s="3838" t="s">
        <v>3338</v>
      </c>
      <c r="F684" s="3840">
        <v>34.85</v>
      </c>
    </row>
    <row r="685" spans="1:6">
      <c r="A685" s="3838" t="s">
        <v>3469</v>
      </c>
      <c r="B685" s="3841">
        <v>-1</v>
      </c>
      <c r="C685" s="3839" t="s">
        <v>3848</v>
      </c>
      <c r="D685" s="3837" t="str">
        <f t="shared" si="28"/>
        <v>1353</v>
      </c>
      <c r="E685" s="3838" t="s">
        <v>3338</v>
      </c>
      <c r="F685" s="3840">
        <v>34.85</v>
      </c>
    </row>
    <row r="686" spans="1:6">
      <c r="A686" s="3838" t="s">
        <v>3469</v>
      </c>
      <c r="B686" s="3841">
        <v>-1</v>
      </c>
      <c r="C686" s="3839" t="s">
        <v>3849</v>
      </c>
      <c r="D686" s="3837" t="str">
        <f t="shared" si="28"/>
        <v>1354</v>
      </c>
      <c r="E686" s="3838" t="s">
        <v>3338</v>
      </c>
      <c r="F686" s="3840">
        <v>34.85</v>
      </c>
    </row>
    <row r="687" spans="1:6">
      <c r="A687" s="3838" t="s">
        <v>3469</v>
      </c>
      <c r="B687" s="3841">
        <v>-1</v>
      </c>
      <c r="C687" s="3839" t="s">
        <v>3850</v>
      </c>
      <c r="D687" s="3837" t="str">
        <f t="shared" si="28"/>
        <v>1355</v>
      </c>
      <c r="E687" s="3838" t="s">
        <v>3338</v>
      </c>
      <c r="F687" s="3840">
        <v>34.85</v>
      </c>
    </row>
    <row r="688" spans="1:6">
      <c r="A688" s="3838" t="s">
        <v>3469</v>
      </c>
      <c r="B688" s="3841">
        <v>-1</v>
      </c>
      <c r="C688" s="3839" t="s">
        <v>3851</v>
      </c>
      <c r="D688" s="3837" t="str">
        <f t="shared" si="28"/>
        <v>1356</v>
      </c>
      <c r="E688" s="3838" t="s">
        <v>3338</v>
      </c>
      <c r="F688" s="3840">
        <v>34.85</v>
      </c>
    </row>
    <row r="689" spans="1:6">
      <c r="A689" s="3838" t="s">
        <v>3469</v>
      </c>
      <c r="B689" s="3841">
        <v>-1</v>
      </c>
      <c r="C689" s="3839" t="s">
        <v>3852</v>
      </c>
      <c r="D689" s="3837" t="str">
        <f t="shared" si="28"/>
        <v>1357</v>
      </c>
      <c r="E689" s="3838" t="s">
        <v>3338</v>
      </c>
      <c r="F689" s="3840">
        <v>34.85</v>
      </c>
    </row>
    <row r="690" spans="1:6">
      <c r="A690" s="3838" t="s">
        <v>3469</v>
      </c>
      <c r="B690" s="3841">
        <v>-1</v>
      </c>
      <c r="C690" s="3839" t="s">
        <v>3853</v>
      </c>
      <c r="D690" s="3837" t="str">
        <f t="shared" si="28"/>
        <v>1358</v>
      </c>
      <c r="E690" s="3838" t="s">
        <v>3338</v>
      </c>
      <c r="F690" s="3840">
        <v>34.85</v>
      </c>
    </row>
    <row r="691" spans="1:6">
      <c r="A691" s="3838" t="s">
        <v>3469</v>
      </c>
      <c r="B691" s="3841">
        <v>-1</v>
      </c>
      <c r="C691" s="3839" t="s">
        <v>3854</v>
      </c>
      <c r="D691" s="3837" t="str">
        <f t="shared" si="28"/>
        <v>1359</v>
      </c>
      <c r="E691" s="3838" t="s">
        <v>3338</v>
      </c>
      <c r="F691" s="3840">
        <v>34.85</v>
      </c>
    </row>
    <row r="692" spans="1:6">
      <c r="A692" s="3838" t="s">
        <v>3469</v>
      </c>
      <c r="B692" s="3841">
        <v>-1</v>
      </c>
      <c r="C692" s="3839" t="s">
        <v>3855</v>
      </c>
      <c r="D692" s="3837" t="str">
        <f t="shared" si="28"/>
        <v>1360</v>
      </c>
      <c r="E692" s="3838" t="s">
        <v>3338</v>
      </c>
      <c r="F692" s="3840">
        <v>34.85</v>
      </c>
    </row>
    <row r="693" spans="1:6">
      <c r="A693" s="3838" t="s">
        <v>3469</v>
      </c>
      <c r="B693" s="3841">
        <v>-1</v>
      </c>
      <c r="C693" s="3839" t="s">
        <v>3856</v>
      </c>
      <c r="D693" s="3837" t="str">
        <f t="shared" si="28"/>
        <v>1361</v>
      </c>
      <c r="E693" s="3838" t="s">
        <v>3338</v>
      </c>
      <c r="F693" s="3840">
        <v>34.85</v>
      </c>
    </row>
    <row r="694" spans="1:6">
      <c r="A694" s="3838" t="s">
        <v>3469</v>
      </c>
      <c r="B694" s="3841">
        <v>-1</v>
      </c>
      <c r="C694" s="3839" t="s">
        <v>3857</v>
      </c>
      <c r="D694" s="3837" t="str">
        <f t="shared" si="28"/>
        <v>1362</v>
      </c>
      <c r="E694" s="3838" t="s">
        <v>3338</v>
      </c>
      <c r="F694" s="3840">
        <v>34.85</v>
      </c>
    </row>
    <row r="695" spans="1:6">
      <c r="A695" s="3838" t="s">
        <v>3469</v>
      </c>
      <c r="B695" s="3841">
        <v>-1</v>
      </c>
      <c r="C695" s="3839" t="s">
        <v>3858</v>
      </c>
      <c r="D695" s="3837" t="str">
        <f t="shared" si="28"/>
        <v>1363</v>
      </c>
      <c r="E695" s="3838" t="s">
        <v>3338</v>
      </c>
      <c r="F695" s="3840">
        <v>34.85</v>
      </c>
    </row>
    <row r="696" spans="1:6">
      <c r="A696" s="3838" t="s">
        <v>3469</v>
      </c>
      <c r="B696" s="3841">
        <v>-1</v>
      </c>
      <c r="C696" s="3839" t="s">
        <v>3859</v>
      </c>
      <c r="D696" s="3837" t="str">
        <f t="shared" si="28"/>
        <v>1364</v>
      </c>
      <c r="E696" s="3838" t="s">
        <v>3338</v>
      </c>
      <c r="F696" s="3840">
        <v>34.85</v>
      </c>
    </row>
    <row r="697" spans="1:6">
      <c r="A697" s="3838" t="s">
        <v>3469</v>
      </c>
      <c r="B697" s="3841">
        <v>-1</v>
      </c>
      <c r="C697" s="3839" t="s">
        <v>3860</v>
      </c>
      <c r="D697" s="3837" t="str">
        <f t="shared" si="28"/>
        <v>1365</v>
      </c>
      <c r="E697" s="3838" t="s">
        <v>3338</v>
      </c>
      <c r="F697" s="3840">
        <v>34.85</v>
      </c>
    </row>
    <row r="698" spans="1:6">
      <c r="A698" s="3838" t="s">
        <v>3469</v>
      </c>
      <c r="B698" s="3841">
        <v>-1</v>
      </c>
      <c r="C698" s="3839" t="s">
        <v>3861</v>
      </c>
      <c r="D698" s="3837" t="str">
        <f t="shared" si="28"/>
        <v>1366</v>
      </c>
      <c r="E698" s="3838" t="s">
        <v>3338</v>
      </c>
      <c r="F698" s="3840">
        <v>34.85</v>
      </c>
    </row>
    <row r="699" spans="1:6">
      <c r="A699" s="3838" t="s">
        <v>3469</v>
      </c>
      <c r="B699" s="3841">
        <v>-1</v>
      </c>
      <c r="C699" s="3839" t="s">
        <v>3862</v>
      </c>
      <c r="D699" s="3837" t="str">
        <f t="shared" si="28"/>
        <v>1367</v>
      </c>
      <c r="E699" s="3838" t="s">
        <v>3338</v>
      </c>
      <c r="F699" s="3840">
        <v>34.85</v>
      </c>
    </row>
    <row r="700" spans="1:6">
      <c r="A700" s="3838" t="s">
        <v>3469</v>
      </c>
      <c r="B700" s="3841">
        <v>-1</v>
      </c>
      <c r="C700" s="3839" t="s">
        <v>3863</v>
      </c>
      <c r="D700" s="3837" t="str">
        <f t="shared" si="28"/>
        <v>1368</v>
      </c>
      <c r="E700" s="3838" t="s">
        <v>3338</v>
      </c>
      <c r="F700" s="3840">
        <v>34.85</v>
      </c>
    </row>
    <row r="701" spans="1:6">
      <c r="A701" s="3838" t="s">
        <v>3469</v>
      </c>
      <c r="B701" s="3841">
        <v>-1</v>
      </c>
      <c r="C701" s="3839" t="s">
        <v>3864</v>
      </c>
      <c r="D701" s="3837" t="str">
        <f t="shared" si="28"/>
        <v>1369</v>
      </c>
      <c r="E701" s="3838" t="s">
        <v>3338</v>
      </c>
      <c r="F701" s="3840">
        <v>34.85</v>
      </c>
    </row>
    <row r="702" spans="1:6">
      <c r="A702" s="3838" t="s">
        <v>3469</v>
      </c>
      <c r="B702" s="3841">
        <v>-1</v>
      </c>
      <c r="C702" s="3839" t="s">
        <v>3865</v>
      </c>
      <c r="D702" s="3837" t="str">
        <f t="shared" si="28"/>
        <v>1370</v>
      </c>
      <c r="E702" s="3838" t="s">
        <v>3338</v>
      </c>
      <c r="F702" s="3840">
        <v>34.85</v>
      </c>
    </row>
    <row r="703" spans="1:6">
      <c r="A703" s="3838" t="s">
        <v>3469</v>
      </c>
      <c r="B703" s="3841">
        <v>-1</v>
      </c>
      <c r="C703" s="3839" t="s">
        <v>3866</v>
      </c>
      <c r="D703" s="3837" t="str">
        <f t="shared" si="28"/>
        <v>1371</v>
      </c>
      <c r="E703" s="3838" t="s">
        <v>3338</v>
      </c>
      <c r="F703" s="3840">
        <v>34.85</v>
      </c>
    </row>
    <row r="704" spans="1:6">
      <c r="A704" s="3838" t="s">
        <v>3469</v>
      </c>
      <c r="B704" s="3841">
        <v>-1</v>
      </c>
      <c r="C704" s="3839" t="s">
        <v>3867</v>
      </c>
      <c r="D704" s="3837" t="str">
        <f t="shared" si="28"/>
        <v>1372</v>
      </c>
      <c r="E704" s="3838" t="s">
        <v>3338</v>
      </c>
      <c r="F704" s="3840">
        <v>34.85</v>
      </c>
    </row>
    <row r="705" spans="1:6">
      <c r="A705" s="3838" t="s">
        <v>3469</v>
      </c>
      <c r="B705" s="3841">
        <v>-1</v>
      </c>
      <c r="C705" s="3839" t="s">
        <v>3868</v>
      </c>
      <c r="D705" s="3837" t="str">
        <f t="shared" si="28"/>
        <v>1373</v>
      </c>
      <c r="E705" s="3838" t="s">
        <v>3338</v>
      </c>
      <c r="F705" s="3840">
        <v>34.85</v>
      </c>
    </row>
    <row r="706" spans="1:6">
      <c r="A706" s="3838" t="s">
        <v>3469</v>
      </c>
      <c r="B706" s="3841">
        <v>-1</v>
      </c>
      <c r="C706" s="3839" t="s">
        <v>3869</v>
      </c>
      <c r="D706" s="3837" t="str">
        <f t="shared" si="28"/>
        <v>1374</v>
      </c>
      <c r="E706" s="3838" t="s">
        <v>3338</v>
      </c>
      <c r="F706" s="3840">
        <v>34.85</v>
      </c>
    </row>
    <row r="707" spans="1:6">
      <c r="A707" s="3838" t="s">
        <v>3469</v>
      </c>
      <c r="B707" s="3841">
        <v>-1</v>
      </c>
      <c r="C707" s="3839" t="s">
        <v>3870</v>
      </c>
      <c r="D707" s="3837" t="str">
        <f t="shared" si="28"/>
        <v>1375</v>
      </c>
      <c r="E707" s="3838" t="s">
        <v>3338</v>
      </c>
      <c r="F707" s="3840">
        <v>34.85</v>
      </c>
    </row>
    <row r="708" spans="1:6">
      <c r="A708" s="3838" t="s">
        <v>3469</v>
      </c>
      <c r="B708" s="3841">
        <v>-1</v>
      </c>
      <c r="C708" s="3839" t="s">
        <v>3871</v>
      </c>
      <c r="D708" s="3837" t="str">
        <f t="shared" si="28"/>
        <v>1376</v>
      </c>
      <c r="E708" s="3838" t="s">
        <v>3338</v>
      </c>
      <c r="F708" s="3840">
        <v>34.880000000000003</v>
      </c>
    </row>
    <row r="709" spans="1:6">
      <c r="A709" s="3838" t="s">
        <v>3469</v>
      </c>
      <c r="B709" s="3841">
        <v>-1</v>
      </c>
      <c r="C709" s="3839" t="s">
        <v>3872</v>
      </c>
      <c r="D709" s="3837" t="str">
        <f t="shared" si="28"/>
        <v>1377</v>
      </c>
      <c r="E709" s="3838" t="s">
        <v>3338</v>
      </c>
      <c r="F709" s="3840">
        <v>34.85</v>
      </c>
    </row>
    <row r="710" spans="1:6">
      <c r="A710" s="3838" t="s">
        <v>3469</v>
      </c>
      <c r="B710" s="3841">
        <v>-1</v>
      </c>
      <c r="C710" s="3839" t="s">
        <v>3873</v>
      </c>
      <c r="D710" s="3837" t="str">
        <f t="shared" si="28"/>
        <v>1378</v>
      </c>
      <c r="E710" s="3838" t="s">
        <v>3338</v>
      </c>
      <c r="F710" s="3840">
        <v>34.85</v>
      </c>
    </row>
    <row r="711" spans="1:6">
      <c r="A711" s="3838" t="s">
        <v>3469</v>
      </c>
      <c r="B711" s="3841">
        <v>-1</v>
      </c>
      <c r="C711" s="3839" t="s">
        <v>3874</v>
      </c>
      <c r="D711" s="3837" t="str">
        <f t="shared" si="28"/>
        <v>1379</v>
      </c>
      <c r="E711" s="3838" t="s">
        <v>3338</v>
      </c>
      <c r="F711" s="3840">
        <v>34.85</v>
      </c>
    </row>
    <row r="712" spans="1:6">
      <c r="A712" s="3838" t="s">
        <v>3469</v>
      </c>
      <c r="B712" s="3841">
        <v>-1</v>
      </c>
      <c r="C712" s="3839" t="s">
        <v>3875</v>
      </c>
      <c r="D712" s="3837" t="str">
        <f t="shared" si="28"/>
        <v>1380</v>
      </c>
      <c r="E712" s="3838" t="s">
        <v>3338</v>
      </c>
      <c r="F712" s="3840">
        <v>34.85</v>
      </c>
    </row>
    <row r="713" spans="1:6">
      <c r="A713" s="3838" t="s">
        <v>3469</v>
      </c>
      <c r="B713" s="3841">
        <v>-1</v>
      </c>
      <c r="C713" s="3839" t="s">
        <v>3876</v>
      </c>
      <c r="D713" s="3837" t="str">
        <f t="shared" si="28"/>
        <v>1381</v>
      </c>
      <c r="E713" s="3838" t="s">
        <v>3338</v>
      </c>
      <c r="F713" s="3840">
        <v>34.85</v>
      </c>
    </row>
    <row r="714" spans="1:6">
      <c r="A714" s="3838" t="s">
        <v>3469</v>
      </c>
      <c r="B714" s="3841">
        <v>-1</v>
      </c>
      <c r="C714" s="3839" t="s">
        <v>3877</v>
      </c>
      <c r="D714" s="3837" t="str">
        <f t="shared" si="28"/>
        <v>1382</v>
      </c>
      <c r="E714" s="3838" t="s">
        <v>3338</v>
      </c>
      <c r="F714" s="3840">
        <v>34.85</v>
      </c>
    </row>
    <row r="715" spans="1:6">
      <c r="A715" s="3838" t="s">
        <v>3469</v>
      </c>
      <c r="B715" s="3841">
        <v>-1</v>
      </c>
      <c r="C715" s="3839" t="s">
        <v>3878</v>
      </c>
      <c r="D715" s="3837" t="str">
        <f t="shared" si="28"/>
        <v>1383</v>
      </c>
      <c r="E715" s="3838" t="s">
        <v>3338</v>
      </c>
      <c r="F715" s="3840">
        <v>34.85</v>
      </c>
    </row>
    <row r="716" spans="1:6">
      <c r="A716" s="3838" t="s">
        <v>3469</v>
      </c>
      <c r="B716" s="3841">
        <v>-1</v>
      </c>
      <c r="C716" s="3839" t="s">
        <v>3879</v>
      </c>
      <c r="D716" s="3837" t="str">
        <f t="shared" si="28"/>
        <v>1384</v>
      </c>
      <c r="E716" s="3838" t="s">
        <v>3338</v>
      </c>
      <c r="F716" s="3840">
        <v>34.85</v>
      </c>
    </row>
    <row r="717" spans="1:6">
      <c r="A717" s="3838" t="s">
        <v>3469</v>
      </c>
      <c r="B717" s="3841">
        <v>-1</v>
      </c>
      <c r="C717" s="3839" t="s">
        <v>3880</v>
      </c>
      <c r="D717" s="3837" t="str">
        <f t="shared" ref="D717:D780" si="29">""&amp;C717</f>
        <v>1385</v>
      </c>
      <c r="E717" s="3838" t="s">
        <v>3338</v>
      </c>
      <c r="F717" s="3840">
        <v>34.85</v>
      </c>
    </row>
    <row r="718" spans="1:6">
      <c r="A718" s="3838" t="s">
        <v>3469</v>
      </c>
      <c r="B718" s="3841">
        <v>-1</v>
      </c>
      <c r="C718" s="3839" t="s">
        <v>3881</v>
      </c>
      <c r="D718" s="3837" t="str">
        <f t="shared" si="29"/>
        <v>1386</v>
      </c>
      <c r="E718" s="3838" t="s">
        <v>3338</v>
      </c>
      <c r="F718" s="3840">
        <v>34.85</v>
      </c>
    </row>
    <row r="719" spans="1:6">
      <c r="A719" s="3838" t="s">
        <v>3469</v>
      </c>
      <c r="B719" s="3841">
        <v>-1</v>
      </c>
      <c r="C719" s="3839" t="s">
        <v>3882</v>
      </c>
      <c r="D719" s="3837" t="str">
        <f t="shared" si="29"/>
        <v>1387</v>
      </c>
      <c r="E719" s="3838" t="s">
        <v>3338</v>
      </c>
      <c r="F719" s="3840">
        <v>34.85</v>
      </c>
    </row>
    <row r="720" spans="1:6">
      <c r="A720" s="3838" t="s">
        <v>3469</v>
      </c>
      <c r="B720" s="3841">
        <v>-1</v>
      </c>
      <c r="C720" s="3839" t="s">
        <v>3883</v>
      </c>
      <c r="D720" s="3837" t="str">
        <f t="shared" si="29"/>
        <v>1388</v>
      </c>
      <c r="E720" s="3838" t="s">
        <v>3338</v>
      </c>
      <c r="F720" s="3840">
        <v>34.85</v>
      </c>
    </row>
    <row r="721" spans="1:6">
      <c r="A721" s="3838" t="s">
        <v>3469</v>
      </c>
      <c r="B721" s="3841">
        <v>-1</v>
      </c>
      <c r="C721" s="3839" t="s">
        <v>3884</v>
      </c>
      <c r="D721" s="3837" t="str">
        <f t="shared" si="29"/>
        <v>1389</v>
      </c>
      <c r="E721" s="3838" t="s">
        <v>3338</v>
      </c>
      <c r="F721" s="3840">
        <v>34.85</v>
      </c>
    </row>
    <row r="722" spans="1:6">
      <c r="A722" s="3838" t="s">
        <v>3469</v>
      </c>
      <c r="B722" s="3841">
        <v>-1</v>
      </c>
      <c r="C722" s="3839" t="s">
        <v>3885</v>
      </c>
      <c r="D722" s="3837" t="str">
        <f t="shared" si="29"/>
        <v>1390</v>
      </c>
      <c r="E722" s="3838" t="s">
        <v>3338</v>
      </c>
      <c r="F722" s="3840">
        <v>34.85</v>
      </c>
    </row>
    <row r="723" spans="1:6">
      <c r="A723" s="3838" t="s">
        <v>3469</v>
      </c>
      <c r="B723" s="3841">
        <v>-1</v>
      </c>
      <c r="C723" s="3839" t="s">
        <v>3886</v>
      </c>
      <c r="D723" s="3837" t="str">
        <f t="shared" si="29"/>
        <v>1391</v>
      </c>
      <c r="E723" s="3838" t="s">
        <v>3338</v>
      </c>
      <c r="F723" s="3840">
        <v>34.85</v>
      </c>
    </row>
    <row r="724" spans="1:6">
      <c r="A724" s="3838" t="s">
        <v>3469</v>
      </c>
      <c r="B724" s="3841">
        <v>-1</v>
      </c>
      <c r="C724" s="3839" t="s">
        <v>3887</v>
      </c>
      <c r="D724" s="3837" t="str">
        <f t="shared" si="29"/>
        <v>1392</v>
      </c>
      <c r="E724" s="3838" t="s">
        <v>3338</v>
      </c>
      <c r="F724" s="3840">
        <v>34.85</v>
      </c>
    </row>
    <row r="725" spans="1:6">
      <c r="A725" s="3838" t="s">
        <v>3469</v>
      </c>
      <c r="B725" s="3841">
        <v>-1</v>
      </c>
      <c r="C725" s="3839" t="s">
        <v>3888</v>
      </c>
      <c r="D725" s="3837" t="str">
        <f t="shared" si="29"/>
        <v>1393</v>
      </c>
      <c r="E725" s="3838" t="s">
        <v>3338</v>
      </c>
      <c r="F725" s="3840">
        <v>34.85</v>
      </c>
    </row>
    <row r="726" spans="1:6">
      <c r="A726" s="3838" t="s">
        <v>3469</v>
      </c>
      <c r="B726" s="3841">
        <v>-1</v>
      </c>
      <c r="C726" s="3839" t="s">
        <v>3889</v>
      </c>
      <c r="D726" s="3837" t="str">
        <f t="shared" si="29"/>
        <v>1394</v>
      </c>
      <c r="E726" s="3838" t="s">
        <v>3338</v>
      </c>
      <c r="F726" s="3840">
        <v>34.85</v>
      </c>
    </row>
    <row r="727" spans="1:6">
      <c r="A727" s="3838" t="s">
        <v>3469</v>
      </c>
      <c r="B727" s="3841">
        <v>-1</v>
      </c>
      <c r="C727" s="3839" t="s">
        <v>3890</v>
      </c>
      <c r="D727" s="3837" t="str">
        <f t="shared" si="29"/>
        <v>1395</v>
      </c>
      <c r="E727" s="3838" t="s">
        <v>3338</v>
      </c>
      <c r="F727" s="3840">
        <v>34.85</v>
      </c>
    </row>
    <row r="728" spans="1:6">
      <c r="A728" s="3838" t="s">
        <v>3469</v>
      </c>
      <c r="B728" s="3841">
        <v>-1</v>
      </c>
      <c r="C728" s="3839" t="s">
        <v>3891</v>
      </c>
      <c r="D728" s="3837" t="str">
        <f t="shared" si="29"/>
        <v>1396</v>
      </c>
      <c r="E728" s="3838" t="s">
        <v>3338</v>
      </c>
      <c r="F728" s="3840">
        <v>34.85</v>
      </c>
    </row>
    <row r="729" spans="1:6">
      <c r="A729" s="3838" t="s">
        <v>3469</v>
      </c>
      <c r="B729" s="3841">
        <v>-1</v>
      </c>
      <c r="C729" s="3839" t="s">
        <v>3892</v>
      </c>
      <c r="D729" s="3837" t="str">
        <f t="shared" si="29"/>
        <v>1397</v>
      </c>
      <c r="E729" s="3838" t="s">
        <v>3338</v>
      </c>
      <c r="F729" s="3840">
        <v>34.85</v>
      </c>
    </row>
    <row r="730" spans="1:6">
      <c r="A730" s="3838" t="s">
        <v>3469</v>
      </c>
      <c r="B730" s="3841">
        <v>-1</v>
      </c>
      <c r="C730" s="3839" t="s">
        <v>3893</v>
      </c>
      <c r="D730" s="3837" t="str">
        <f t="shared" si="29"/>
        <v>1398</v>
      </c>
      <c r="E730" s="3838" t="s">
        <v>3338</v>
      </c>
      <c r="F730" s="3840">
        <v>34.85</v>
      </c>
    </row>
    <row r="731" spans="1:6">
      <c r="A731" s="3838" t="s">
        <v>3469</v>
      </c>
      <c r="B731" s="3841">
        <v>-1</v>
      </c>
      <c r="C731" s="3839" t="s">
        <v>3894</v>
      </c>
      <c r="D731" s="3837" t="str">
        <f t="shared" si="29"/>
        <v>1399</v>
      </c>
      <c r="E731" s="3838" t="s">
        <v>3338</v>
      </c>
      <c r="F731" s="3840">
        <v>34.85</v>
      </c>
    </row>
    <row r="732" spans="1:6">
      <c r="A732" s="3838" t="s">
        <v>3469</v>
      </c>
      <c r="B732" s="3841">
        <v>-1</v>
      </c>
      <c r="C732" s="3839" t="s">
        <v>3895</v>
      </c>
      <c r="D732" s="3837" t="str">
        <f t="shared" si="29"/>
        <v>1400</v>
      </c>
      <c r="E732" s="3838" t="s">
        <v>3338</v>
      </c>
      <c r="F732" s="3840">
        <v>34.85</v>
      </c>
    </row>
    <row r="733" spans="1:6">
      <c r="A733" s="3838" t="s">
        <v>3469</v>
      </c>
      <c r="B733" s="3841">
        <v>-1</v>
      </c>
      <c r="C733" s="3839" t="s">
        <v>3896</v>
      </c>
      <c r="D733" s="3837" t="str">
        <f t="shared" si="29"/>
        <v>1401</v>
      </c>
      <c r="E733" s="3838" t="s">
        <v>3338</v>
      </c>
      <c r="F733" s="3840">
        <v>34.85</v>
      </c>
    </row>
    <row r="734" spans="1:6">
      <c r="A734" s="3838" t="s">
        <v>3469</v>
      </c>
      <c r="B734" s="3841">
        <v>-1</v>
      </c>
      <c r="C734" s="3839" t="s">
        <v>3897</v>
      </c>
      <c r="D734" s="3837" t="str">
        <f t="shared" si="29"/>
        <v>1402</v>
      </c>
      <c r="E734" s="3838" t="s">
        <v>3338</v>
      </c>
      <c r="F734" s="3840">
        <v>34.85</v>
      </c>
    </row>
    <row r="735" spans="1:6">
      <c r="A735" s="3838" t="s">
        <v>3469</v>
      </c>
      <c r="B735" s="3841">
        <v>-1</v>
      </c>
      <c r="C735" s="3839" t="s">
        <v>3898</v>
      </c>
      <c r="D735" s="3837" t="str">
        <f t="shared" si="29"/>
        <v>1403</v>
      </c>
      <c r="E735" s="3838" t="s">
        <v>3338</v>
      </c>
      <c r="F735" s="3840">
        <v>34.85</v>
      </c>
    </row>
    <row r="736" spans="1:6">
      <c r="A736" s="3838" t="s">
        <v>3469</v>
      </c>
      <c r="B736" s="3841">
        <v>-1</v>
      </c>
      <c r="C736" s="3839" t="s">
        <v>3899</v>
      </c>
      <c r="D736" s="3837" t="str">
        <f t="shared" si="29"/>
        <v>1404</v>
      </c>
      <c r="E736" s="3838" t="s">
        <v>3338</v>
      </c>
      <c r="F736" s="3840">
        <v>34.85</v>
      </c>
    </row>
    <row r="737" spans="1:6">
      <c r="A737" s="3838" t="s">
        <v>3469</v>
      </c>
      <c r="B737" s="3841">
        <v>-1</v>
      </c>
      <c r="C737" s="3839" t="s">
        <v>3900</v>
      </c>
      <c r="D737" s="3837" t="str">
        <f t="shared" si="29"/>
        <v>1405</v>
      </c>
      <c r="E737" s="3838" t="s">
        <v>3338</v>
      </c>
      <c r="F737" s="3840">
        <v>34.85</v>
      </c>
    </row>
    <row r="738" spans="1:6">
      <c r="A738" s="3838" t="s">
        <v>3469</v>
      </c>
      <c r="B738" s="3841">
        <v>-1</v>
      </c>
      <c r="C738" s="3839" t="s">
        <v>3901</v>
      </c>
      <c r="D738" s="3837" t="str">
        <f t="shared" si="29"/>
        <v>1406</v>
      </c>
      <c r="E738" s="3838" t="s">
        <v>3338</v>
      </c>
      <c r="F738" s="3840">
        <v>34.85</v>
      </c>
    </row>
    <row r="739" spans="1:6">
      <c r="A739" s="3838" t="s">
        <v>3469</v>
      </c>
      <c r="B739" s="3841">
        <v>-1</v>
      </c>
      <c r="C739" s="3839" t="s">
        <v>3902</v>
      </c>
      <c r="D739" s="3837" t="str">
        <f t="shared" si="29"/>
        <v>1407</v>
      </c>
      <c r="E739" s="3838" t="s">
        <v>3338</v>
      </c>
      <c r="F739" s="3840">
        <v>34.85</v>
      </c>
    </row>
    <row r="740" spans="1:6">
      <c r="A740" s="3838" t="s">
        <v>3469</v>
      </c>
      <c r="B740" s="3841">
        <v>-1</v>
      </c>
      <c r="C740" s="3839" t="s">
        <v>3903</v>
      </c>
      <c r="D740" s="3837" t="str">
        <f t="shared" si="29"/>
        <v>1408</v>
      </c>
      <c r="E740" s="3838" t="s">
        <v>3338</v>
      </c>
      <c r="F740" s="3840">
        <v>34.85</v>
      </c>
    </row>
    <row r="741" spans="1:6">
      <c r="A741" s="3838" t="s">
        <v>3469</v>
      </c>
      <c r="B741" s="3841">
        <v>-1</v>
      </c>
      <c r="C741" s="3839" t="s">
        <v>3904</v>
      </c>
      <c r="D741" s="3837" t="str">
        <f t="shared" si="29"/>
        <v>1409</v>
      </c>
      <c r="E741" s="3838" t="s">
        <v>3338</v>
      </c>
      <c r="F741" s="3840">
        <v>34.85</v>
      </c>
    </row>
    <row r="742" spans="1:6">
      <c r="A742" s="3838" t="s">
        <v>3469</v>
      </c>
      <c r="B742" s="3841">
        <v>-1</v>
      </c>
      <c r="C742" s="3839" t="s">
        <v>3905</v>
      </c>
      <c r="D742" s="3837" t="str">
        <f t="shared" si="29"/>
        <v>1410</v>
      </c>
      <c r="E742" s="3838" t="s">
        <v>3338</v>
      </c>
      <c r="F742" s="3840">
        <v>34.85</v>
      </c>
    </row>
    <row r="743" spans="1:6">
      <c r="A743" s="3838" t="s">
        <v>3469</v>
      </c>
      <c r="B743" s="3841">
        <v>-1</v>
      </c>
      <c r="C743" s="3839" t="s">
        <v>3906</v>
      </c>
      <c r="D743" s="3837" t="str">
        <f t="shared" si="29"/>
        <v>1411</v>
      </c>
      <c r="E743" s="3838" t="s">
        <v>3338</v>
      </c>
      <c r="F743" s="3840">
        <v>34.85</v>
      </c>
    </row>
    <row r="744" spans="1:6">
      <c r="A744" s="3838" t="s">
        <v>3469</v>
      </c>
      <c r="B744" s="3841">
        <v>-1</v>
      </c>
      <c r="C744" s="3839" t="s">
        <v>3907</v>
      </c>
      <c r="D744" s="3837" t="str">
        <f t="shared" si="29"/>
        <v>1412</v>
      </c>
      <c r="E744" s="3838" t="s">
        <v>3338</v>
      </c>
      <c r="F744" s="3840">
        <v>34.85</v>
      </c>
    </row>
    <row r="745" spans="1:6">
      <c r="A745" s="3838" t="s">
        <v>3469</v>
      </c>
      <c r="B745" s="3841">
        <v>-1</v>
      </c>
      <c r="C745" s="3839" t="s">
        <v>3908</v>
      </c>
      <c r="D745" s="3837" t="str">
        <f t="shared" si="29"/>
        <v>1413</v>
      </c>
      <c r="E745" s="3838" t="s">
        <v>3338</v>
      </c>
      <c r="F745" s="3840">
        <v>34.85</v>
      </c>
    </row>
    <row r="746" spans="1:6">
      <c r="A746" s="3838" t="s">
        <v>3469</v>
      </c>
      <c r="B746" s="3841">
        <v>-1</v>
      </c>
      <c r="C746" s="3839" t="s">
        <v>3909</v>
      </c>
      <c r="D746" s="3837" t="str">
        <f t="shared" si="29"/>
        <v>1414</v>
      </c>
      <c r="E746" s="3838" t="s">
        <v>3338</v>
      </c>
      <c r="F746" s="3840">
        <v>34.85</v>
      </c>
    </row>
    <row r="747" spans="1:6">
      <c r="A747" s="3838" t="s">
        <v>3469</v>
      </c>
      <c r="B747" s="3841">
        <v>-1</v>
      </c>
      <c r="C747" s="3839" t="s">
        <v>3910</v>
      </c>
      <c r="D747" s="3837" t="str">
        <f t="shared" si="29"/>
        <v>1415</v>
      </c>
      <c r="E747" s="3838" t="s">
        <v>3338</v>
      </c>
      <c r="F747" s="3840">
        <v>34.85</v>
      </c>
    </row>
    <row r="748" spans="1:6">
      <c r="A748" s="3838" t="s">
        <v>3469</v>
      </c>
      <c r="B748" s="3841">
        <v>-1</v>
      </c>
      <c r="C748" s="3839" t="s">
        <v>3911</v>
      </c>
      <c r="D748" s="3837" t="str">
        <f t="shared" si="29"/>
        <v>1416</v>
      </c>
      <c r="E748" s="3838" t="s">
        <v>3338</v>
      </c>
      <c r="F748" s="3840">
        <v>34.85</v>
      </c>
    </row>
    <row r="749" spans="1:6">
      <c r="A749" s="3838" t="s">
        <v>3469</v>
      </c>
      <c r="B749" s="3841">
        <v>-1</v>
      </c>
      <c r="C749" s="3839" t="s">
        <v>3912</v>
      </c>
      <c r="D749" s="3837" t="str">
        <f t="shared" si="29"/>
        <v>1417</v>
      </c>
      <c r="E749" s="3838" t="s">
        <v>3338</v>
      </c>
      <c r="F749" s="3840">
        <v>34.85</v>
      </c>
    </row>
    <row r="750" spans="1:6">
      <c r="A750" s="3838" t="s">
        <v>3469</v>
      </c>
      <c r="B750" s="3841">
        <v>-1</v>
      </c>
      <c r="C750" s="3839" t="s">
        <v>3913</v>
      </c>
      <c r="D750" s="3837" t="str">
        <f t="shared" si="29"/>
        <v>1418</v>
      </c>
      <c r="E750" s="3838" t="s">
        <v>3338</v>
      </c>
      <c r="F750" s="3840">
        <v>34.85</v>
      </c>
    </row>
    <row r="751" spans="1:6">
      <c r="A751" s="3838" t="s">
        <v>3469</v>
      </c>
      <c r="B751" s="3841">
        <v>-1</v>
      </c>
      <c r="C751" s="3839" t="s">
        <v>3914</v>
      </c>
      <c r="D751" s="3837" t="str">
        <f t="shared" si="29"/>
        <v>1419</v>
      </c>
      <c r="E751" s="3838" t="s">
        <v>3338</v>
      </c>
      <c r="F751" s="3840">
        <v>34.85</v>
      </c>
    </row>
    <row r="752" spans="1:6">
      <c r="A752" s="3838" t="s">
        <v>3469</v>
      </c>
      <c r="B752" s="3841">
        <v>-1</v>
      </c>
      <c r="C752" s="3839" t="s">
        <v>3915</v>
      </c>
      <c r="D752" s="3837" t="str">
        <f t="shared" si="29"/>
        <v>1420</v>
      </c>
      <c r="E752" s="3838" t="s">
        <v>3338</v>
      </c>
      <c r="F752" s="3840">
        <v>34.85</v>
      </c>
    </row>
    <row r="753" spans="1:6">
      <c r="A753" s="3838" t="s">
        <v>3469</v>
      </c>
      <c r="B753" s="3841">
        <v>-1</v>
      </c>
      <c r="C753" s="3839" t="s">
        <v>3916</v>
      </c>
      <c r="D753" s="3837" t="str">
        <f t="shared" si="29"/>
        <v>1421</v>
      </c>
      <c r="E753" s="3838" t="s">
        <v>3338</v>
      </c>
      <c r="F753" s="3840">
        <v>34.85</v>
      </c>
    </row>
    <row r="754" spans="1:6">
      <c r="A754" s="3838" t="s">
        <v>3469</v>
      </c>
      <c r="B754" s="3841">
        <v>-1</v>
      </c>
      <c r="C754" s="3839" t="s">
        <v>3917</v>
      </c>
      <c r="D754" s="3837" t="str">
        <f t="shared" si="29"/>
        <v>1422</v>
      </c>
      <c r="E754" s="3838" t="s">
        <v>3338</v>
      </c>
      <c r="F754" s="3840">
        <v>34.85</v>
      </c>
    </row>
    <row r="755" spans="1:6">
      <c r="A755" s="3838" t="s">
        <v>3469</v>
      </c>
      <c r="B755" s="3841">
        <v>-1</v>
      </c>
      <c r="C755" s="3839" t="s">
        <v>3918</v>
      </c>
      <c r="D755" s="3837" t="str">
        <f t="shared" si="29"/>
        <v>1423</v>
      </c>
      <c r="E755" s="3838" t="s">
        <v>3338</v>
      </c>
      <c r="F755" s="3840">
        <v>34.85</v>
      </c>
    </row>
    <row r="756" spans="1:6">
      <c r="A756" s="3838" t="s">
        <v>3469</v>
      </c>
      <c r="B756" s="3841">
        <v>-1</v>
      </c>
      <c r="C756" s="3839" t="s">
        <v>3919</v>
      </c>
      <c r="D756" s="3837" t="str">
        <f t="shared" si="29"/>
        <v>1424</v>
      </c>
      <c r="E756" s="3838" t="s">
        <v>3338</v>
      </c>
      <c r="F756" s="3840">
        <v>34.85</v>
      </c>
    </row>
    <row r="757" spans="1:6">
      <c r="A757" s="3838" t="s">
        <v>3469</v>
      </c>
      <c r="B757" s="3841">
        <v>-1</v>
      </c>
      <c r="C757" s="3839" t="s">
        <v>3920</v>
      </c>
      <c r="D757" s="3837" t="str">
        <f t="shared" si="29"/>
        <v>1425</v>
      </c>
      <c r="E757" s="3838" t="s">
        <v>3338</v>
      </c>
      <c r="F757" s="3840">
        <v>34.85</v>
      </c>
    </row>
    <row r="758" spans="1:6">
      <c r="A758" s="3838" t="s">
        <v>3469</v>
      </c>
      <c r="B758" s="3841">
        <v>-1</v>
      </c>
      <c r="C758" s="3839" t="s">
        <v>3921</v>
      </c>
      <c r="D758" s="3837" t="str">
        <f t="shared" si="29"/>
        <v>1426</v>
      </c>
      <c r="E758" s="3838" t="s">
        <v>3338</v>
      </c>
      <c r="F758" s="3840">
        <v>34.85</v>
      </c>
    </row>
    <row r="759" spans="1:6">
      <c r="A759" s="3838" t="s">
        <v>3469</v>
      </c>
      <c r="B759" s="3841">
        <v>-1</v>
      </c>
      <c r="C759" s="3839" t="s">
        <v>3922</v>
      </c>
      <c r="D759" s="3837" t="str">
        <f t="shared" si="29"/>
        <v>1427</v>
      </c>
      <c r="E759" s="3838" t="s">
        <v>3338</v>
      </c>
      <c r="F759" s="3840">
        <v>34.85</v>
      </c>
    </row>
    <row r="760" spans="1:6">
      <c r="A760" s="3838" t="s">
        <v>3469</v>
      </c>
      <c r="B760" s="3841">
        <v>-1</v>
      </c>
      <c r="C760" s="3839" t="s">
        <v>3923</v>
      </c>
      <c r="D760" s="3837" t="str">
        <f t="shared" si="29"/>
        <v>1428</v>
      </c>
      <c r="E760" s="3838" t="s">
        <v>3338</v>
      </c>
      <c r="F760" s="3840">
        <v>34.85</v>
      </c>
    </row>
    <row r="761" spans="1:6">
      <c r="A761" s="3838" t="s">
        <v>3469</v>
      </c>
      <c r="B761" s="3841">
        <v>-1</v>
      </c>
      <c r="C761" s="3839" t="s">
        <v>3924</v>
      </c>
      <c r="D761" s="3837" t="str">
        <f t="shared" si="29"/>
        <v>1429</v>
      </c>
      <c r="E761" s="3838" t="s">
        <v>3338</v>
      </c>
      <c r="F761" s="3840">
        <v>34.85</v>
      </c>
    </row>
    <row r="762" spans="1:6">
      <c r="A762" s="3838" t="s">
        <v>3469</v>
      </c>
      <c r="B762" s="3841">
        <v>-1</v>
      </c>
      <c r="C762" s="3839" t="s">
        <v>3925</v>
      </c>
      <c r="D762" s="3837" t="str">
        <f t="shared" si="29"/>
        <v>1430</v>
      </c>
      <c r="E762" s="3838" t="s">
        <v>3338</v>
      </c>
      <c r="F762" s="3840">
        <v>34.85</v>
      </c>
    </row>
    <row r="763" spans="1:6">
      <c r="A763" s="3838" t="s">
        <v>3469</v>
      </c>
      <c r="B763" s="3841">
        <v>-1</v>
      </c>
      <c r="C763" s="3839" t="s">
        <v>3926</v>
      </c>
      <c r="D763" s="3837" t="str">
        <f t="shared" si="29"/>
        <v>1431</v>
      </c>
      <c r="E763" s="3838" t="s">
        <v>3338</v>
      </c>
      <c r="F763" s="3840">
        <v>34.85</v>
      </c>
    </row>
    <row r="764" spans="1:6">
      <c r="A764" s="3838" t="s">
        <v>3469</v>
      </c>
      <c r="B764" s="3841">
        <v>-1</v>
      </c>
      <c r="C764" s="3839" t="s">
        <v>3927</v>
      </c>
      <c r="D764" s="3837" t="str">
        <f t="shared" si="29"/>
        <v>1432</v>
      </c>
      <c r="E764" s="3838" t="s">
        <v>3338</v>
      </c>
      <c r="F764" s="3840">
        <v>34.85</v>
      </c>
    </row>
    <row r="765" spans="1:6">
      <c r="A765" s="3838" t="s">
        <v>3469</v>
      </c>
      <c r="B765" s="3841">
        <v>-1</v>
      </c>
      <c r="C765" s="3839" t="s">
        <v>3928</v>
      </c>
      <c r="D765" s="3837" t="str">
        <f t="shared" si="29"/>
        <v>1433</v>
      </c>
      <c r="E765" s="3838" t="s">
        <v>3338</v>
      </c>
      <c r="F765" s="3840">
        <v>34.85</v>
      </c>
    </row>
    <row r="766" spans="1:6">
      <c r="A766" s="3838" t="s">
        <v>3469</v>
      </c>
      <c r="B766" s="3841">
        <v>-1</v>
      </c>
      <c r="C766" s="3839" t="s">
        <v>3929</v>
      </c>
      <c r="D766" s="3837" t="str">
        <f t="shared" si="29"/>
        <v>1434</v>
      </c>
      <c r="E766" s="3838" t="s">
        <v>3338</v>
      </c>
      <c r="F766" s="3840">
        <v>34.85</v>
      </c>
    </row>
    <row r="767" spans="1:6">
      <c r="A767" s="3838" t="s">
        <v>3469</v>
      </c>
      <c r="B767" s="3841">
        <v>-1</v>
      </c>
      <c r="C767" s="3839" t="s">
        <v>3930</v>
      </c>
      <c r="D767" s="3837" t="str">
        <f t="shared" si="29"/>
        <v>1435</v>
      </c>
      <c r="E767" s="3838" t="s">
        <v>3338</v>
      </c>
      <c r="F767" s="3840">
        <v>34.85</v>
      </c>
    </row>
    <row r="768" spans="1:6">
      <c r="A768" s="3838" t="s">
        <v>3469</v>
      </c>
      <c r="B768" s="3841">
        <v>-1</v>
      </c>
      <c r="C768" s="3839" t="s">
        <v>3931</v>
      </c>
      <c r="D768" s="3837" t="str">
        <f t="shared" si="29"/>
        <v>1436</v>
      </c>
      <c r="E768" s="3838" t="s">
        <v>3338</v>
      </c>
      <c r="F768" s="3840">
        <v>34.85</v>
      </c>
    </row>
    <row r="769" spans="1:6">
      <c r="A769" s="3838" t="s">
        <v>3469</v>
      </c>
      <c r="B769" s="3841">
        <v>-1</v>
      </c>
      <c r="C769" s="3839" t="s">
        <v>3932</v>
      </c>
      <c r="D769" s="3837" t="str">
        <f t="shared" si="29"/>
        <v>1437</v>
      </c>
      <c r="E769" s="3838" t="s">
        <v>3338</v>
      </c>
      <c r="F769" s="3840">
        <v>34.85</v>
      </c>
    </row>
    <row r="770" spans="1:6">
      <c r="A770" s="3838" t="s">
        <v>3469</v>
      </c>
      <c r="B770" s="3841">
        <v>-1</v>
      </c>
      <c r="C770" s="3839" t="s">
        <v>3933</v>
      </c>
      <c r="D770" s="3837" t="str">
        <f t="shared" si="29"/>
        <v>1438</v>
      </c>
      <c r="E770" s="3838" t="s">
        <v>3338</v>
      </c>
      <c r="F770" s="3840">
        <v>34.85</v>
      </c>
    </row>
    <row r="771" spans="1:6">
      <c r="A771" s="3838" t="s">
        <v>3469</v>
      </c>
      <c r="B771" s="3841">
        <v>-1</v>
      </c>
      <c r="C771" s="3839" t="s">
        <v>3934</v>
      </c>
      <c r="D771" s="3837" t="str">
        <f t="shared" si="29"/>
        <v>1439</v>
      </c>
      <c r="E771" s="3838" t="s">
        <v>3338</v>
      </c>
      <c r="F771" s="3840">
        <v>34.85</v>
      </c>
    </row>
    <row r="772" spans="1:6">
      <c r="A772" s="3838" t="s">
        <v>3469</v>
      </c>
      <c r="B772" s="3841">
        <v>-1</v>
      </c>
      <c r="C772" s="3839" t="s">
        <v>3935</v>
      </c>
      <c r="D772" s="3837" t="str">
        <f t="shared" si="29"/>
        <v>1440</v>
      </c>
      <c r="E772" s="3838" t="s">
        <v>3338</v>
      </c>
      <c r="F772" s="3840">
        <v>34.85</v>
      </c>
    </row>
    <row r="773" spans="1:6">
      <c r="A773" s="3838" t="s">
        <v>3469</v>
      </c>
      <c r="B773" s="3841">
        <v>-1</v>
      </c>
      <c r="C773" s="3839" t="s">
        <v>3936</v>
      </c>
      <c r="D773" s="3837" t="str">
        <f t="shared" si="29"/>
        <v>1441</v>
      </c>
      <c r="E773" s="3838" t="s">
        <v>3338</v>
      </c>
      <c r="F773" s="3840">
        <v>34.85</v>
      </c>
    </row>
    <row r="774" spans="1:6">
      <c r="A774" s="3838" t="s">
        <v>3469</v>
      </c>
      <c r="B774" s="3841">
        <v>-1</v>
      </c>
      <c r="C774" s="3839" t="s">
        <v>3937</v>
      </c>
      <c r="D774" s="3837" t="str">
        <f t="shared" si="29"/>
        <v>1442</v>
      </c>
      <c r="E774" s="3838" t="s">
        <v>3338</v>
      </c>
      <c r="F774" s="3840">
        <v>34.85</v>
      </c>
    </row>
    <row r="775" spans="1:6">
      <c r="A775" s="3838" t="s">
        <v>3469</v>
      </c>
      <c r="B775" s="3841">
        <v>-1</v>
      </c>
      <c r="C775" s="3839" t="s">
        <v>3938</v>
      </c>
      <c r="D775" s="3837" t="str">
        <f t="shared" si="29"/>
        <v>1443</v>
      </c>
      <c r="E775" s="3838" t="s">
        <v>3338</v>
      </c>
      <c r="F775" s="3840">
        <v>34.85</v>
      </c>
    </row>
    <row r="776" spans="1:6">
      <c r="A776" s="3838" t="s">
        <v>3469</v>
      </c>
      <c r="B776" s="3841">
        <v>-1</v>
      </c>
      <c r="C776" s="3839" t="s">
        <v>3939</v>
      </c>
      <c r="D776" s="3837" t="str">
        <f t="shared" si="29"/>
        <v>1444</v>
      </c>
      <c r="E776" s="3838" t="s">
        <v>3338</v>
      </c>
      <c r="F776" s="3840">
        <v>34.85</v>
      </c>
    </row>
    <row r="777" spans="1:6">
      <c r="A777" s="3838" t="s">
        <v>3469</v>
      </c>
      <c r="B777" s="3841">
        <v>-1</v>
      </c>
      <c r="C777" s="3839" t="s">
        <v>3940</v>
      </c>
      <c r="D777" s="3837" t="str">
        <f t="shared" si="29"/>
        <v>1445</v>
      </c>
      <c r="E777" s="3838" t="s">
        <v>3338</v>
      </c>
      <c r="F777" s="3840">
        <v>34.85</v>
      </c>
    </row>
    <row r="778" spans="1:6">
      <c r="A778" s="3838" t="s">
        <v>3469</v>
      </c>
      <c r="B778" s="3841">
        <v>-1</v>
      </c>
      <c r="C778" s="3839" t="s">
        <v>3941</v>
      </c>
      <c r="D778" s="3837" t="str">
        <f t="shared" si="29"/>
        <v>1446</v>
      </c>
      <c r="E778" s="3838" t="s">
        <v>3338</v>
      </c>
      <c r="F778" s="3840">
        <v>34.85</v>
      </c>
    </row>
    <row r="779" spans="1:6">
      <c r="A779" s="3838" t="s">
        <v>3469</v>
      </c>
      <c r="B779" s="3841">
        <v>-1</v>
      </c>
      <c r="C779" s="3839" t="s">
        <v>3942</v>
      </c>
      <c r="D779" s="3837" t="str">
        <f t="shared" si="29"/>
        <v>1447</v>
      </c>
      <c r="E779" s="3838" t="s">
        <v>3338</v>
      </c>
      <c r="F779" s="3840">
        <v>34.85</v>
      </c>
    </row>
    <row r="780" spans="1:6">
      <c r="A780" s="3838" t="s">
        <v>3469</v>
      </c>
      <c r="B780" s="3841">
        <v>-1</v>
      </c>
      <c r="C780" s="3839" t="s">
        <v>3943</v>
      </c>
      <c r="D780" s="3837" t="str">
        <f t="shared" si="29"/>
        <v>1448</v>
      </c>
      <c r="E780" s="3838" t="s">
        <v>3338</v>
      </c>
      <c r="F780" s="3840">
        <v>34.85</v>
      </c>
    </row>
    <row r="781" spans="1:6">
      <c r="A781" s="3838" t="s">
        <v>3469</v>
      </c>
      <c r="B781" s="3841">
        <v>-1</v>
      </c>
      <c r="C781" s="3839" t="s">
        <v>3944</v>
      </c>
      <c r="D781" s="3837" t="str">
        <f t="shared" ref="D781:D844" si="30">""&amp;C781</f>
        <v>1449</v>
      </c>
      <c r="E781" s="3838" t="s">
        <v>3338</v>
      </c>
      <c r="F781" s="3840">
        <v>34.85</v>
      </c>
    </row>
    <row r="782" spans="1:6">
      <c r="A782" s="3838" t="s">
        <v>3469</v>
      </c>
      <c r="B782" s="3841">
        <v>-1</v>
      </c>
      <c r="C782" s="3839" t="s">
        <v>3945</v>
      </c>
      <c r="D782" s="3837" t="str">
        <f t="shared" si="30"/>
        <v>1450</v>
      </c>
      <c r="E782" s="3838" t="s">
        <v>3338</v>
      </c>
      <c r="F782" s="3840">
        <v>34.85</v>
      </c>
    </row>
    <row r="783" spans="1:6">
      <c r="A783" s="3838" t="s">
        <v>3469</v>
      </c>
      <c r="B783" s="3841">
        <v>-1</v>
      </c>
      <c r="C783" s="3839" t="s">
        <v>3946</v>
      </c>
      <c r="D783" s="3837" t="str">
        <f t="shared" si="30"/>
        <v>1451</v>
      </c>
      <c r="E783" s="3838" t="s">
        <v>3338</v>
      </c>
      <c r="F783" s="3840">
        <v>34.85</v>
      </c>
    </row>
    <row r="784" spans="1:6">
      <c r="A784" s="3838" t="s">
        <v>3469</v>
      </c>
      <c r="B784" s="3841">
        <v>-1</v>
      </c>
      <c r="C784" s="3839" t="s">
        <v>3947</v>
      </c>
      <c r="D784" s="3837" t="str">
        <f t="shared" si="30"/>
        <v>1452</v>
      </c>
      <c r="E784" s="3838" t="s">
        <v>3338</v>
      </c>
      <c r="F784" s="3840">
        <v>34.85</v>
      </c>
    </row>
    <row r="785" spans="1:6">
      <c r="A785" s="3838" t="s">
        <v>3469</v>
      </c>
      <c r="B785" s="3841">
        <v>-1</v>
      </c>
      <c r="C785" s="3839" t="s">
        <v>3948</v>
      </c>
      <c r="D785" s="3837" t="str">
        <f t="shared" si="30"/>
        <v>1453</v>
      </c>
      <c r="E785" s="3838" t="s">
        <v>3338</v>
      </c>
      <c r="F785" s="3840">
        <v>34.85</v>
      </c>
    </row>
    <row r="786" spans="1:6">
      <c r="A786" s="3838" t="s">
        <v>3469</v>
      </c>
      <c r="B786" s="3841">
        <v>-1</v>
      </c>
      <c r="C786" s="3839" t="s">
        <v>3949</v>
      </c>
      <c r="D786" s="3837" t="str">
        <f t="shared" si="30"/>
        <v>1454</v>
      </c>
      <c r="E786" s="3838" t="s">
        <v>3338</v>
      </c>
      <c r="F786" s="3840">
        <v>34.85</v>
      </c>
    </row>
    <row r="787" spans="1:6">
      <c r="A787" s="3838" t="s">
        <v>3469</v>
      </c>
      <c r="B787" s="3841">
        <v>-1</v>
      </c>
      <c r="C787" s="3839" t="s">
        <v>3950</v>
      </c>
      <c r="D787" s="3837" t="str">
        <f t="shared" si="30"/>
        <v>1455</v>
      </c>
      <c r="E787" s="3838" t="s">
        <v>3338</v>
      </c>
      <c r="F787" s="3840">
        <v>34.85</v>
      </c>
    </row>
    <row r="788" spans="1:6">
      <c r="A788" s="3838" t="s">
        <v>3469</v>
      </c>
      <c r="B788" s="3841">
        <v>-1</v>
      </c>
      <c r="C788" s="3839" t="s">
        <v>3951</v>
      </c>
      <c r="D788" s="3837" t="str">
        <f t="shared" si="30"/>
        <v>1456</v>
      </c>
      <c r="E788" s="3838" t="s">
        <v>3338</v>
      </c>
      <c r="F788" s="3840">
        <v>34.85</v>
      </c>
    </row>
    <row r="789" spans="1:6">
      <c r="A789" s="3838" t="s">
        <v>3469</v>
      </c>
      <c r="B789" s="3841">
        <v>-1</v>
      </c>
      <c r="C789" s="3839" t="s">
        <v>3952</v>
      </c>
      <c r="D789" s="3837" t="str">
        <f t="shared" si="30"/>
        <v>1457</v>
      </c>
      <c r="E789" s="3838" t="s">
        <v>3338</v>
      </c>
      <c r="F789" s="3840">
        <v>34.85</v>
      </c>
    </row>
    <row r="790" spans="1:6">
      <c r="A790" s="3838" t="s">
        <v>3469</v>
      </c>
      <c r="B790" s="3841">
        <v>-1</v>
      </c>
      <c r="C790" s="3839" t="s">
        <v>3953</v>
      </c>
      <c r="D790" s="3837" t="str">
        <f t="shared" si="30"/>
        <v>1458</v>
      </c>
      <c r="E790" s="3838" t="s">
        <v>3338</v>
      </c>
      <c r="F790" s="3840">
        <v>34.85</v>
      </c>
    </row>
    <row r="791" spans="1:6">
      <c r="A791" s="3838" t="s">
        <v>3469</v>
      </c>
      <c r="B791" s="3841">
        <v>-1</v>
      </c>
      <c r="C791" s="3839" t="s">
        <v>3954</v>
      </c>
      <c r="D791" s="3837" t="str">
        <f t="shared" si="30"/>
        <v>1459</v>
      </c>
      <c r="E791" s="3838" t="s">
        <v>3338</v>
      </c>
      <c r="F791" s="3840">
        <v>34.85</v>
      </c>
    </row>
    <row r="792" spans="1:6">
      <c r="A792" s="3838" t="s">
        <v>3469</v>
      </c>
      <c r="B792" s="3841">
        <v>-1</v>
      </c>
      <c r="C792" s="3839" t="s">
        <v>3955</v>
      </c>
      <c r="D792" s="3837" t="str">
        <f t="shared" si="30"/>
        <v>1460</v>
      </c>
      <c r="E792" s="3838" t="s">
        <v>3338</v>
      </c>
      <c r="F792" s="3840">
        <v>34.85</v>
      </c>
    </row>
    <row r="793" spans="1:6">
      <c r="A793" s="3838" t="s">
        <v>3469</v>
      </c>
      <c r="B793" s="3841">
        <v>-1</v>
      </c>
      <c r="C793" s="3839" t="s">
        <v>3956</v>
      </c>
      <c r="D793" s="3837" t="str">
        <f t="shared" si="30"/>
        <v>1461</v>
      </c>
      <c r="E793" s="3838" t="s">
        <v>3338</v>
      </c>
      <c r="F793" s="3840">
        <v>34.85</v>
      </c>
    </row>
    <row r="794" spans="1:6">
      <c r="A794" s="3838" t="s">
        <v>3469</v>
      </c>
      <c r="B794" s="3841">
        <v>-1</v>
      </c>
      <c r="C794" s="3839" t="s">
        <v>3957</v>
      </c>
      <c r="D794" s="3837" t="str">
        <f t="shared" si="30"/>
        <v>1462</v>
      </c>
      <c r="E794" s="3838" t="s">
        <v>3338</v>
      </c>
      <c r="F794" s="3840">
        <v>34.85</v>
      </c>
    </row>
    <row r="795" spans="1:6">
      <c r="A795" s="3838" t="s">
        <v>3469</v>
      </c>
      <c r="B795" s="3841">
        <v>-1</v>
      </c>
      <c r="C795" s="3839" t="s">
        <v>3958</v>
      </c>
      <c r="D795" s="3837" t="str">
        <f t="shared" si="30"/>
        <v>1463</v>
      </c>
      <c r="E795" s="3838" t="s">
        <v>3338</v>
      </c>
      <c r="F795" s="3840">
        <v>34.85</v>
      </c>
    </row>
    <row r="796" spans="1:6">
      <c r="A796" s="3838" t="s">
        <v>3469</v>
      </c>
      <c r="B796" s="3841">
        <v>-1</v>
      </c>
      <c r="C796" s="3839" t="s">
        <v>3959</v>
      </c>
      <c r="D796" s="3837" t="str">
        <f t="shared" si="30"/>
        <v>1464</v>
      </c>
      <c r="E796" s="3838" t="s">
        <v>3338</v>
      </c>
      <c r="F796" s="3840">
        <v>34.85</v>
      </c>
    </row>
    <row r="797" spans="1:6">
      <c r="A797" s="3838" t="s">
        <v>3469</v>
      </c>
      <c r="B797" s="3841">
        <v>-1</v>
      </c>
      <c r="C797" s="3839" t="s">
        <v>3960</v>
      </c>
      <c r="D797" s="3837" t="str">
        <f t="shared" si="30"/>
        <v>1465</v>
      </c>
      <c r="E797" s="3838" t="s">
        <v>3338</v>
      </c>
      <c r="F797" s="3840">
        <v>34.85</v>
      </c>
    </row>
    <row r="798" spans="1:6">
      <c r="A798" s="3838" t="s">
        <v>3469</v>
      </c>
      <c r="B798" s="3841">
        <v>-1</v>
      </c>
      <c r="C798" s="3839" t="s">
        <v>3961</v>
      </c>
      <c r="D798" s="3837" t="str">
        <f t="shared" si="30"/>
        <v>1466</v>
      </c>
      <c r="E798" s="3838" t="s">
        <v>3338</v>
      </c>
      <c r="F798" s="3840">
        <v>34.85</v>
      </c>
    </row>
    <row r="799" spans="1:6">
      <c r="A799" s="3838" t="s">
        <v>3469</v>
      </c>
      <c r="B799" s="3841">
        <v>-1</v>
      </c>
      <c r="C799" s="3839" t="s">
        <v>3962</v>
      </c>
      <c r="D799" s="3837" t="str">
        <f t="shared" si="30"/>
        <v>1467</v>
      </c>
      <c r="E799" s="3838" t="s">
        <v>3338</v>
      </c>
      <c r="F799" s="3840">
        <v>34.85</v>
      </c>
    </row>
    <row r="800" spans="1:6">
      <c r="A800" s="3838" t="s">
        <v>3469</v>
      </c>
      <c r="B800" s="3841">
        <v>-1</v>
      </c>
      <c r="C800" s="3839" t="s">
        <v>3963</v>
      </c>
      <c r="D800" s="3837" t="str">
        <f t="shared" si="30"/>
        <v>1468</v>
      </c>
      <c r="E800" s="3838" t="s">
        <v>3338</v>
      </c>
      <c r="F800" s="3840">
        <v>34.85</v>
      </c>
    </row>
    <row r="801" spans="1:6">
      <c r="A801" s="3838" t="s">
        <v>3469</v>
      </c>
      <c r="B801" s="3841">
        <v>-1</v>
      </c>
      <c r="C801" s="3839" t="s">
        <v>3964</v>
      </c>
      <c r="D801" s="3837" t="str">
        <f t="shared" si="30"/>
        <v>1469</v>
      </c>
      <c r="E801" s="3838" t="s">
        <v>3338</v>
      </c>
      <c r="F801" s="3840">
        <v>34.85</v>
      </c>
    </row>
    <row r="802" spans="1:6">
      <c r="A802" s="3838" t="s">
        <v>3469</v>
      </c>
      <c r="B802" s="3841">
        <v>-1</v>
      </c>
      <c r="C802" s="3839" t="s">
        <v>3965</v>
      </c>
      <c r="D802" s="3837" t="str">
        <f t="shared" si="30"/>
        <v>1470</v>
      </c>
      <c r="E802" s="3838" t="s">
        <v>3338</v>
      </c>
      <c r="F802" s="3840">
        <v>34.85</v>
      </c>
    </row>
    <row r="803" spans="1:6">
      <c r="A803" s="3838" t="s">
        <v>3469</v>
      </c>
      <c r="B803" s="3841">
        <v>-1</v>
      </c>
      <c r="C803" s="3839" t="s">
        <v>3966</v>
      </c>
      <c r="D803" s="3837" t="str">
        <f t="shared" si="30"/>
        <v>1471</v>
      </c>
      <c r="E803" s="3838" t="s">
        <v>3338</v>
      </c>
      <c r="F803" s="3840">
        <v>34.85</v>
      </c>
    </row>
    <row r="804" spans="1:6">
      <c r="A804" s="3838" t="s">
        <v>3469</v>
      </c>
      <c r="B804" s="3841">
        <v>-1</v>
      </c>
      <c r="C804" s="3839" t="s">
        <v>3967</v>
      </c>
      <c r="D804" s="3837" t="str">
        <f t="shared" si="30"/>
        <v>1472</v>
      </c>
      <c r="E804" s="3838" t="s">
        <v>3338</v>
      </c>
      <c r="F804" s="3840">
        <v>34.85</v>
      </c>
    </row>
    <row r="805" spans="1:6">
      <c r="A805" s="3838" t="s">
        <v>3469</v>
      </c>
      <c r="B805" s="3841">
        <v>-1</v>
      </c>
      <c r="C805" s="3839" t="s">
        <v>3968</v>
      </c>
      <c r="D805" s="3837" t="str">
        <f t="shared" si="30"/>
        <v>1473</v>
      </c>
      <c r="E805" s="3838" t="s">
        <v>3338</v>
      </c>
      <c r="F805" s="3840">
        <v>34.85</v>
      </c>
    </row>
    <row r="806" spans="1:6">
      <c r="A806" s="3838" t="s">
        <v>3469</v>
      </c>
      <c r="B806" s="3841">
        <v>-1</v>
      </c>
      <c r="C806" s="3839" t="s">
        <v>3969</v>
      </c>
      <c r="D806" s="3837" t="str">
        <f t="shared" si="30"/>
        <v>1474</v>
      </c>
      <c r="E806" s="3838" t="s">
        <v>3338</v>
      </c>
      <c r="F806" s="3840">
        <v>34.85</v>
      </c>
    </row>
    <row r="807" spans="1:6">
      <c r="A807" s="3838" t="s">
        <v>3469</v>
      </c>
      <c r="B807" s="3841">
        <v>-1</v>
      </c>
      <c r="C807" s="3839" t="s">
        <v>3970</v>
      </c>
      <c r="D807" s="3837" t="str">
        <f t="shared" si="30"/>
        <v>1475</v>
      </c>
      <c r="E807" s="3838" t="s">
        <v>3338</v>
      </c>
      <c r="F807" s="3840">
        <v>34.85</v>
      </c>
    </row>
    <row r="808" spans="1:6">
      <c r="A808" s="3838" t="s">
        <v>3469</v>
      </c>
      <c r="B808" s="3841">
        <v>-1</v>
      </c>
      <c r="C808" s="3839" t="s">
        <v>3971</v>
      </c>
      <c r="D808" s="3837" t="str">
        <f t="shared" si="30"/>
        <v>1476</v>
      </c>
      <c r="E808" s="3838" t="s">
        <v>3338</v>
      </c>
      <c r="F808" s="3840">
        <v>34.85</v>
      </c>
    </row>
    <row r="809" spans="1:6">
      <c r="A809" s="3838" t="s">
        <v>3469</v>
      </c>
      <c r="B809" s="3841">
        <v>-1</v>
      </c>
      <c r="C809" s="3839" t="s">
        <v>3972</v>
      </c>
      <c r="D809" s="3837" t="str">
        <f t="shared" si="30"/>
        <v>1477</v>
      </c>
      <c r="E809" s="3838" t="s">
        <v>3338</v>
      </c>
      <c r="F809" s="3840">
        <v>34.85</v>
      </c>
    </row>
    <row r="810" spans="1:6">
      <c r="A810" s="3838" t="s">
        <v>3469</v>
      </c>
      <c r="B810" s="3841">
        <v>-1</v>
      </c>
      <c r="C810" s="3839" t="s">
        <v>3973</v>
      </c>
      <c r="D810" s="3837" t="str">
        <f t="shared" si="30"/>
        <v>1478</v>
      </c>
      <c r="E810" s="3838" t="s">
        <v>3338</v>
      </c>
      <c r="F810" s="3840">
        <v>34.85</v>
      </c>
    </row>
    <row r="811" spans="1:6">
      <c r="A811" s="3838" t="s">
        <v>3469</v>
      </c>
      <c r="B811" s="3841">
        <v>-1</v>
      </c>
      <c r="C811" s="3839" t="s">
        <v>3974</v>
      </c>
      <c r="D811" s="3837" t="str">
        <f t="shared" si="30"/>
        <v>1479</v>
      </c>
      <c r="E811" s="3838" t="s">
        <v>3338</v>
      </c>
      <c r="F811" s="3840">
        <v>34.85</v>
      </c>
    </row>
    <row r="812" spans="1:6">
      <c r="A812" s="3838" t="s">
        <v>3469</v>
      </c>
      <c r="B812" s="3841">
        <v>-1</v>
      </c>
      <c r="C812" s="3839" t="s">
        <v>3975</v>
      </c>
      <c r="D812" s="3837" t="str">
        <f t="shared" si="30"/>
        <v>1480</v>
      </c>
      <c r="E812" s="3838" t="s">
        <v>3338</v>
      </c>
      <c r="F812" s="3840">
        <v>34.85</v>
      </c>
    </row>
    <row r="813" spans="1:6">
      <c r="A813" s="3838" t="s">
        <v>3469</v>
      </c>
      <c r="B813" s="3841">
        <v>-1</v>
      </c>
      <c r="C813" s="3839" t="s">
        <v>3976</v>
      </c>
      <c r="D813" s="3837" t="str">
        <f t="shared" si="30"/>
        <v>1481</v>
      </c>
      <c r="E813" s="3838" t="s">
        <v>3338</v>
      </c>
      <c r="F813" s="3840">
        <v>34.85</v>
      </c>
    </row>
    <row r="814" spans="1:6">
      <c r="A814" s="3838" t="s">
        <v>3469</v>
      </c>
      <c r="B814" s="3841">
        <v>-1</v>
      </c>
      <c r="C814" s="3839" t="s">
        <v>3977</v>
      </c>
      <c r="D814" s="3837" t="str">
        <f t="shared" si="30"/>
        <v>1482</v>
      </c>
      <c r="E814" s="3838" t="s">
        <v>3338</v>
      </c>
      <c r="F814" s="3840">
        <v>34.85</v>
      </c>
    </row>
    <row r="815" spans="1:6">
      <c r="A815" s="3838" t="s">
        <v>3469</v>
      </c>
      <c r="B815" s="3841">
        <v>-1</v>
      </c>
      <c r="C815" s="3839" t="s">
        <v>3978</v>
      </c>
      <c r="D815" s="3837" t="str">
        <f t="shared" si="30"/>
        <v>1483</v>
      </c>
      <c r="E815" s="3838" t="s">
        <v>3338</v>
      </c>
      <c r="F815" s="3840">
        <v>34.85</v>
      </c>
    </row>
    <row r="816" spans="1:6">
      <c r="A816" s="3838" t="s">
        <v>3469</v>
      </c>
      <c r="B816" s="3841">
        <v>-1</v>
      </c>
      <c r="C816" s="3839" t="s">
        <v>3979</v>
      </c>
      <c r="D816" s="3837" t="str">
        <f t="shared" si="30"/>
        <v>1484</v>
      </c>
      <c r="E816" s="3838" t="s">
        <v>3338</v>
      </c>
      <c r="F816" s="3840">
        <v>34.85</v>
      </c>
    </row>
    <row r="817" spans="1:6">
      <c r="A817" s="3838" t="s">
        <v>3469</v>
      </c>
      <c r="B817" s="3841">
        <v>-1</v>
      </c>
      <c r="C817" s="3839" t="s">
        <v>3980</v>
      </c>
      <c r="D817" s="3837" t="str">
        <f t="shared" si="30"/>
        <v>1485</v>
      </c>
      <c r="E817" s="3838" t="s">
        <v>3338</v>
      </c>
      <c r="F817" s="3840">
        <v>34.85</v>
      </c>
    </row>
    <row r="818" spans="1:6">
      <c r="A818" s="3838" t="s">
        <v>3469</v>
      </c>
      <c r="B818" s="3841">
        <v>-1</v>
      </c>
      <c r="C818" s="3839" t="s">
        <v>3981</v>
      </c>
      <c r="D818" s="3837" t="str">
        <f t="shared" si="30"/>
        <v>1486</v>
      </c>
      <c r="E818" s="3838" t="s">
        <v>3338</v>
      </c>
      <c r="F818" s="3840">
        <v>34.85</v>
      </c>
    </row>
    <row r="819" spans="1:6">
      <c r="A819" s="3838" t="s">
        <v>3469</v>
      </c>
      <c r="B819" s="3841">
        <v>-1</v>
      </c>
      <c r="C819" s="3839" t="s">
        <v>3982</v>
      </c>
      <c r="D819" s="3837" t="str">
        <f t="shared" si="30"/>
        <v>1487</v>
      </c>
      <c r="E819" s="3838" t="s">
        <v>3338</v>
      </c>
      <c r="F819" s="3840">
        <v>34.85</v>
      </c>
    </row>
    <row r="820" spans="1:6">
      <c r="A820" s="3838" t="s">
        <v>3469</v>
      </c>
      <c r="B820" s="3841">
        <v>-1</v>
      </c>
      <c r="C820" s="3839" t="s">
        <v>3983</v>
      </c>
      <c r="D820" s="3837" t="str">
        <f t="shared" si="30"/>
        <v>1488</v>
      </c>
      <c r="E820" s="3838" t="s">
        <v>3338</v>
      </c>
      <c r="F820" s="3840">
        <v>34.85</v>
      </c>
    </row>
    <row r="821" spans="1:6">
      <c r="A821" s="3838" t="s">
        <v>3469</v>
      </c>
      <c r="B821" s="3841">
        <v>-1</v>
      </c>
      <c r="C821" s="3839" t="s">
        <v>3984</v>
      </c>
      <c r="D821" s="3837" t="str">
        <f t="shared" si="30"/>
        <v>1489</v>
      </c>
      <c r="E821" s="3838" t="s">
        <v>3338</v>
      </c>
      <c r="F821" s="3840">
        <v>34.85</v>
      </c>
    </row>
    <row r="822" spans="1:6">
      <c r="A822" s="3838" t="s">
        <v>3469</v>
      </c>
      <c r="B822" s="3841">
        <v>-1</v>
      </c>
      <c r="C822" s="3839" t="s">
        <v>3985</v>
      </c>
      <c r="D822" s="3837" t="str">
        <f t="shared" si="30"/>
        <v>1490</v>
      </c>
      <c r="E822" s="3838" t="s">
        <v>3338</v>
      </c>
      <c r="F822" s="3840">
        <v>34.85</v>
      </c>
    </row>
    <row r="823" spans="1:6">
      <c r="A823" s="3838" t="s">
        <v>3469</v>
      </c>
      <c r="B823" s="3841">
        <v>-1</v>
      </c>
      <c r="C823" s="3839" t="s">
        <v>3986</v>
      </c>
      <c r="D823" s="3837" t="str">
        <f t="shared" si="30"/>
        <v>1491</v>
      </c>
      <c r="E823" s="3838" t="s">
        <v>3338</v>
      </c>
      <c r="F823" s="3840">
        <v>34.85</v>
      </c>
    </row>
    <row r="824" spans="1:6">
      <c r="A824" s="3838" t="s">
        <v>3469</v>
      </c>
      <c r="B824" s="3841">
        <v>-1</v>
      </c>
      <c r="C824" s="3839" t="s">
        <v>3987</v>
      </c>
      <c r="D824" s="3837" t="str">
        <f t="shared" si="30"/>
        <v>1492</v>
      </c>
      <c r="E824" s="3838" t="s">
        <v>3338</v>
      </c>
      <c r="F824" s="3840">
        <v>34.85</v>
      </c>
    </row>
    <row r="825" spans="1:6">
      <c r="A825" s="3838" t="s">
        <v>3469</v>
      </c>
      <c r="B825" s="3841">
        <v>-1</v>
      </c>
      <c r="C825" s="3839" t="s">
        <v>3988</v>
      </c>
      <c r="D825" s="3837" t="str">
        <f t="shared" si="30"/>
        <v>1493</v>
      </c>
      <c r="E825" s="3838" t="s">
        <v>3338</v>
      </c>
      <c r="F825" s="3840">
        <v>34.85</v>
      </c>
    </row>
    <row r="826" spans="1:6">
      <c r="A826" s="3838" t="s">
        <v>3469</v>
      </c>
      <c r="B826" s="3841">
        <v>-1</v>
      </c>
      <c r="C826" s="3839" t="s">
        <v>3989</v>
      </c>
      <c r="D826" s="3837" t="str">
        <f t="shared" si="30"/>
        <v>1494</v>
      </c>
      <c r="E826" s="3838" t="s">
        <v>3338</v>
      </c>
      <c r="F826" s="3840">
        <v>34.85</v>
      </c>
    </row>
    <row r="827" spans="1:6">
      <c r="A827" s="3838" t="s">
        <v>3469</v>
      </c>
      <c r="B827" s="3841">
        <v>-1</v>
      </c>
      <c r="C827" s="3839" t="s">
        <v>3990</v>
      </c>
      <c r="D827" s="3837" t="str">
        <f t="shared" si="30"/>
        <v>1495</v>
      </c>
      <c r="E827" s="3838" t="s">
        <v>3338</v>
      </c>
      <c r="F827" s="3840">
        <v>34.85</v>
      </c>
    </row>
    <row r="828" spans="1:6">
      <c r="A828" s="3838" t="s">
        <v>3469</v>
      </c>
      <c r="B828" s="3841">
        <v>-1</v>
      </c>
      <c r="C828" s="3839" t="s">
        <v>3991</v>
      </c>
      <c r="D828" s="3837" t="str">
        <f t="shared" si="30"/>
        <v>1496</v>
      </c>
      <c r="E828" s="3838" t="s">
        <v>3338</v>
      </c>
      <c r="F828" s="3840">
        <v>34.85</v>
      </c>
    </row>
    <row r="829" spans="1:6">
      <c r="A829" s="3838" t="s">
        <v>3469</v>
      </c>
      <c r="B829" s="3841">
        <v>-1</v>
      </c>
      <c r="C829" s="3839" t="s">
        <v>3992</v>
      </c>
      <c r="D829" s="3837" t="str">
        <f t="shared" si="30"/>
        <v>1497</v>
      </c>
      <c r="E829" s="3838" t="s">
        <v>3338</v>
      </c>
      <c r="F829" s="3840">
        <v>34.85</v>
      </c>
    </row>
    <row r="830" spans="1:6">
      <c r="A830" s="3838" t="s">
        <v>3469</v>
      </c>
      <c r="B830" s="3841">
        <v>-1</v>
      </c>
      <c r="C830" s="3839" t="s">
        <v>3993</v>
      </c>
      <c r="D830" s="3837" t="str">
        <f t="shared" si="30"/>
        <v>1498</v>
      </c>
      <c r="E830" s="3838" t="s">
        <v>3338</v>
      </c>
      <c r="F830" s="3840">
        <v>34.85</v>
      </c>
    </row>
    <row r="831" spans="1:6">
      <c r="A831" s="3838" t="s">
        <v>3469</v>
      </c>
      <c r="B831" s="3841">
        <v>-1</v>
      </c>
      <c r="C831" s="3839" t="s">
        <v>3994</v>
      </c>
      <c r="D831" s="3837" t="str">
        <f t="shared" si="30"/>
        <v>1499</v>
      </c>
      <c r="E831" s="3838" t="s">
        <v>3338</v>
      </c>
      <c r="F831" s="3840">
        <v>34.85</v>
      </c>
    </row>
    <row r="832" spans="1:6">
      <c r="A832" s="3838" t="s">
        <v>3469</v>
      </c>
      <c r="B832" s="3841">
        <v>-1</v>
      </c>
      <c r="C832" s="3839" t="s">
        <v>3995</v>
      </c>
      <c r="D832" s="3837" t="str">
        <f t="shared" si="30"/>
        <v>1500</v>
      </c>
      <c r="E832" s="3838" t="s">
        <v>3338</v>
      </c>
      <c r="F832" s="3840">
        <v>34.85</v>
      </c>
    </row>
    <row r="833" spans="1:6">
      <c r="A833" s="3838" t="s">
        <v>3469</v>
      </c>
      <c r="B833" s="3841">
        <v>-1</v>
      </c>
      <c r="C833" s="3839" t="s">
        <v>3996</v>
      </c>
      <c r="D833" s="3837" t="str">
        <f t="shared" si="30"/>
        <v>1501</v>
      </c>
      <c r="E833" s="3838" t="s">
        <v>3338</v>
      </c>
      <c r="F833" s="3840">
        <v>34.85</v>
      </c>
    </row>
    <row r="834" spans="1:6">
      <c r="A834" s="3838" t="s">
        <v>3469</v>
      </c>
      <c r="B834" s="3841">
        <v>-1</v>
      </c>
      <c r="C834" s="3839" t="s">
        <v>3997</v>
      </c>
      <c r="D834" s="3837" t="str">
        <f t="shared" si="30"/>
        <v>1502</v>
      </c>
      <c r="E834" s="3838" t="s">
        <v>3338</v>
      </c>
      <c r="F834" s="3840">
        <v>34.85</v>
      </c>
    </row>
    <row r="835" spans="1:6">
      <c r="A835" s="3838" t="s">
        <v>3469</v>
      </c>
      <c r="B835" s="3841">
        <v>-1</v>
      </c>
      <c r="C835" s="3839" t="s">
        <v>3998</v>
      </c>
      <c r="D835" s="3837" t="str">
        <f t="shared" si="30"/>
        <v>1503</v>
      </c>
      <c r="E835" s="3838" t="s">
        <v>3338</v>
      </c>
      <c r="F835" s="3840">
        <v>34.85</v>
      </c>
    </row>
    <row r="836" spans="1:6">
      <c r="A836" s="3838" t="s">
        <v>3469</v>
      </c>
      <c r="B836" s="3841">
        <v>-1</v>
      </c>
      <c r="C836" s="3839" t="s">
        <v>3999</v>
      </c>
      <c r="D836" s="3837" t="str">
        <f t="shared" si="30"/>
        <v>1504</v>
      </c>
      <c r="E836" s="3838" t="s">
        <v>3338</v>
      </c>
      <c r="F836" s="3840">
        <v>34.85</v>
      </c>
    </row>
    <row r="837" spans="1:6">
      <c r="A837" s="3838" t="s">
        <v>3469</v>
      </c>
      <c r="B837" s="3841">
        <v>-1</v>
      </c>
      <c r="C837" s="3839" t="s">
        <v>4000</v>
      </c>
      <c r="D837" s="3837" t="str">
        <f t="shared" si="30"/>
        <v>1505</v>
      </c>
      <c r="E837" s="3838" t="s">
        <v>3338</v>
      </c>
      <c r="F837" s="3840">
        <v>34.85</v>
      </c>
    </row>
    <row r="838" spans="1:6">
      <c r="A838" s="3838" t="s">
        <v>3469</v>
      </c>
      <c r="B838" s="3841">
        <v>-1</v>
      </c>
      <c r="C838" s="3839" t="s">
        <v>4001</v>
      </c>
      <c r="D838" s="3837" t="str">
        <f t="shared" si="30"/>
        <v>1506</v>
      </c>
      <c r="E838" s="3838" t="s">
        <v>3338</v>
      </c>
      <c r="F838" s="3840">
        <v>34.85</v>
      </c>
    </row>
    <row r="839" spans="1:6">
      <c r="A839" s="3838" t="s">
        <v>3469</v>
      </c>
      <c r="B839" s="3841">
        <v>-1</v>
      </c>
      <c r="C839" s="3839" t="s">
        <v>4002</v>
      </c>
      <c r="D839" s="3837" t="str">
        <f t="shared" si="30"/>
        <v>1507</v>
      </c>
      <c r="E839" s="3838" t="s">
        <v>3338</v>
      </c>
      <c r="F839" s="3840">
        <v>34.85</v>
      </c>
    </row>
    <row r="840" spans="1:6">
      <c r="A840" s="3838" t="s">
        <v>3469</v>
      </c>
      <c r="B840" s="3841">
        <v>-1</v>
      </c>
      <c r="C840" s="3839" t="s">
        <v>4003</v>
      </c>
      <c r="D840" s="3837" t="str">
        <f t="shared" si="30"/>
        <v>1508</v>
      </c>
      <c r="E840" s="3838" t="s">
        <v>3338</v>
      </c>
      <c r="F840" s="3840">
        <v>34.85</v>
      </c>
    </row>
    <row r="841" spans="1:6">
      <c r="A841" s="3838" t="s">
        <v>3469</v>
      </c>
      <c r="B841" s="3841">
        <v>-1</v>
      </c>
      <c r="C841" s="3839" t="s">
        <v>4004</v>
      </c>
      <c r="D841" s="3837" t="str">
        <f t="shared" si="30"/>
        <v>1509</v>
      </c>
      <c r="E841" s="3838" t="s">
        <v>3338</v>
      </c>
      <c r="F841" s="3840">
        <v>34.85</v>
      </c>
    </row>
    <row r="842" spans="1:6">
      <c r="A842" s="3838" t="s">
        <v>3469</v>
      </c>
      <c r="B842" s="3841">
        <v>-1</v>
      </c>
      <c r="C842" s="3839" t="s">
        <v>4005</v>
      </c>
      <c r="D842" s="3837" t="str">
        <f t="shared" si="30"/>
        <v>1510</v>
      </c>
      <c r="E842" s="3838" t="s">
        <v>3338</v>
      </c>
      <c r="F842" s="3840">
        <v>34.85</v>
      </c>
    </row>
    <row r="843" spans="1:6">
      <c r="A843" s="3838" t="s">
        <v>3469</v>
      </c>
      <c r="B843" s="3841">
        <v>-1</v>
      </c>
      <c r="C843" s="3839" t="s">
        <v>4006</v>
      </c>
      <c r="D843" s="3837" t="str">
        <f t="shared" si="30"/>
        <v>1511</v>
      </c>
      <c r="E843" s="3838" t="s">
        <v>3338</v>
      </c>
      <c r="F843" s="3840">
        <v>34.85</v>
      </c>
    </row>
    <row r="844" spans="1:6">
      <c r="A844" s="3838" t="s">
        <v>3469</v>
      </c>
      <c r="B844" s="3841">
        <v>-1</v>
      </c>
      <c r="C844" s="3839" t="s">
        <v>4007</v>
      </c>
      <c r="D844" s="3837" t="str">
        <f t="shared" si="30"/>
        <v>1512</v>
      </c>
      <c r="E844" s="3838" t="s">
        <v>3338</v>
      </c>
      <c r="F844" s="3840">
        <v>34.85</v>
      </c>
    </row>
    <row r="845" spans="1:6">
      <c r="A845" s="3838" t="s">
        <v>3469</v>
      </c>
      <c r="B845" s="3841">
        <v>-1</v>
      </c>
      <c r="C845" s="3839" t="s">
        <v>4008</v>
      </c>
      <c r="D845" s="3837" t="str">
        <f t="shared" ref="D845:D908" si="31">""&amp;C845</f>
        <v>1513</v>
      </c>
      <c r="E845" s="3838" t="s">
        <v>3338</v>
      </c>
      <c r="F845" s="3840">
        <v>34.85</v>
      </c>
    </row>
    <row r="846" spans="1:6">
      <c r="A846" s="3838" t="s">
        <v>3469</v>
      </c>
      <c r="B846" s="3841">
        <v>-1</v>
      </c>
      <c r="C846" s="3839" t="s">
        <v>4009</v>
      </c>
      <c r="D846" s="3837" t="str">
        <f t="shared" si="31"/>
        <v>1514</v>
      </c>
      <c r="E846" s="3838" t="s">
        <v>3338</v>
      </c>
      <c r="F846" s="3840">
        <v>34.85</v>
      </c>
    </row>
    <row r="847" spans="1:6">
      <c r="A847" s="3838" t="s">
        <v>3469</v>
      </c>
      <c r="B847" s="3841">
        <v>-1</v>
      </c>
      <c r="C847" s="3839" t="s">
        <v>4010</v>
      </c>
      <c r="D847" s="3837" t="str">
        <f t="shared" si="31"/>
        <v>1515</v>
      </c>
      <c r="E847" s="3838" t="s">
        <v>3338</v>
      </c>
      <c r="F847" s="3840">
        <v>34.85</v>
      </c>
    </row>
    <row r="848" spans="1:6">
      <c r="A848" s="3838" t="s">
        <v>3469</v>
      </c>
      <c r="B848" s="3841">
        <v>-1</v>
      </c>
      <c r="C848" s="3839" t="s">
        <v>4011</v>
      </c>
      <c r="D848" s="3837" t="str">
        <f t="shared" si="31"/>
        <v>1516</v>
      </c>
      <c r="E848" s="3838" t="s">
        <v>3338</v>
      </c>
      <c r="F848" s="3840">
        <v>34.85</v>
      </c>
    </row>
    <row r="849" spans="1:6">
      <c r="A849" s="3838" t="s">
        <v>3469</v>
      </c>
      <c r="B849" s="3841">
        <v>-1</v>
      </c>
      <c r="C849" s="3839" t="s">
        <v>4012</v>
      </c>
      <c r="D849" s="3837" t="str">
        <f t="shared" si="31"/>
        <v>1517</v>
      </c>
      <c r="E849" s="3838" t="s">
        <v>3338</v>
      </c>
      <c r="F849" s="3840">
        <v>34.85</v>
      </c>
    </row>
    <row r="850" spans="1:6">
      <c r="A850" s="3838" t="s">
        <v>3469</v>
      </c>
      <c r="B850" s="3841">
        <v>-1</v>
      </c>
      <c r="C850" s="3839" t="s">
        <v>4013</v>
      </c>
      <c r="D850" s="3837" t="str">
        <f t="shared" si="31"/>
        <v>1518</v>
      </c>
      <c r="E850" s="3838" t="s">
        <v>3338</v>
      </c>
      <c r="F850" s="3840">
        <v>34.85</v>
      </c>
    </row>
    <row r="851" spans="1:6">
      <c r="A851" s="3838" t="s">
        <v>3469</v>
      </c>
      <c r="B851" s="3841">
        <v>-1</v>
      </c>
      <c r="C851" s="3839" t="s">
        <v>4014</v>
      </c>
      <c r="D851" s="3837" t="str">
        <f t="shared" si="31"/>
        <v>1519</v>
      </c>
      <c r="E851" s="3838" t="s">
        <v>3338</v>
      </c>
      <c r="F851" s="3840">
        <v>34.85</v>
      </c>
    </row>
    <row r="852" spans="1:6">
      <c r="A852" s="3838" t="s">
        <v>3469</v>
      </c>
      <c r="B852" s="3841">
        <v>-1</v>
      </c>
      <c r="C852" s="3839" t="s">
        <v>4015</v>
      </c>
      <c r="D852" s="3837" t="str">
        <f t="shared" si="31"/>
        <v>1520</v>
      </c>
      <c r="E852" s="3838" t="s">
        <v>3338</v>
      </c>
      <c r="F852" s="3840">
        <v>34.85</v>
      </c>
    </row>
    <row r="853" spans="1:6">
      <c r="A853" s="3838" t="s">
        <v>3469</v>
      </c>
      <c r="B853" s="3841">
        <v>-1</v>
      </c>
      <c r="C853" s="3839" t="s">
        <v>4016</v>
      </c>
      <c r="D853" s="3837" t="str">
        <f t="shared" si="31"/>
        <v>1521</v>
      </c>
      <c r="E853" s="3838" t="s">
        <v>3338</v>
      </c>
      <c r="F853" s="3840">
        <v>34.85</v>
      </c>
    </row>
    <row r="854" spans="1:6">
      <c r="A854" s="3838" t="s">
        <v>3469</v>
      </c>
      <c r="B854" s="3841">
        <v>-1</v>
      </c>
      <c r="C854" s="3839" t="s">
        <v>4017</v>
      </c>
      <c r="D854" s="3837" t="str">
        <f t="shared" si="31"/>
        <v>1522</v>
      </c>
      <c r="E854" s="3838" t="s">
        <v>3338</v>
      </c>
      <c r="F854" s="3840">
        <v>34.85</v>
      </c>
    </row>
    <row r="855" spans="1:6">
      <c r="A855" s="3838" t="s">
        <v>3469</v>
      </c>
      <c r="B855" s="3841">
        <v>-1</v>
      </c>
      <c r="C855" s="3839" t="s">
        <v>4018</v>
      </c>
      <c r="D855" s="3837" t="str">
        <f t="shared" si="31"/>
        <v>1523</v>
      </c>
      <c r="E855" s="3838" t="s">
        <v>3338</v>
      </c>
      <c r="F855" s="3840">
        <v>34.85</v>
      </c>
    </row>
    <row r="856" spans="1:6">
      <c r="A856" s="3838" t="s">
        <v>3469</v>
      </c>
      <c r="B856" s="3841">
        <v>-1</v>
      </c>
      <c r="C856" s="3839" t="s">
        <v>4019</v>
      </c>
      <c r="D856" s="3837" t="str">
        <f t="shared" si="31"/>
        <v>1524</v>
      </c>
      <c r="E856" s="3838" t="s">
        <v>3338</v>
      </c>
      <c r="F856" s="3840">
        <v>34.85</v>
      </c>
    </row>
    <row r="857" spans="1:6">
      <c r="A857" s="3838" t="s">
        <v>3469</v>
      </c>
      <c r="B857" s="3841">
        <v>-1</v>
      </c>
      <c r="C857" s="3839" t="s">
        <v>4020</v>
      </c>
      <c r="D857" s="3837" t="str">
        <f t="shared" si="31"/>
        <v>1525</v>
      </c>
      <c r="E857" s="3838" t="s">
        <v>3338</v>
      </c>
      <c r="F857" s="3840">
        <v>34.85</v>
      </c>
    </row>
    <row r="858" spans="1:6">
      <c r="A858" s="3838" t="s">
        <v>3469</v>
      </c>
      <c r="B858" s="3841">
        <v>-1</v>
      </c>
      <c r="C858" s="3839" t="s">
        <v>4021</v>
      </c>
      <c r="D858" s="3837" t="str">
        <f t="shared" si="31"/>
        <v>1526</v>
      </c>
      <c r="E858" s="3838" t="s">
        <v>3338</v>
      </c>
      <c r="F858" s="3840">
        <v>34.85</v>
      </c>
    </row>
    <row r="859" spans="1:6">
      <c r="A859" s="3838" t="s">
        <v>3469</v>
      </c>
      <c r="B859" s="3841">
        <v>-1</v>
      </c>
      <c r="C859" s="3839" t="s">
        <v>4022</v>
      </c>
      <c r="D859" s="3837" t="str">
        <f t="shared" si="31"/>
        <v>1527</v>
      </c>
      <c r="E859" s="3838" t="s">
        <v>3338</v>
      </c>
      <c r="F859" s="3840">
        <v>34.85</v>
      </c>
    </row>
    <row r="860" spans="1:6">
      <c r="A860" s="3838" t="s">
        <v>3469</v>
      </c>
      <c r="B860" s="3841">
        <v>-1</v>
      </c>
      <c r="C860" s="3839" t="s">
        <v>4023</v>
      </c>
      <c r="D860" s="3837" t="str">
        <f t="shared" si="31"/>
        <v>1528</v>
      </c>
      <c r="E860" s="3838" t="s">
        <v>3338</v>
      </c>
      <c r="F860" s="3840">
        <v>34.85</v>
      </c>
    </row>
    <row r="861" spans="1:6">
      <c r="A861" s="3838" t="s">
        <v>3469</v>
      </c>
      <c r="B861" s="3841">
        <v>-1</v>
      </c>
      <c r="C861" s="3839" t="s">
        <v>4024</v>
      </c>
      <c r="D861" s="3837" t="str">
        <f t="shared" si="31"/>
        <v>1529</v>
      </c>
      <c r="E861" s="3838" t="s">
        <v>3338</v>
      </c>
      <c r="F861" s="3840">
        <v>34.85</v>
      </c>
    </row>
    <row r="862" spans="1:6">
      <c r="A862" s="3838" t="s">
        <v>3469</v>
      </c>
      <c r="B862" s="3841">
        <v>-1</v>
      </c>
      <c r="C862" s="3839" t="s">
        <v>4025</v>
      </c>
      <c r="D862" s="3837" t="str">
        <f t="shared" si="31"/>
        <v>1530</v>
      </c>
      <c r="E862" s="3838" t="s">
        <v>3338</v>
      </c>
      <c r="F862" s="3840">
        <v>34.85</v>
      </c>
    </row>
    <row r="863" spans="1:6">
      <c r="A863" s="3838" t="s">
        <v>3469</v>
      </c>
      <c r="B863" s="3841">
        <v>-1</v>
      </c>
      <c r="C863" s="3839" t="s">
        <v>4026</v>
      </c>
      <c r="D863" s="3837" t="str">
        <f t="shared" si="31"/>
        <v>1531</v>
      </c>
      <c r="E863" s="3838" t="s">
        <v>3338</v>
      </c>
      <c r="F863" s="3840">
        <v>34.85</v>
      </c>
    </row>
    <row r="864" spans="1:6">
      <c r="A864" s="3838" t="s">
        <v>3469</v>
      </c>
      <c r="B864" s="3841">
        <v>-1</v>
      </c>
      <c r="C864" s="3839" t="s">
        <v>4027</v>
      </c>
      <c r="D864" s="3837" t="str">
        <f t="shared" si="31"/>
        <v>1532</v>
      </c>
      <c r="E864" s="3838" t="s">
        <v>3338</v>
      </c>
      <c r="F864" s="3840">
        <v>34.85</v>
      </c>
    </row>
    <row r="865" spans="1:6">
      <c r="A865" s="3838" t="s">
        <v>3469</v>
      </c>
      <c r="B865" s="3841">
        <v>-1</v>
      </c>
      <c r="C865" s="3839" t="s">
        <v>4028</v>
      </c>
      <c r="D865" s="3837" t="str">
        <f t="shared" si="31"/>
        <v>1533</v>
      </c>
      <c r="E865" s="3838" t="s">
        <v>3338</v>
      </c>
      <c r="F865" s="3840">
        <v>34.85</v>
      </c>
    </row>
    <row r="866" spans="1:6">
      <c r="A866" s="3838" t="s">
        <v>3469</v>
      </c>
      <c r="B866" s="3841">
        <v>-1</v>
      </c>
      <c r="C866" s="3839" t="s">
        <v>4029</v>
      </c>
      <c r="D866" s="3837" t="str">
        <f t="shared" si="31"/>
        <v>1534</v>
      </c>
      <c r="E866" s="3838" t="s">
        <v>3338</v>
      </c>
      <c r="F866" s="3840">
        <v>34.85</v>
      </c>
    </row>
    <row r="867" spans="1:6">
      <c r="A867" s="3838" t="s">
        <v>3469</v>
      </c>
      <c r="B867" s="3841">
        <v>-1</v>
      </c>
      <c r="C867" s="3839" t="s">
        <v>4030</v>
      </c>
      <c r="D867" s="3837" t="str">
        <f t="shared" si="31"/>
        <v>1535</v>
      </c>
      <c r="E867" s="3838" t="s">
        <v>3338</v>
      </c>
      <c r="F867" s="3840">
        <v>34.85</v>
      </c>
    </row>
    <row r="868" spans="1:6">
      <c r="A868" s="3838" t="s">
        <v>3469</v>
      </c>
      <c r="B868" s="3841">
        <v>-1</v>
      </c>
      <c r="C868" s="3839" t="s">
        <v>4031</v>
      </c>
      <c r="D868" s="3837" t="str">
        <f t="shared" si="31"/>
        <v>1536</v>
      </c>
      <c r="E868" s="3838" t="s">
        <v>3338</v>
      </c>
      <c r="F868" s="3840">
        <v>34.85</v>
      </c>
    </row>
    <row r="869" spans="1:6">
      <c r="A869" s="3838" t="s">
        <v>3469</v>
      </c>
      <c r="B869" s="3841">
        <v>-1</v>
      </c>
      <c r="C869" s="3839" t="s">
        <v>4032</v>
      </c>
      <c r="D869" s="3837" t="str">
        <f t="shared" si="31"/>
        <v>1537</v>
      </c>
      <c r="E869" s="3838" t="s">
        <v>3338</v>
      </c>
      <c r="F869" s="3840">
        <v>34.85</v>
      </c>
    </row>
    <row r="870" spans="1:6">
      <c r="A870" s="3838" t="s">
        <v>3469</v>
      </c>
      <c r="B870" s="3841">
        <v>-1</v>
      </c>
      <c r="C870" s="3839" t="s">
        <v>4033</v>
      </c>
      <c r="D870" s="3837" t="str">
        <f t="shared" si="31"/>
        <v>1538</v>
      </c>
      <c r="E870" s="3838" t="s">
        <v>3338</v>
      </c>
      <c r="F870" s="3840">
        <v>34.85</v>
      </c>
    </row>
    <row r="871" spans="1:6">
      <c r="A871" s="3838" t="s">
        <v>3469</v>
      </c>
      <c r="B871" s="3841">
        <v>-1</v>
      </c>
      <c r="C871" s="3839" t="s">
        <v>4034</v>
      </c>
      <c r="D871" s="3837" t="str">
        <f t="shared" si="31"/>
        <v>1539</v>
      </c>
      <c r="E871" s="3838" t="s">
        <v>3338</v>
      </c>
      <c r="F871" s="3840">
        <v>34.85</v>
      </c>
    </row>
    <row r="872" spans="1:6">
      <c r="A872" s="3838" t="s">
        <v>3469</v>
      </c>
      <c r="B872" s="3841">
        <v>-1</v>
      </c>
      <c r="C872" s="3839" t="s">
        <v>4035</v>
      </c>
      <c r="D872" s="3837" t="str">
        <f t="shared" si="31"/>
        <v>1540</v>
      </c>
      <c r="E872" s="3838" t="s">
        <v>3338</v>
      </c>
      <c r="F872" s="3840">
        <v>34.85</v>
      </c>
    </row>
    <row r="873" spans="1:6">
      <c r="A873" s="3838" t="s">
        <v>3469</v>
      </c>
      <c r="B873" s="3841">
        <v>-1</v>
      </c>
      <c r="C873" s="3839" t="s">
        <v>4036</v>
      </c>
      <c r="D873" s="3837" t="str">
        <f t="shared" si="31"/>
        <v>1541</v>
      </c>
      <c r="E873" s="3838" t="s">
        <v>3338</v>
      </c>
      <c r="F873" s="3840">
        <v>34.85</v>
      </c>
    </row>
    <row r="874" spans="1:6">
      <c r="A874" s="3838" t="s">
        <v>3469</v>
      </c>
      <c r="B874" s="3841">
        <v>-1</v>
      </c>
      <c r="C874" s="3839" t="s">
        <v>4037</v>
      </c>
      <c r="D874" s="3837" t="str">
        <f t="shared" si="31"/>
        <v>1542</v>
      </c>
      <c r="E874" s="3838" t="s">
        <v>3338</v>
      </c>
      <c r="F874" s="3840">
        <v>34.85</v>
      </c>
    </row>
    <row r="875" spans="1:6">
      <c r="A875" s="3838" t="s">
        <v>3469</v>
      </c>
      <c r="B875" s="3841">
        <v>-1</v>
      </c>
      <c r="C875" s="3839" t="s">
        <v>4038</v>
      </c>
      <c r="D875" s="3837" t="str">
        <f t="shared" si="31"/>
        <v>1543</v>
      </c>
      <c r="E875" s="3838" t="s">
        <v>3338</v>
      </c>
      <c r="F875" s="3840">
        <v>34.85</v>
      </c>
    </row>
    <row r="876" spans="1:6">
      <c r="A876" s="3838" t="s">
        <v>3469</v>
      </c>
      <c r="B876" s="3841">
        <v>-1</v>
      </c>
      <c r="C876" s="3839" t="s">
        <v>4039</v>
      </c>
      <c r="D876" s="3837" t="str">
        <f t="shared" si="31"/>
        <v>1544</v>
      </c>
      <c r="E876" s="3838" t="s">
        <v>3338</v>
      </c>
      <c r="F876" s="3840">
        <v>34.85</v>
      </c>
    </row>
    <row r="877" spans="1:6">
      <c r="A877" s="3838" t="s">
        <v>3469</v>
      </c>
      <c r="B877" s="3841">
        <v>-1</v>
      </c>
      <c r="C877" s="3839" t="s">
        <v>4040</v>
      </c>
      <c r="D877" s="3837" t="str">
        <f t="shared" si="31"/>
        <v>1545</v>
      </c>
      <c r="E877" s="3838" t="s">
        <v>3338</v>
      </c>
      <c r="F877" s="3840">
        <v>34.85</v>
      </c>
    </row>
    <row r="878" spans="1:6">
      <c r="A878" s="3838" t="s">
        <v>3469</v>
      </c>
      <c r="B878" s="3841">
        <v>-1</v>
      </c>
      <c r="C878" s="3839" t="s">
        <v>4041</v>
      </c>
      <c r="D878" s="3837" t="str">
        <f t="shared" si="31"/>
        <v>1546</v>
      </c>
      <c r="E878" s="3838" t="s">
        <v>3338</v>
      </c>
      <c r="F878" s="3840">
        <v>34.85</v>
      </c>
    </row>
    <row r="879" spans="1:6">
      <c r="A879" s="3838" t="s">
        <v>3469</v>
      </c>
      <c r="B879" s="3841">
        <v>-1</v>
      </c>
      <c r="C879" s="3839" t="s">
        <v>4042</v>
      </c>
      <c r="D879" s="3837" t="str">
        <f t="shared" si="31"/>
        <v>1547</v>
      </c>
      <c r="E879" s="3838" t="s">
        <v>3338</v>
      </c>
      <c r="F879" s="3840">
        <v>34.85</v>
      </c>
    </row>
    <row r="880" spans="1:6">
      <c r="A880" s="3838" t="s">
        <v>3469</v>
      </c>
      <c r="B880" s="3841">
        <v>-1</v>
      </c>
      <c r="C880" s="3839" t="s">
        <v>4043</v>
      </c>
      <c r="D880" s="3837" t="str">
        <f t="shared" si="31"/>
        <v>1548</v>
      </c>
      <c r="E880" s="3838" t="s">
        <v>3338</v>
      </c>
      <c r="F880" s="3840">
        <v>34.85</v>
      </c>
    </row>
    <row r="881" spans="1:6">
      <c r="A881" s="3838" t="s">
        <v>3469</v>
      </c>
      <c r="B881" s="3841">
        <v>-1</v>
      </c>
      <c r="C881" s="3839" t="s">
        <v>4044</v>
      </c>
      <c r="D881" s="3837" t="str">
        <f t="shared" si="31"/>
        <v>1549</v>
      </c>
      <c r="E881" s="3838" t="s">
        <v>3338</v>
      </c>
      <c r="F881" s="3840">
        <v>34.85</v>
      </c>
    </row>
    <row r="882" spans="1:6">
      <c r="A882" s="3838" t="s">
        <v>3469</v>
      </c>
      <c r="B882" s="3841">
        <v>-1</v>
      </c>
      <c r="C882" s="3839" t="s">
        <v>4045</v>
      </c>
      <c r="D882" s="3837" t="str">
        <f t="shared" si="31"/>
        <v>1550</v>
      </c>
      <c r="E882" s="3838" t="s">
        <v>3338</v>
      </c>
      <c r="F882" s="3840">
        <v>34.85</v>
      </c>
    </row>
    <row r="883" spans="1:6">
      <c r="A883" s="3838" t="s">
        <v>3469</v>
      </c>
      <c r="B883" s="3841">
        <v>-1</v>
      </c>
      <c r="C883" s="3839" t="s">
        <v>4046</v>
      </c>
      <c r="D883" s="3837" t="str">
        <f t="shared" si="31"/>
        <v>1551</v>
      </c>
      <c r="E883" s="3838" t="s">
        <v>3338</v>
      </c>
      <c r="F883" s="3840">
        <v>34.85</v>
      </c>
    </row>
    <row r="884" spans="1:6">
      <c r="A884" s="3838" t="s">
        <v>3469</v>
      </c>
      <c r="B884" s="3841">
        <v>-1</v>
      </c>
      <c r="C884" s="3839" t="s">
        <v>4047</v>
      </c>
      <c r="D884" s="3837" t="str">
        <f t="shared" si="31"/>
        <v>1552</v>
      </c>
      <c r="E884" s="3838" t="s">
        <v>3338</v>
      </c>
      <c r="F884" s="3840">
        <v>34.85</v>
      </c>
    </row>
    <row r="885" spans="1:6">
      <c r="A885" s="3838" t="s">
        <v>3469</v>
      </c>
      <c r="B885" s="3841">
        <v>-1</v>
      </c>
      <c r="C885" s="3839" t="s">
        <v>4048</v>
      </c>
      <c r="D885" s="3837" t="str">
        <f t="shared" si="31"/>
        <v>1553</v>
      </c>
      <c r="E885" s="3838" t="s">
        <v>3338</v>
      </c>
      <c r="F885" s="3840">
        <v>34.85</v>
      </c>
    </row>
    <row r="886" spans="1:6">
      <c r="A886" s="3838" t="s">
        <v>3469</v>
      </c>
      <c r="B886" s="3841">
        <v>-1</v>
      </c>
      <c r="C886" s="3839" t="s">
        <v>4049</v>
      </c>
      <c r="D886" s="3837" t="str">
        <f t="shared" si="31"/>
        <v>1554</v>
      </c>
      <c r="E886" s="3838" t="s">
        <v>3338</v>
      </c>
      <c r="F886" s="3840">
        <v>34.85</v>
      </c>
    </row>
    <row r="887" spans="1:6">
      <c r="A887" s="3838" t="s">
        <v>3469</v>
      </c>
      <c r="B887" s="3841">
        <v>-1</v>
      </c>
      <c r="C887" s="3839" t="s">
        <v>4050</v>
      </c>
      <c r="D887" s="3837" t="str">
        <f t="shared" si="31"/>
        <v>1555</v>
      </c>
      <c r="E887" s="3838" t="s">
        <v>3338</v>
      </c>
      <c r="F887" s="3840">
        <v>34.85</v>
      </c>
    </row>
    <row r="888" spans="1:6">
      <c r="A888" s="3838" t="s">
        <v>3469</v>
      </c>
      <c r="B888" s="3841">
        <v>-1</v>
      </c>
      <c r="C888" s="3839" t="s">
        <v>4051</v>
      </c>
      <c r="D888" s="3837" t="str">
        <f t="shared" si="31"/>
        <v>1556</v>
      </c>
      <c r="E888" s="3838" t="s">
        <v>3338</v>
      </c>
      <c r="F888" s="3840">
        <v>34.85</v>
      </c>
    </row>
    <row r="889" spans="1:6">
      <c r="A889" s="3838" t="s">
        <v>3469</v>
      </c>
      <c r="B889" s="3841">
        <v>-1</v>
      </c>
      <c r="C889" s="3839" t="s">
        <v>4052</v>
      </c>
      <c r="D889" s="3837" t="str">
        <f t="shared" si="31"/>
        <v>1557</v>
      </c>
      <c r="E889" s="3838" t="s">
        <v>3338</v>
      </c>
      <c r="F889" s="3840">
        <v>34.85</v>
      </c>
    </row>
    <row r="890" spans="1:6">
      <c r="A890" s="3838" t="s">
        <v>3469</v>
      </c>
      <c r="B890" s="3841">
        <v>-1</v>
      </c>
      <c r="C890" s="3839" t="s">
        <v>4053</v>
      </c>
      <c r="D890" s="3837" t="str">
        <f t="shared" si="31"/>
        <v>1558</v>
      </c>
      <c r="E890" s="3838" t="s">
        <v>3338</v>
      </c>
      <c r="F890" s="3840">
        <v>34.85</v>
      </c>
    </row>
    <row r="891" spans="1:6">
      <c r="A891" s="3838" t="s">
        <v>3469</v>
      </c>
      <c r="B891" s="3841">
        <v>-1</v>
      </c>
      <c r="C891" s="3839" t="s">
        <v>4054</v>
      </c>
      <c r="D891" s="3837" t="str">
        <f t="shared" si="31"/>
        <v>1559</v>
      </c>
      <c r="E891" s="3838" t="s">
        <v>3338</v>
      </c>
      <c r="F891" s="3840">
        <v>34.85</v>
      </c>
    </row>
    <row r="892" spans="1:6">
      <c r="A892" s="3838" t="s">
        <v>3469</v>
      </c>
      <c r="B892" s="3841">
        <v>-1</v>
      </c>
      <c r="C892" s="3839" t="s">
        <v>4055</v>
      </c>
      <c r="D892" s="3837" t="str">
        <f t="shared" si="31"/>
        <v>1560</v>
      </c>
      <c r="E892" s="3838" t="s">
        <v>3338</v>
      </c>
      <c r="F892" s="3840">
        <v>34.85</v>
      </c>
    </row>
    <row r="893" spans="1:6">
      <c r="A893" s="3838" t="s">
        <v>3469</v>
      </c>
      <c r="B893" s="3841">
        <v>-1</v>
      </c>
      <c r="C893" s="3839" t="s">
        <v>4056</v>
      </c>
      <c r="D893" s="3837" t="str">
        <f t="shared" si="31"/>
        <v>1561</v>
      </c>
      <c r="E893" s="3838" t="s">
        <v>3338</v>
      </c>
      <c r="F893" s="3840">
        <v>34.85</v>
      </c>
    </row>
    <row r="894" spans="1:6">
      <c r="A894" s="3838" t="s">
        <v>3469</v>
      </c>
      <c r="B894" s="3841">
        <v>-1</v>
      </c>
      <c r="C894" s="3839" t="s">
        <v>4057</v>
      </c>
      <c r="D894" s="3837" t="str">
        <f t="shared" si="31"/>
        <v>1562</v>
      </c>
      <c r="E894" s="3838" t="s">
        <v>3338</v>
      </c>
      <c r="F894" s="3840">
        <v>34.85</v>
      </c>
    </row>
    <row r="895" spans="1:6">
      <c r="A895" s="3838" t="s">
        <v>3469</v>
      </c>
      <c r="B895" s="3841">
        <v>-1</v>
      </c>
      <c r="C895" s="3839" t="s">
        <v>4058</v>
      </c>
      <c r="D895" s="3837" t="str">
        <f t="shared" si="31"/>
        <v>1563</v>
      </c>
      <c r="E895" s="3838" t="s">
        <v>3338</v>
      </c>
      <c r="F895" s="3840">
        <v>34.85</v>
      </c>
    </row>
    <row r="896" spans="1:6">
      <c r="A896" s="3838" t="s">
        <v>3469</v>
      </c>
      <c r="B896" s="3841">
        <v>-1</v>
      </c>
      <c r="C896" s="3839" t="s">
        <v>4059</v>
      </c>
      <c r="D896" s="3837" t="str">
        <f t="shared" si="31"/>
        <v>1564</v>
      </c>
      <c r="E896" s="3838" t="s">
        <v>3338</v>
      </c>
      <c r="F896" s="3840">
        <v>34.85</v>
      </c>
    </row>
    <row r="897" spans="1:6">
      <c r="A897" s="3838" t="s">
        <v>3469</v>
      </c>
      <c r="B897" s="3841">
        <v>-1</v>
      </c>
      <c r="C897" s="3839" t="s">
        <v>4060</v>
      </c>
      <c r="D897" s="3837" t="str">
        <f t="shared" si="31"/>
        <v>1565</v>
      </c>
      <c r="E897" s="3838" t="s">
        <v>3338</v>
      </c>
      <c r="F897" s="3840">
        <v>34.85</v>
      </c>
    </row>
    <row r="898" spans="1:6">
      <c r="A898" s="3838" t="s">
        <v>3469</v>
      </c>
      <c r="B898" s="3841">
        <v>-1</v>
      </c>
      <c r="C898" s="3839" t="s">
        <v>4061</v>
      </c>
      <c r="D898" s="3837" t="str">
        <f t="shared" si="31"/>
        <v>1566</v>
      </c>
      <c r="E898" s="3838" t="s">
        <v>3338</v>
      </c>
      <c r="F898" s="3840">
        <v>34.85</v>
      </c>
    </row>
    <row r="899" spans="1:6">
      <c r="A899" s="3838" t="s">
        <v>3469</v>
      </c>
      <c r="B899" s="3841">
        <v>-1</v>
      </c>
      <c r="C899" s="3839" t="s">
        <v>4062</v>
      </c>
      <c r="D899" s="3837" t="str">
        <f t="shared" si="31"/>
        <v>1567</v>
      </c>
      <c r="E899" s="3838" t="s">
        <v>3338</v>
      </c>
      <c r="F899" s="3840">
        <v>34.85</v>
      </c>
    </row>
    <row r="900" spans="1:6">
      <c r="A900" s="3838" t="s">
        <v>3469</v>
      </c>
      <c r="B900" s="3841">
        <v>-1</v>
      </c>
      <c r="C900" s="3839" t="s">
        <v>4063</v>
      </c>
      <c r="D900" s="3837" t="str">
        <f t="shared" si="31"/>
        <v>1568</v>
      </c>
      <c r="E900" s="3838" t="s">
        <v>3338</v>
      </c>
      <c r="F900" s="3840">
        <v>34.85</v>
      </c>
    </row>
    <row r="901" spans="1:6">
      <c r="A901" s="3838" t="s">
        <v>3469</v>
      </c>
      <c r="B901" s="3841">
        <v>-1</v>
      </c>
      <c r="C901" s="3839" t="s">
        <v>4064</v>
      </c>
      <c r="D901" s="3837" t="str">
        <f t="shared" si="31"/>
        <v>1569</v>
      </c>
      <c r="E901" s="3838" t="s">
        <v>3338</v>
      </c>
      <c r="F901" s="3840">
        <v>34.85</v>
      </c>
    </row>
    <row r="902" spans="1:6">
      <c r="A902" s="3838" t="s">
        <v>3469</v>
      </c>
      <c r="B902" s="3841">
        <v>-1</v>
      </c>
      <c r="C902" s="3839" t="s">
        <v>4065</v>
      </c>
      <c r="D902" s="3837" t="str">
        <f t="shared" si="31"/>
        <v>1570</v>
      </c>
      <c r="E902" s="3838" t="s">
        <v>3338</v>
      </c>
      <c r="F902" s="3840">
        <v>34.85</v>
      </c>
    </row>
    <row r="903" spans="1:6">
      <c r="A903" s="3838" t="s">
        <v>3469</v>
      </c>
      <c r="B903" s="3841">
        <v>-1</v>
      </c>
      <c r="C903" s="3839" t="s">
        <v>4066</v>
      </c>
      <c r="D903" s="3837" t="str">
        <f t="shared" si="31"/>
        <v>1571</v>
      </c>
      <c r="E903" s="3838" t="s">
        <v>3338</v>
      </c>
      <c r="F903" s="3840">
        <v>34.85</v>
      </c>
    </row>
    <row r="904" spans="1:6">
      <c r="A904" s="3838" t="s">
        <v>3469</v>
      </c>
      <c r="B904" s="3841">
        <v>-1</v>
      </c>
      <c r="C904" s="3839" t="s">
        <v>4067</v>
      </c>
      <c r="D904" s="3837" t="str">
        <f t="shared" si="31"/>
        <v>1572</v>
      </c>
      <c r="E904" s="3838" t="s">
        <v>3338</v>
      </c>
      <c r="F904" s="3840">
        <v>34.85</v>
      </c>
    </row>
    <row r="905" spans="1:6">
      <c r="A905" s="3838" t="s">
        <v>3469</v>
      </c>
      <c r="B905" s="3841">
        <v>-1</v>
      </c>
      <c r="C905" s="3839" t="s">
        <v>4068</v>
      </c>
      <c r="D905" s="3837" t="str">
        <f t="shared" si="31"/>
        <v>1573</v>
      </c>
      <c r="E905" s="3838" t="s">
        <v>3338</v>
      </c>
      <c r="F905" s="3840">
        <v>34.85</v>
      </c>
    </row>
    <row r="906" spans="1:6">
      <c r="A906" s="3838" t="s">
        <v>3469</v>
      </c>
      <c r="B906" s="3841">
        <v>-1</v>
      </c>
      <c r="C906" s="3839" t="s">
        <v>4069</v>
      </c>
      <c r="D906" s="3837" t="str">
        <f t="shared" si="31"/>
        <v>1574</v>
      </c>
      <c r="E906" s="3838" t="s">
        <v>3338</v>
      </c>
      <c r="F906" s="3840">
        <v>34.85</v>
      </c>
    </row>
    <row r="907" spans="1:6">
      <c r="A907" s="3838" t="s">
        <v>3469</v>
      </c>
      <c r="B907" s="3841">
        <v>-1</v>
      </c>
      <c r="C907" s="3839" t="s">
        <v>4070</v>
      </c>
      <c r="D907" s="3837" t="str">
        <f t="shared" si="31"/>
        <v>1575</v>
      </c>
      <c r="E907" s="3838" t="s">
        <v>3338</v>
      </c>
      <c r="F907" s="3840">
        <v>34.85</v>
      </c>
    </row>
    <row r="908" spans="1:6">
      <c r="A908" s="3838" t="s">
        <v>3469</v>
      </c>
      <c r="B908" s="3841">
        <v>-1</v>
      </c>
      <c r="C908" s="3839" t="s">
        <v>4071</v>
      </c>
      <c r="D908" s="3837" t="str">
        <f t="shared" si="31"/>
        <v>1576</v>
      </c>
      <c r="E908" s="3838" t="s">
        <v>3338</v>
      </c>
      <c r="F908" s="3840">
        <v>34.85</v>
      </c>
    </row>
    <row r="909" spans="1:6">
      <c r="A909" s="3838" t="s">
        <v>3469</v>
      </c>
      <c r="B909" s="3841">
        <v>-1</v>
      </c>
      <c r="C909" s="3839" t="s">
        <v>4072</v>
      </c>
      <c r="D909" s="3837" t="str">
        <f t="shared" ref="D909:D972" si="32">""&amp;C909</f>
        <v>1577</v>
      </c>
      <c r="E909" s="3838" t="s">
        <v>3338</v>
      </c>
      <c r="F909" s="3840">
        <v>34.85</v>
      </c>
    </row>
    <row r="910" spans="1:6">
      <c r="A910" s="3838" t="s">
        <v>3469</v>
      </c>
      <c r="B910" s="3841">
        <v>-1</v>
      </c>
      <c r="C910" s="3839" t="s">
        <v>4073</v>
      </c>
      <c r="D910" s="3837" t="str">
        <f t="shared" si="32"/>
        <v>1578</v>
      </c>
      <c r="E910" s="3838" t="s">
        <v>3338</v>
      </c>
      <c r="F910" s="3840">
        <v>34.85</v>
      </c>
    </row>
    <row r="911" spans="1:6">
      <c r="A911" s="3838" t="s">
        <v>3469</v>
      </c>
      <c r="B911" s="3841">
        <v>-1</v>
      </c>
      <c r="C911" s="3839" t="s">
        <v>4074</v>
      </c>
      <c r="D911" s="3837" t="str">
        <f t="shared" si="32"/>
        <v>1579</v>
      </c>
      <c r="E911" s="3838" t="s">
        <v>3338</v>
      </c>
      <c r="F911" s="3840">
        <v>34.85</v>
      </c>
    </row>
    <row r="912" spans="1:6">
      <c r="A912" s="3838" t="s">
        <v>3469</v>
      </c>
      <c r="B912" s="3841">
        <v>-1</v>
      </c>
      <c r="C912" s="3839" t="s">
        <v>4075</v>
      </c>
      <c r="D912" s="3837" t="str">
        <f t="shared" si="32"/>
        <v>1580</v>
      </c>
      <c r="E912" s="3838" t="s">
        <v>3338</v>
      </c>
      <c r="F912" s="3840">
        <v>34.85</v>
      </c>
    </row>
    <row r="913" spans="1:6">
      <c r="A913" s="3838" t="s">
        <v>3469</v>
      </c>
      <c r="B913" s="3841">
        <v>-1</v>
      </c>
      <c r="C913" s="3839" t="s">
        <v>4076</v>
      </c>
      <c r="D913" s="3837" t="str">
        <f t="shared" si="32"/>
        <v>1581</v>
      </c>
      <c r="E913" s="3838" t="s">
        <v>3338</v>
      </c>
      <c r="F913" s="3840">
        <v>34.85</v>
      </c>
    </row>
    <row r="914" spans="1:6">
      <c r="A914" s="3838" t="s">
        <v>3469</v>
      </c>
      <c r="B914" s="3841">
        <v>-1</v>
      </c>
      <c r="C914" s="3839" t="s">
        <v>4077</v>
      </c>
      <c r="D914" s="3837" t="str">
        <f t="shared" si="32"/>
        <v>1582</v>
      </c>
      <c r="E914" s="3838" t="s">
        <v>3338</v>
      </c>
      <c r="F914" s="3840">
        <v>34.85</v>
      </c>
    </row>
    <row r="915" spans="1:6">
      <c r="A915" s="3838" t="s">
        <v>3469</v>
      </c>
      <c r="B915" s="3841">
        <v>-1</v>
      </c>
      <c r="C915" s="3839" t="s">
        <v>4078</v>
      </c>
      <c r="D915" s="3837" t="str">
        <f t="shared" si="32"/>
        <v>1583</v>
      </c>
      <c r="E915" s="3838" t="s">
        <v>3338</v>
      </c>
      <c r="F915" s="3840">
        <v>34.85</v>
      </c>
    </row>
    <row r="916" spans="1:6">
      <c r="A916" s="3838" t="s">
        <v>3469</v>
      </c>
      <c r="B916" s="3841">
        <v>-1</v>
      </c>
      <c r="C916" s="3839" t="s">
        <v>4079</v>
      </c>
      <c r="D916" s="3837" t="str">
        <f t="shared" si="32"/>
        <v>1584</v>
      </c>
      <c r="E916" s="3838" t="s">
        <v>3338</v>
      </c>
      <c r="F916" s="3840">
        <v>34.85</v>
      </c>
    </row>
    <row r="917" spans="1:6">
      <c r="A917" s="3838" t="s">
        <v>3469</v>
      </c>
      <c r="B917" s="3841">
        <v>-1</v>
      </c>
      <c r="C917" s="3839" t="s">
        <v>4080</v>
      </c>
      <c r="D917" s="3837" t="str">
        <f t="shared" si="32"/>
        <v>1585</v>
      </c>
      <c r="E917" s="3838" t="s">
        <v>3338</v>
      </c>
      <c r="F917" s="3840">
        <v>34.85</v>
      </c>
    </row>
    <row r="918" spans="1:6">
      <c r="A918" s="3838" t="s">
        <v>3469</v>
      </c>
      <c r="B918" s="3841">
        <v>-1</v>
      </c>
      <c r="C918" s="3839" t="s">
        <v>4081</v>
      </c>
      <c r="D918" s="3837" t="str">
        <f t="shared" si="32"/>
        <v>1586</v>
      </c>
      <c r="E918" s="3838" t="s">
        <v>3338</v>
      </c>
      <c r="F918" s="3840">
        <v>34.85</v>
      </c>
    </row>
    <row r="919" spans="1:6">
      <c r="A919" s="3838" t="s">
        <v>3469</v>
      </c>
      <c r="B919" s="3841">
        <v>-1</v>
      </c>
      <c r="C919" s="3839" t="s">
        <v>4082</v>
      </c>
      <c r="D919" s="3837" t="str">
        <f t="shared" si="32"/>
        <v>1587</v>
      </c>
      <c r="E919" s="3838" t="s">
        <v>3338</v>
      </c>
      <c r="F919" s="3840">
        <v>34.85</v>
      </c>
    </row>
    <row r="920" spans="1:6">
      <c r="A920" s="3838" t="s">
        <v>3469</v>
      </c>
      <c r="B920" s="3841">
        <v>-1</v>
      </c>
      <c r="C920" s="3839" t="s">
        <v>4083</v>
      </c>
      <c r="D920" s="3837" t="str">
        <f t="shared" si="32"/>
        <v>1588</v>
      </c>
      <c r="E920" s="3838" t="s">
        <v>3338</v>
      </c>
      <c r="F920" s="3840">
        <v>34.85</v>
      </c>
    </row>
    <row r="921" spans="1:6">
      <c r="A921" s="3838" t="s">
        <v>3469</v>
      </c>
      <c r="B921" s="3841">
        <v>-1</v>
      </c>
      <c r="C921" s="3839" t="s">
        <v>4084</v>
      </c>
      <c r="D921" s="3837" t="str">
        <f t="shared" si="32"/>
        <v>1589</v>
      </c>
      <c r="E921" s="3838" t="s">
        <v>3338</v>
      </c>
      <c r="F921" s="3840">
        <v>34.85</v>
      </c>
    </row>
    <row r="922" spans="1:6">
      <c r="A922" s="3838" t="s">
        <v>3469</v>
      </c>
      <c r="B922" s="3841">
        <v>-1</v>
      </c>
      <c r="C922" s="3839" t="s">
        <v>4085</v>
      </c>
      <c r="D922" s="3837" t="str">
        <f t="shared" si="32"/>
        <v>1590</v>
      </c>
      <c r="E922" s="3838" t="s">
        <v>3338</v>
      </c>
      <c r="F922" s="3840">
        <v>34.85</v>
      </c>
    </row>
    <row r="923" spans="1:6">
      <c r="A923" s="3838" t="s">
        <v>3469</v>
      </c>
      <c r="B923" s="3841">
        <v>-1</v>
      </c>
      <c r="C923" s="3839" t="s">
        <v>4086</v>
      </c>
      <c r="D923" s="3837" t="str">
        <f t="shared" si="32"/>
        <v>1591</v>
      </c>
      <c r="E923" s="3838" t="s">
        <v>3338</v>
      </c>
      <c r="F923" s="3840">
        <v>34.85</v>
      </c>
    </row>
    <row r="924" spans="1:6">
      <c r="A924" s="3838" t="s">
        <v>3469</v>
      </c>
      <c r="B924" s="3841">
        <v>-1</v>
      </c>
      <c r="C924" s="3839" t="s">
        <v>4087</v>
      </c>
      <c r="D924" s="3837" t="str">
        <f t="shared" si="32"/>
        <v>1592</v>
      </c>
      <c r="E924" s="3838" t="s">
        <v>3338</v>
      </c>
      <c r="F924" s="3840">
        <v>34.85</v>
      </c>
    </row>
    <row r="925" spans="1:6">
      <c r="A925" s="3838" t="s">
        <v>3469</v>
      </c>
      <c r="B925" s="3841">
        <v>-1</v>
      </c>
      <c r="C925" s="3839" t="s">
        <v>4088</v>
      </c>
      <c r="D925" s="3837" t="str">
        <f t="shared" si="32"/>
        <v>1593</v>
      </c>
      <c r="E925" s="3838" t="s">
        <v>3338</v>
      </c>
      <c r="F925" s="3840">
        <v>34.85</v>
      </c>
    </row>
    <row r="926" spans="1:6">
      <c r="A926" s="3838" t="s">
        <v>3469</v>
      </c>
      <c r="B926" s="3841">
        <v>-1</v>
      </c>
      <c r="C926" s="3839" t="s">
        <v>4089</v>
      </c>
      <c r="D926" s="3837" t="str">
        <f t="shared" si="32"/>
        <v>1594</v>
      </c>
      <c r="E926" s="3838" t="s">
        <v>3338</v>
      </c>
      <c r="F926" s="3840">
        <v>34.85</v>
      </c>
    </row>
    <row r="927" spans="1:6">
      <c r="A927" s="3838" t="s">
        <v>3469</v>
      </c>
      <c r="B927" s="3841">
        <v>-1</v>
      </c>
      <c r="C927" s="3839" t="s">
        <v>4090</v>
      </c>
      <c r="D927" s="3837" t="str">
        <f t="shared" si="32"/>
        <v>1595</v>
      </c>
      <c r="E927" s="3838" t="s">
        <v>3338</v>
      </c>
      <c r="F927" s="3840">
        <v>34.85</v>
      </c>
    </row>
    <row r="928" spans="1:6">
      <c r="A928" s="3838" t="s">
        <v>3469</v>
      </c>
      <c r="B928" s="3841">
        <v>-1</v>
      </c>
      <c r="C928" s="3839" t="s">
        <v>4091</v>
      </c>
      <c r="D928" s="3837" t="str">
        <f t="shared" si="32"/>
        <v>1596</v>
      </c>
      <c r="E928" s="3838" t="s">
        <v>3338</v>
      </c>
      <c r="F928" s="3840">
        <v>34.85</v>
      </c>
    </row>
    <row r="929" spans="1:6">
      <c r="A929" s="3838" t="s">
        <v>3469</v>
      </c>
      <c r="B929" s="3841">
        <v>-1</v>
      </c>
      <c r="C929" s="3839" t="s">
        <v>4092</v>
      </c>
      <c r="D929" s="3837" t="str">
        <f t="shared" si="32"/>
        <v>1597</v>
      </c>
      <c r="E929" s="3838" t="s">
        <v>3338</v>
      </c>
      <c r="F929" s="3840">
        <v>34.85</v>
      </c>
    </row>
    <row r="930" spans="1:6">
      <c r="A930" s="3838" t="s">
        <v>3469</v>
      </c>
      <c r="B930" s="3841">
        <v>-1</v>
      </c>
      <c r="C930" s="3839" t="s">
        <v>4093</v>
      </c>
      <c r="D930" s="3837" t="str">
        <f t="shared" si="32"/>
        <v>1598</v>
      </c>
      <c r="E930" s="3838" t="s">
        <v>3338</v>
      </c>
      <c r="F930" s="3840">
        <v>34.85</v>
      </c>
    </row>
    <row r="931" spans="1:6">
      <c r="A931" s="3838" t="s">
        <v>3469</v>
      </c>
      <c r="B931" s="3841">
        <v>-1</v>
      </c>
      <c r="C931" s="3839" t="s">
        <v>4094</v>
      </c>
      <c r="D931" s="3837" t="str">
        <f t="shared" si="32"/>
        <v>1599</v>
      </c>
      <c r="E931" s="3838" t="s">
        <v>3338</v>
      </c>
      <c r="F931" s="3840">
        <v>34.85</v>
      </c>
    </row>
    <row r="932" spans="1:6">
      <c r="A932" s="3838" t="s">
        <v>3469</v>
      </c>
      <c r="B932" s="3841">
        <v>-1</v>
      </c>
      <c r="C932" s="3839" t="s">
        <v>4095</v>
      </c>
      <c r="D932" s="3837" t="str">
        <f t="shared" si="32"/>
        <v>1600</v>
      </c>
      <c r="E932" s="3838" t="s">
        <v>3338</v>
      </c>
      <c r="F932" s="3840">
        <v>34.85</v>
      </c>
    </row>
    <row r="933" spans="1:6">
      <c r="A933" s="3838" t="s">
        <v>3469</v>
      </c>
      <c r="B933" s="3841">
        <v>-1</v>
      </c>
      <c r="C933" s="3839" t="s">
        <v>4096</v>
      </c>
      <c r="D933" s="3837" t="str">
        <f t="shared" si="32"/>
        <v>1601</v>
      </c>
      <c r="E933" s="3838" t="s">
        <v>3338</v>
      </c>
      <c r="F933" s="3840">
        <v>34.85</v>
      </c>
    </row>
    <row r="934" spans="1:6">
      <c r="A934" s="3838" t="s">
        <v>3469</v>
      </c>
      <c r="B934" s="3841">
        <v>-1</v>
      </c>
      <c r="C934" s="3839" t="s">
        <v>4097</v>
      </c>
      <c r="D934" s="3837" t="str">
        <f t="shared" si="32"/>
        <v>1602</v>
      </c>
      <c r="E934" s="3838" t="s">
        <v>3338</v>
      </c>
      <c r="F934" s="3840">
        <v>34.85</v>
      </c>
    </row>
    <row r="935" spans="1:6">
      <c r="A935" s="3838" t="s">
        <v>3469</v>
      </c>
      <c r="B935" s="3841">
        <v>-1</v>
      </c>
      <c r="C935" s="3839" t="s">
        <v>4098</v>
      </c>
      <c r="D935" s="3837" t="str">
        <f t="shared" si="32"/>
        <v>1603</v>
      </c>
      <c r="E935" s="3838" t="s">
        <v>3338</v>
      </c>
      <c r="F935" s="3840">
        <v>34.85</v>
      </c>
    </row>
    <row r="936" spans="1:6">
      <c r="A936" s="3838" t="s">
        <v>3469</v>
      </c>
      <c r="B936" s="3841">
        <v>-1</v>
      </c>
      <c r="C936" s="3839" t="s">
        <v>4099</v>
      </c>
      <c r="D936" s="3837" t="str">
        <f t="shared" si="32"/>
        <v>1604</v>
      </c>
      <c r="E936" s="3838" t="s">
        <v>3338</v>
      </c>
      <c r="F936" s="3840">
        <v>34.85</v>
      </c>
    </row>
    <row r="937" spans="1:6">
      <c r="A937" s="3838" t="s">
        <v>3469</v>
      </c>
      <c r="B937" s="3841">
        <v>-1</v>
      </c>
      <c r="C937" s="3839" t="s">
        <v>4100</v>
      </c>
      <c r="D937" s="3837" t="str">
        <f t="shared" si="32"/>
        <v>1605</v>
      </c>
      <c r="E937" s="3838" t="s">
        <v>3338</v>
      </c>
      <c r="F937" s="3840">
        <v>34.85</v>
      </c>
    </row>
    <row r="938" spans="1:6">
      <c r="A938" s="3838" t="s">
        <v>3469</v>
      </c>
      <c r="B938" s="3841">
        <v>-1</v>
      </c>
      <c r="C938" s="3839" t="s">
        <v>4101</v>
      </c>
      <c r="D938" s="3837" t="str">
        <f t="shared" si="32"/>
        <v>1606</v>
      </c>
      <c r="E938" s="3838" t="s">
        <v>3338</v>
      </c>
      <c r="F938" s="3840">
        <v>34.85</v>
      </c>
    </row>
    <row r="939" spans="1:6">
      <c r="A939" s="3838" t="s">
        <v>3469</v>
      </c>
      <c r="B939" s="3841">
        <v>-1</v>
      </c>
      <c r="C939" s="3839" t="s">
        <v>4102</v>
      </c>
      <c r="D939" s="3837" t="str">
        <f t="shared" si="32"/>
        <v>1607</v>
      </c>
      <c r="E939" s="3838" t="s">
        <v>3338</v>
      </c>
      <c r="F939" s="3840">
        <v>34.85</v>
      </c>
    </row>
    <row r="940" spans="1:6">
      <c r="A940" s="3838" t="s">
        <v>3469</v>
      </c>
      <c r="B940" s="3841">
        <v>-1</v>
      </c>
      <c r="C940" s="3839" t="s">
        <v>4103</v>
      </c>
      <c r="D940" s="3837" t="str">
        <f t="shared" si="32"/>
        <v>1608</v>
      </c>
      <c r="E940" s="3838" t="s">
        <v>3338</v>
      </c>
      <c r="F940" s="3840">
        <v>34.85</v>
      </c>
    </row>
    <row r="941" spans="1:6">
      <c r="A941" s="3838" t="s">
        <v>3469</v>
      </c>
      <c r="B941" s="3841">
        <v>-1</v>
      </c>
      <c r="C941" s="3839" t="s">
        <v>4104</v>
      </c>
      <c r="D941" s="3837" t="str">
        <f t="shared" si="32"/>
        <v>1609</v>
      </c>
      <c r="E941" s="3838" t="s">
        <v>3338</v>
      </c>
      <c r="F941" s="3840">
        <v>34.85</v>
      </c>
    </row>
    <row r="942" spans="1:6">
      <c r="A942" s="3838" t="s">
        <v>3469</v>
      </c>
      <c r="B942" s="3841">
        <v>-1</v>
      </c>
      <c r="C942" s="3839" t="s">
        <v>4105</v>
      </c>
      <c r="D942" s="3837" t="str">
        <f t="shared" si="32"/>
        <v>1610</v>
      </c>
      <c r="E942" s="3838" t="s">
        <v>3338</v>
      </c>
      <c r="F942" s="3840">
        <v>34.85</v>
      </c>
    </row>
    <row r="943" spans="1:6">
      <c r="A943" s="3838" t="s">
        <v>3469</v>
      </c>
      <c r="B943" s="3841">
        <v>-1</v>
      </c>
      <c r="C943" s="3839" t="s">
        <v>4106</v>
      </c>
      <c r="D943" s="3837" t="str">
        <f t="shared" si="32"/>
        <v>1611</v>
      </c>
      <c r="E943" s="3838" t="s">
        <v>3338</v>
      </c>
      <c r="F943" s="3840">
        <v>34.85</v>
      </c>
    </row>
    <row r="944" spans="1:6">
      <c r="A944" s="3838" t="s">
        <v>3469</v>
      </c>
      <c r="B944" s="3841">
        <v>-1</v>
      </c>
      <c r="C944" s="3839" t="s">
        <v>4107</v>
      </c>
      <c r="D944" s="3837" t="str">
        <f t="shared" si="32"/>
        <v>1612</v>
      </c>
      <c r="E944" s="3838" t="s">
        <v>3338</v>
      </c>
      <c r="F944" s="3840">
        <v>34.85</v>
      </c>
    </row>
    <row r="945" spans="1:6">
      <c r="A945" s="3838" t="s">
        <v>3469</v>
      </c>
      <c r="B945" s="3841">
        <v>-1</v>
      </c>
      <c r="C945" s="3839" t="s">
        <v>4108</v>
      </c>
      <c r="D945" s="3837" t="str">
        <f t="shared" si="32"/>
        <v>1613</v>
      </c>
      <c r="E945" s="3838" t="s">
        <v>3338</v>
      </c>
      <c r="F945" s="3840">
        <v>34.85</v>
      </c>
    </row>
    <row r="946" spans="1:6">
      <c r="A946" s="3838" t="s">
        <v>3469</v>
      </c>
      <c r="B946" s="3841">
        <v>-1</v>
      </c>
      <c r="C946" s="3839" t="s">
        <v>4109</v>
      </c>
      <c r="D946" s="3837" t="str">
        <f t="shared" si="32"/>
        <v>1614</v>
      </c>
      <c r="E946" s="3838" t="s">
        <v>3338</v>
      </c>
      <c r="F946" s="3840">
        <v>34.85</v>
      </c>
    </row>
    <row r="947" spans="1:6">
      <c r="A947" s="3838" t="s">
        <v>3469</v>
      </c>
      <c r="B947" s="3841">
        <v>-1</v>
      </c>
      <c r="C947" s="3839" t="s">
        <v>4110</v>
      </c>
      <c r="D947" s="3837" t="str">
        <f t="shared" si="32"/>
        <v>1615</v>
      </c>
      <c r="E947" s="3838" t="s">
        <v>3338</v>
      </c>
      <c r="F947" s="3840">
        <v>34.85</v>
      </c>
    </row>
    <row r="948" spans="1:6">
      <c r="A948" s="3838" t="s">
        <v>3469</v>
      </c>
      <c r="B948" s="3841">
        <v>-1</v>
      </c>
      <c r="C948" s="3839" t="s">
        <v>4111</v>
      </c>
      <c r="D948" s="3837" t="str">
        <f t="shared" si="32"/>
        <v>1616</v>
      </c>
      <c r="E948" s="3838" t="s">
        <v>3338</v>
      </c>
      <c r="F948" s="3840">
        <v>34.85</v>
      </c>
    </row>
    <row r="949" spans="1:6">
      <c r="A949" s="3838" t="s">
        <v>3469</v>
      </c>
      <c r="B949" s="3841">
        <v>-1</v>
      </c>
      <c r="C949" s="3839" t="s">
        <v>4112</v>
      </c>
      <c r="D949" s="3837" t="str">
        <f t="shared" si="32"/>
        <v>1617</v>
      </c>
      <c r="E949" s="3838" t="s">
        <v>3338</v>
      </c>
      <c r="F949" s="3840">
        <v>34.85</v>
      </c>
    </row>
    <row r="950" spans="1:6">
      <c r="A950" s="3838" t="s">
        <v>3469</v>
      </c>
      <c r="B950" s="3841">
        <v>-1</v>
      </c>
      <c r="C950" s="3839" t="s">
        <v>4113</v>
      </c>
      <c r="D950" s="3837" t="str">
        <f t="shared" si="32"/>
        <v>1618</v>
      </c>
      <c r="E950" s="3838" t="s">
        <v>3338</v>
      </c>
      <c r="F950" s="3840">
        <v>34.85</v>
      </c>
    </row>
    <row r="951" spans="1:6">
      <c r="A951" s="3838" t="s">
        <v>3469</v>
      </c>
      <c r="B951" s="3841">
        <v>-1</v>
      </c>
      <c r="C951" s="3839" t="s">
        <v>4114</v>
      </c>
      <c r="D951" s="3837" t="str">
        <f t="shared" si="32"/>
        <v>1619</v>
      </c>
      <c r="E951" s="3838" t="s">
        <v>3338</v>
      </c>
      <c r="F951" s="3840">
        <v>34.85</v>
      </c>
    </row>
    <row r="952" spans="1:6">
      <c r="A952" s="3838" t="s">
        <v>3469</v>
      </c>
      <c r="B952" s="3841">
        <v>-1</v>
      </c>
      <c r="C952" s="3839" t="s">
        <v>4115</v>
      </c>
      <c r="D952" s="3837" t="str">
        <f t="shared" si="32"/>
        <v>1620</v>
      </c>
      <c r="E952" s="3838" t="s">
        <v>3338</v>
      </c>
      <c r="F952" s="3840">
        <v>34.85</v>
      </c>
    </row>
    <row r="953" spans="1:6">
      <c r="A953" s="3838" t="s">
        <v>3469</v>
      </c>
      <c r="B953" s="3841">
        <v>-1</v>
      </c>
      <c r="C953" s="3839" t="s">
        <v>4116</v>
      </c>
      <c r="D953" s="3837" t="str">
        <f t="shared" si="32"/>
        <v>1621</v>
      </c>
      <c r="E953" s="3838" t="s">
        <v>3338</v>
      </c>
      <c r="F953" s="3840">
        <v>34.85</v>
      </c>
    </row>
    <row r="954" spans="1:6">
      <c r="A954" s="3838" t="s">
        <v>3469</v>
      </c>
      <c r="B954" s="3841">
        <v>-1</v>
      </c>
      <c r="C954" s="3839" t="s">
        <v>4117</v>
      </c>
      <c r="D954" s="3837" t="str">
        <f t="shared" si="32"/>
        <v>1622</v>
      </c>
      <c r="E954" s="3838" t="s">
        <v>3338</v>
      </c>
      <c r="F954" s="3840">
        <v>34.85</v>
      </c>
    </row>
    <row r="955" spans="1:6">
      <c r="A955" s="3838" t="s">
        <v>3469</v>
      </c>
      <c r="B955" s="3841">
        <v>-1</v>
      </c>
      <c r="C955" s="3839" t="s">
        <v>4118</v>
      </c>
      <c r="D955" s="3837" t="str">
        <f t="shared" si="32"/>
        <v>1623</v>
      </c>
      <c r="E955" s="3838" t="s">
        <v>3338</v>
      </c>
      <c r="F955" s="3840">
        <v>34.85</v>
      </c>
    </row>
    <row r="956" spans="1:6">
      <c r="A956" s="3838" t="s">
        <v>3469</v>
      </c>
      <c r="B956" s="3841">
        <v>-1</v>
      </c>
      <c r="C956" s="3839" t="s">
        <v>4119</v>
      </c>
      <c r="D956" s="3837" t="str">
        <f t="shared" si="32"/>
        <v>1624</v>
      </c>
      <c r="E956" s="3838" t="s">
        <v>3338</v>
      </c>
      <c r="F956" s="3840">
        <v>34.85</v>
      </c>
    </row>
    <row r="957" spans="1:6">
      <c r="A957" s="3838" t="s">
        <v>3469</v>
      </c>
      <c r="B957" s="3841">
        <v>-1</v>
      </c>
      <c r="C957" s="3839" t="s">
        <v>4120</v>
      </c>
      <c r="D957" s="3837" t="str">
        <f t="shared" si="32"/>
        <v>1625</v>
      </c>
      <c r="E957" s="3838" t="s">
        <v>3338</v>
      </c>
      <c r="F957" s="3840">
        <v>34.85</v>
      </c>
    </row>
    <row r="958" spans="1:6">
      <c r="A958" s="3838" t="s">
        <v>3469</v>
      </c>
      <c r="B958" s="3841">
        <v>-1</v>
      </c>
      <c r="C958" s="3839" t="s">
        <v>4121</v>
      </c>
      <c r="D958" s="3837" t="str">
        <f t="shared" si="32"/>
        <v>1626</v>
      </c>
      <c r="E958" s="3838" t="s">
        <v>3338</v>
      </c>
      <c r="F958" s="3840">
        <v>34.85</v>
      </c>
    </row>
    <row r="959" spans="1:6">
      <c r="A959" s="3838" t="s">
        <v>3469</v>
      </c>
      <c r="B959" s="3841">
        <v>-1</v>
      </c>
      <c r="C959" s="3839" t="s">
        <v>4122</v>
      </c>
      <c r="D959" s="3837" t="str">
        <f t="shared" si="32"/>
        <v>1627</v>
      </c>
      <c r="E959" s="3838" t="s">
        <v>3338</v>
      </c>
      <c r="F959" s="3840">
        <v>34.85</v>
      </c>
    </row>
    <row r="960" spans="1:6">
      <c r="A960" s="3838" t="s">
        <v>3469</v>
      </c>
      <c r="B960" s="3841">
        <v>-1</v>
      </c>
      <c r="C960" s="3839" t="s">
        <v>4123</v>
      </c>
      <c r="D960" s="3837" t="str">
        <f t="shared" si="32"/>
        <v>1628</v>
      </c>
      <c r="E960" s="3838" t="s">
        <v>3338</v>
      </c>
      <c r="F960" s="3840">
        <v>34.85</v>
      </c>
    </row>
    <row r="961" spans="1:6">
      <c r="A961" s="3838" t="s">
        <v>3469</v>
      </c>
      <c r="B961" s="3841">
        <v>-1</v>
      </c>
      <c r="C961" s="3839" t="s">
        <v>4124</v>
      </c>
      <c r="D961" s="3837" t="str">
        <f t="shared" si="32"/>
        <v>1629</v>
      </c>
      <c r="E961" s="3838" t="s">
        <v>3338</v>
      </c>
      <c r="F961" s="3840">
        <v>34.85</v>
      </c>
    </row>
    <row r="962" spans="1:6">
      <c r="A962" s="3838" t="s">
        <v>3469</v>
      </c>
      <c r="B962" s="3841">
        <v>-1</v>
      </c>
      <c r="C962" s="3839" t="s">
        <v>4125</v>
      </c>
      <c r="D962" s="3837" t="str">
        <f t="shared" si="32"/>
        <v>1630</v>
      </c>
      <c r="E962" s="3838" t="s">
        <v>3338</v>
      </c>
      <c r="F962" s="3840">
        <v>34.85</v>
      </c>
    </row>
    <row r="963" spans="1:6">
      <c r="A963" s="3838" t="s">
        <v>3469</v>
      </c>
      <c r="B963" s="3841">
        <v>-1</v>
      </c>
      <c r="C963" s="3839" t="s">
        <v>4126</v>
      </c>
      <c r="D963" s="3837" t="str">
        <f t="shared" si="32"/>
        <v>1631</v>
      </c>
      <c r="E963" s="3838" t="s">
        <v>3338</v>
      </c>
      <c r="F963" s="3840">
        <v>34.85</v>
      </c>
    </row>
    <row r="964" spans="1:6">
      <c r="A964" s="3838" t="s">
        <v>3469</v>
      </c>
      <c r="B964" s="3841">
        <v>-1</v>
      </c>
      <c r="C964" s="3839" t="s">
        <v>4127</v>
      </c>
      <c r="D964" s="3837" t="str">
        <f t="shared" si="32"/>
        <v>1632</v>
      </c>
      <c r="E964" s="3838" t="s">
        <v>3338</v>
      </c>
      <c r="F964" s="3840">
        <v>34.85</v>
      </c>
    </row>
    <row r="965" spans="1:6">
      <c r="A965" s="3838" t="s">
        <v>3469</v>
      </c>
      <c r="B965" s="3841">
        <v>-1</v>
      </c>
      <c r="C965" s="3839" t="s">
        <v>4128</v>
      </c>
      <c r="D965" s="3837" t="str">
        <f t="shared" si="32"/>
        <v>1633</v>
      </c>
      <c r="E965" s="3838" t="s">
        <v>3338</v>
      </c>
      <c r="F965" s="3840">
        <v>34.85</v>
      </c>
    </row>
    <row r="966" spans="1:6">
      <c r="A966" s="3838" t="s">
        <v>3469</v>
      </c>
      <c r="B966" s="3841">
        <v>-1</v>
      </c>
      <c r="C966" s="3839" t="s">
        <v>4129</v>
      </c>
      <c r="D966" s="3837" t="str">
        <f t="shared" si="32"/>
        <v>1634</v>
      </c>
      <c r="E966" s="3838" t="s">
        <v>3338</v>
      </c>
      <c r="F966" s="3840">
        <v>34.85</v>
      </c>
    </row>
    <row r="967" spans="1:6">
      <c r="A967" s="3838" t="s">
        <v>3469</v>
      </c>
      <c r="B967" s="3841">
        <v>-1</v>
      </c>
      <c r="C967" s="3839" t="s">
        <v>4130</v>
      </c>
      <c r="D967" s="3837" t="str">
        <f t="shared" si="32"/>
        <v>1635</v>
      </c>
      <c r="E967" s="3838" t="s">
        <v>3338</v>
      </c>
      <c r="F967" s="3840">
        <v>34.85</v>
      </c>
    </row>
    <row r="968" spans="1:6">
      <c r="A968" s="3838" t="s">
        <v>3469</v>
      </c>
      <c r="B968" s="3841">
        <v>-1</v>
      </c>
      <c r="C968" s="3839" t="s">
        <v>4131</v>
      </c>
      <c r="D968" s="3837" t="str">
        <f t="shared" si="32"/>
        <v>1636</v>
      </c>
      <c r="E968" s="3838" t="s">
        <v>3338</v>
      </c>
      <c r="F968" s="3840">
        <v>34.85</v>
      </c>
    </row>
    <row r="969" spans="1:6">
      <c r="A969" s="3838" t="s">
        <v>3469</v>
      </c>
      <c r="B969" s="3841">
        <v>-1</v>
      </c>
      <c r="C969" s="3839" t="s">
        <v>4132</v>
      </c>
      <c r="D969" s="3837" t="str">
        <f t="shared" si="32"/>
        <v>1637</v>
      </c>
      <c r="E969" s="3838" t="s">
        <v>3338</v>
      </c>
      <c r="F969" s="3840">
        <v>34.85</v>
      </c>
    </row>
    <row r="970" spans="1:6">
      <c r="A970" s="3838" t="s">
        <v>3469</v>
      </c>
      <c r="B970" s="3841">
        <v>-1</v>
      </c>
      <c r="C970" s="3839" t="s">
        <v>4133</v>
      </c>
      <c r="D970" s="3837" t="str">
        <f t="shared" si="32"/>
        <v>1638</v>
      </c>
      <c r="E970" s="3838" t="s">
        <v>3338</v>
      </c>
      <c r="F970" s="3840">
        <v>34.85</v>
      </c>
    </row>
    <row r="971" spans="1:6">
      <c r="A971" s="3838" t="s">
        <v>3469</v>
      </c>
      <c r="B971" s="3841">
        <v>-1</v>
      </c>
      <c r="C971" s="3839" t="s">
        <v>4134</v>
      </c>
      <c r="D971" s="3837" t="str">
        <f t="shared" si="32"/>
        <v>1639</v>
      </c>
      <c r="E971" s="3838" t="s">
        <v>3338</v>
      </c>
      <c r="F971" s="3840">
        <v>34.85</v>
      </c>
    </row>
    <row r="972" spans="1:6">
      <c r="A972" s="3838" t="s">
        <v>3469</v>
      </c>
      <c r="B972" s="3841">
        <v>-1</v>
      </c>
      <c r="C972" s="3839" t="s">
        <v>4135</v>
      </c>
      <c r="D972" s="3837" t="str">
        <f t="shared" si="32"/>
        <v>1640</v>
      </c>
      <c r="E972" s="3838" t="s">
        <v>3338</v>
      </c>
      <c r="F972" s="3840">
        <v>34.85</v>
      </c>
    </row>
    <row r="973" spans="1:6">
      <c r="A973" s="3838" t="s">
        <v>3469</v>
      </c>
      <c r="B973" s="3841">
        <v>-1</v>
      </c>
      <c r="C973" s="3839" t="s">
        <v>4136</v>
      </c>
      <c r="D973" s="3837" t="str">
        <f t="shared" ref="D973:D1036" si="33">""&amp;C973</f>
        <v>1641</v>
      </c>
      <c r="E973" s="3838" t="s">
        <v>3338</v>
      </c>
      <c r="F973" s="3840">
        <v>34.85</v>
      </c>
    </row>
    <row r="974" spans="1:6">
      <c r="A974" s="3838" t="s">
        <v>3469</v>
      </c>
      <c r="B974" s="3841">
        <v>-1</v>
      </c>
      <c r="C974" s="3839" t="s">
        <v>4137</v>
      </c>
      <c r="D974" s="3837" t="str">
        <f t="shared" si="33"/>
        <v>1642</v>
      </c>
      <c r="E974" s="3838" t="s">
        <v>3338</v>
      </c>
      <c r="F974" s="3840">
        <v>34.85</v>
      </c>
    </row>
    <row r="975" spans="1:6">
      <c r="A975" s="3838" t="s">
        <v>3469</v>
      </c>
      <c r="B975" s="3841">
        <v>-1</v>
      </c>
      <c r="C975" s="3839" t="s">
        <v>4138</v>
      </c>
      <c r="D975" s="3837" t="str">
        <f t="shared" si="33"/>
        <v>1643</v>
      </c>
      <c r="E975" s="3838" t="s">
        <v>3338</v>
      </c>
      <c r="F975" s="3840">
        <v>34.85</v>
      </c>
    </row>
    <row r="976" spans="1:6">
      <c r="A976" s="3838" t="s">
        <v>3469</v>
      </c>
      <c r="B976" s="3841">
        <v>-1</v>
      </c>
      <c r="C976" s="3839" t="s">
        <v>4139</v>
      </c>
      <c r="D976" s="3837" t="str">
        <f t="shared" si="33"/>
        <v>1644</v>
      </c>
      <c r="E976" s="3838" t="s">
        <v>3338</v>
      </c>
      <c r="F976" s="3840">
        <v>34.85</v>
      </c>
    </row>
    <row r="977" spans="1:6">
      <c r="A977" s="3838" t="s">
        <v>3469</v>
      </c>
      <c r="B977" s="3841">
        <v>-1</v>
      </c>
      <c r="C977" s="3839" t="s">
        <v>4140</v>
      </c>
      <c r="D977" s="3837" t="str">
        <f t="shared" si="33"/>
        <v>1645</v>
      </c>
      <c r="E977" s="3838" t="s">
        <v>3338</v>
      </c>
      <c r="F977" s="3840">
        <v>34.85</v>
      </c>
    </row>
    <row r="978" spans="1:6">
      <c r="A978" s="3838" t="s">
        <v>3469</v>
      </c>
      <c r="B978" s="3841">
        <v>-1</v>
      </c>
      <c r="C978" s="3839" t="s">
        <v>4141</v>
      </c>
      <c r="D978" s="3837" t="str">
        <f t="shared" si="33"/>
        <v>1646</v>
      </c>
      <c r="E978" s="3838" t="s">
        <v>3338</v>
      </c>
      <c r="F978" s="3840">
        <v>34.85</v>
      </c>
    </row>
    <row r="979" spans="1:6">
      <c r="A979" s="3838" t="s">
        <v>3469</v>
      </c>
      <c r="B979" s="3841">
        <v>-1</v>
      </c>
      <c r="C979" s="3839" t="s">
        <v>4142</v>
      </c>
      <c r="D979" s="3837" t="str">
        <f t="shared" si="33"/>
        <v>1647</v>
      </c>
      <c r="E979" s="3838" t="s">
        <v>3338</v>
      </c>
      <c r="F979" s="3840">
        <v>34.85</v>
      </c>
    </row>
    <row r="980" spans="1:6">
      <c r="A980" s="3838" t="s">
        <v>3469</v>
      </c>
      <c r="B980" s="3841">
        <v>-1</v>
      </c>
      <c r="C980" s="3839" t="s">
        <v>4143</v>
      </c>
      <c r="D980" s="3837" t="str">
        <f t="shared" si="33"/>
        <v>1648</v>
      </c>
      <c r="E980" s="3838" t="s">
        <v>3338</v>
      </c>
      <c r="F980" s="3840">
        <v>34.85</v>
      </c>
    </row>
    <row r="981" spans="1:6">
      <c r="A981" s="3838" t="s">
        <v>3469</v>
      </c>
      <c r="B981" s="3841">
        <v>-1</v>
      </c>
      <c r="C981" s="3839" t="s">
        <v>4144</v>
      </c>
      <c r="D981" s="3837" t="str">
        <f t="shared" si="33"/>
        <v>1649</v>
      </c>
      <c r="E981" s="3838" t="s">
        <v>3338</v>
      </c>
      <c r="F981" s="3840">
        <v>34.85</v>
      </c>
    </row>
    <row r="982" spans="1:6">
      <c r="A982" s="3838" t="s">
        <v>3469</v>
      </c>
      <c r="B982" s="3841">
        <v>-1</v>
      </c>
      <c r="C982" s="3839" t="s">
        <v>4145</v>
      </c>
      <c r="D982" s="3837" t="str">
        <f t="shared" si="33"/>
        <v>1650</v>
      </c>
      <c r="E982" s="3838" t="s">
        <v>3338</v>
      </c>
      <c r="F982" s="3840">
        <v>34.85</v>
      </c>
    </row>
    <row r="983" spans="1:6">
      <c r="A983" s="3838" t="s">
        <v>3469</v>
      </c>
      <c r="B983" s="3841">
        <v>-1</v>
      </c>
      <c r="C983" s="3839" t="s">
        <v>4146</v>
      </c>
      <c r="D983" s="3837" t="str">
        <f t="shared" si="33"/>
        <v>1651</v>
      </c>
      <c r="E983" s="3838" t="s">
        <v>3338</v>
      </c>
      <c r="F983" s="3840">
        <v>34.85</v>
      </c>
    </row>
    <row r="984" spans="1:6">
      <c r="A984" s="3838" t="s">
        <v>3469</v>
      </c>
      <c r="B984" s="3841">
        <v>-1</v>
      </c>
      <c r="C984" s="3839" t="s">
        <v>4147</v>
      </c>
      <c r="D984" s="3837" t="str">
        <f t="shared" si="33"/>
        <v>1652</v>
      </c>
      <c r="E984" s="3838" t="s">
        <v>3338</v>
      </c>
      <c r="F984" s="3840">
        <v>34.85</v>
      </c>
    </row>
    <row r="985" spans="1:6">
      <c r="A985" s="3838" t="s">
        <v>3469</v>
      </c>
      <c r="B985" s="3841">
        <v>-1</v>
      </c>
      <c r="C985" s="3839" t="s">
        <v>4148</v>
      </c>
      <c r="D985" s="3837" t="str">
        <f t="shared" si="33"/>
        <v>1653</v>
      </c>
      <c r="E985" s="3838" t="s">
        <v>3338</v>
      </c>
      <c r="F985" s="3840">
        <v>34.85</v>
      </c>
    </row>
    <row r="986" spans="1:6">
      <c r="A986" s="3838" t="s">
        <v>3469</v>
      </c>
      <c r="B986" s="3841">
        <v>-1</v>
      </c>
      <c r="C986" s="3839" t="s">
        <v>4149</v>
      </c>
      <c r="D986" s="3837" t="str">
        <f t="shared" si="33"/>
        <v>1654</v>
      </c>
      <c r="E986" s="3838" t="s">
        <v>3338</v>
      </c>
      <c r="F986" s="3840">
        <v>34.85</v>
      </c>
    </row>
    <row r="987" spans="1:6">
      <c r="A987" s="3838" t="s">
        <v>3469</v>
      </c>
      <c r="B987" s="3841">
        <v>-1</v>
      </c>
      <c r="C987" s="3839" t="s">
        <v>4150</v>
      </c>
      <c r="D987" s="3837" t="str">
        <f t="shared" si="33"/>
        <v>1655</v>
      </c>
      <c r="E987" s="3838" t="s">
        <v>3338</v>
      </c>
      <c r="F987" s="3840">
        <v>34.85</v>
      </c>
    </row>
    <row r="988" spans="1:6">
      <c r="A988" s="3838" t="s">
        <v>3469</v>
      </c>
      <c r="B988" s="3841">
        <v>-1</v>
      </c>
      <c r="C988" s="3839" t="s">
        <v>4151</v>
      </c>
      <c r="D988" s="3837" t="str">
        <f t="shared" si="33"/>
        <v>1656</v>
      </c>
      <c r="E988" s="3838" t="s">
        <v>3338</v>
      </c>
      <c r="F988" s="3840">
        <v>34.85</v>
      </c>
    </row>
    <row r="989" spans="1:6">
      <c r="A989" s="3838" t="s">
        <v>3469</v>
      </c>
      <c r="B989" s="3841">
        <v>-1</v>
      </c>
      <c r="C989" s="3839" t="s">
        <v>4152</v>
      </c>
      <c r="D989" s="3837" t="str">
        <f t="shared" si="33"/>
        <v>1657</v>
      </c>
      <c r="E989" s="3838" t="s">
        <v>3338</v>
      </c>
      <c r="F989" s="3840">
        <v>34.85</v>
      </c>
    </row>
    <row r="990" spans="1:6">
      <c r="A990" s="3838" t="s">
        <v>3469</v>
      </c>
      <c r="B990" s="3841">
        <v>-1</v>
      </c>
      <c r="C990" s="3839" t="s">
        <v>4153</v>
      </c>
      <c r="D990" s="3837" t="str">
        <f t="shared" si="33"/>
        <v>1658</v>
      </c>
      <c r="E990" s="3838" t="s">
        <v>3338</v>
      </c>
      <c r="F990" s="3840">
        <v>34.85</v>
      </c>
    </row>
    <row r="991" spans="1:6">
      <c r="A991" s="3838" t="s">
        <v>3469</v>
      </c>
      <c r="B991" s="3841">
        <v>-1</v>
      </c>
      <c r="C991" s="3839" t="s">
        <v>4154</v>
      </c>
      <c r="D991" s="3837" t="str">
        <f t="shared" si="33"/>
        <v>1659</v>
      </c>
      <c r="E991" s="3838" t="s">
        <v>3338</v>
      </c>
      <c r="F991" s="3840">
        <v>34.85</v>
      </c>
    </row>
    <row r="992" spans="1:6">
      <c r="A992" s="3838" t="s">
        <v>3469</v>
      </c>
      <c r="B992" s="3841">
        <v>-1</v>
      </c>
      <c r="C992" s="3839" t="s">
        <v>4155</v>
      </c>
      <c r="D992" s="3837" t="str">
        <f t="shared" si="33"/>
        <v>1660</v>
      </c>
      <c r="E992" s="3838" t="s">
        <v>3338</v>
      </c>
      <c r="F992" s="3840">
        <v>34.85</v>
      </c>
    </row>
    <row r="993" spans="1:6">
      <c r="A993" s="3838" t="s">
        <v>3469</v>
      </c>
      <c r="B993" s="3841">
        <v>-1</v>
      </c>
      <c r="C993" s="3839" t="s">
        <v>4156</v>
      </c>
      <c r="D993" s="3837" t="str">
        <f t="shared" si="33"/>
        <v>1661</v>
      </c>
      <c r="E993" s="3838" t="s">
        <v>3338</v>
      </c>
      <c r="F993" s="3840">
        <v>34.85</v>
      </c>
    </row>
    <row r="994" spans="1:6">
      <c r="A994" s="3838" t="s">
        <v>3469</v>
      </c>
      <c r="B994" s="3841">
        <v>-1</v>
      </c>
      <c r="C994" s="3839" t="s">
        <v>4157</v>
      </c>
      <c r="D994" s="3837" t="str">
        <f t="shared" si="33"/>
        <v>1662</v>
      </c>
      <c r="E994" s="3838" t="s">
        <v>3338</v>
      </c>
      <c r="F994" s="3840">
        <v>34.85</v>
      </c>
    </row>
    <row r="995" spans="1:6">
      <c r="A995" s="3838" t="s">
        <v>3469</v>
      </c>
      <c r="B995" s="3841">
        <v>-1</v>
      </c>
      <c r="C995" s="3839" t="s">
        <v>4158</v>
      </c>
      <c r="D995" s="3837" t="str">
        <f t="shared" si="33"/>
        <v>1663</v>
      </c>
      <c r="E995" s="3838" t="s">
        <v>3338</v>
      </c>
      <c r="F995" s="3840">
        <v>24.11</v>
      </c>
    </row>
    <row r="996" spans="1:6">
      <c r="A996" s="3838" t="s">
        <v>3469</v>
      </c>
      <c r="B996" s="3841">
        <v>-2</v>
      </c>
      <c r="C996" s="3839" t="s">
        <v>4159</v>
      </c>
      <c r="D996" s="3837" t="str">
        <f t="shared" si="33"/>
        <v>2001</v>
      </c>
      <c r="E996" s="3838" t="s">
        <v>3338</v>
      </c>
      <c r="F996" s="3840">
        <v>34.85</v>
      </c>
    </row>
    <row r="997" spans="1:6">
      <c r="A997" s="3838" t="s">
        <v>3469</v>
      </c>
      <c r="B997" s="3841">
        <v>-2</v>
      </c>
      <c r="C997" s="3839" t="s">
        <v>4160</v>
      </c>
      <c r="D997" s="3837" t="str">
        <f t="shared" si="33"/>
        <v>2002</v>
      </c>
      <c r="E997" s="3838" t="s">
        <v>3338</v>
      </c>
      <c r="F997" s="3840">
        <v>34.85</v>
      </c>
    </row>
    <row r="998" spans="1:6">
      <c r="A998" s="3838" t="s">
        <v>3469</v>
      </c>
      <c r="B998" s="3841">
        <v>-2</v>
      </c>
      <c r="C998" s="3839" t="s">
        <v>4161</v>
      </c>
      <c r="D998" s="3837" t="str">
        <f t="shared" si="33"/>
        <v>2003</v>
      </c>
      <c r="E998" s="3838" t="s">
        <v>3338</v>
      </c>
      <c r="F998" s="3840">
        <v>34.85</v>
      </c>
    </row>
    <row r="999" spans="1:6">
      <c r="A999" s="3838" t="s">
        <v>3469</v>
      </c>
      <c r="B999" s="3841">
        <v>-2</v>
      </c>
      <c r="C999" s="3839" t="s">
        <v>4162</v>
      </c>
      <c r="D999" s="3837" t="str">
        <f t="shared" si="33"/>
        <v>2004</v>
      </c>
      <c r="E999" s="3838" t="s">
        <v>3338</v>
      </c>
      <c r="F999" s="3840">
        <v>34.85</v>
      </c>
    </row>
    <row r="1000" spans="1:6">
      <c r="A1000" s="3838" t="s">
        <v>3469</v>
      </c>
      <c r="B1000" s="3841">
        <v>-2</v>
      </c>
      <c r="C1000" s="3839" t="s">
        <v>4163</v>
      </c>
      <c r="D1000" s="3837" t="str">
        <f t="shared" si="33"/>
        <v>2005</v>
      </c>
      <c r="E1000" s="3838" t="s">
        <v>3338</v>
      </c>
      <c r="F1000" s="3840">
        <v>34.85</v>
      </c>
    </row>
    <row r="1001" spans="1:6">
      <c r="A1001" s="3838" t="s">
        <v>3469</v>
      </c>
      <c r="B1001" s="3841">
        <v>-2</v>
      </c>
      <c r="C1001" s="3839" t="s">
        <v>4164</v>
      </c>
      <c r="D1001" s="3837" t="str">
        <f t="shared" si="33"/>
        <v>2006</v>
      </c>
      <c r="E1001" s="3838" t="s">
        <v>3338</v>
      </c>
      <c r="F1001" s="3840">
        <v>34.85</v>
      </c>
    </row>
    <row r="1002" spans="1:6">
      <c r="A1002" s="3838" t="s">
        <v>3469</v>
      </c>
      <c r="B1002" s="3841">
        <v>-2</v>
      </c>
      <c r="C1002" s="3839" t="s">
        <v>4165</v>
      </c>
      <c r="D1002" s="3837" t="str">
        <f t="shared" si="33"/>
        <v>2007</v>
      </c>
      <c r="E1002" s="3838" t="s">
        <v>3338</v>
      </c>
      <c r="F1002" s="3840">
        <v>34.85</v>
      </c>
    </row>
    <row r="1003" spans="1:6">
      <c r="A1003" s="3838" t="s">
        <v>3469</v>
      </c>
      <c r="B1003" s="3841">
        <v>-2</v>
      </c>
      <c r="C1003" s="3839" t="s">
        <v>4166</v>
      </c>
      <c r="D1003" s="3837" t="str">
        <f t="shared" si="33"/>
        <v>2008</v>
      </c>
      <c r="E1003" s="3838" t="s">
        <v>3338</v>
      </c>
      <c r="F1003" s="3840">
        <v>34.85</v>
      </c>
    </row>
    <row r="1004" spans="1:6">
      <c r="A1004" s="3838" t="s">
        <v>3469</v>
      </c>
      <c r="B1004" s="3841">
        <v>-2</v>
      </c>
      <c r="C1004" s="3839" t="s">
        <v>4167</v>
      </c>
      <c r="D1004" s="3837" t="str">
        <f t="shared" si="33"/>
        <v>2009</v>
      </c>
      <c r="E1004" s="3838" t="s">
        <v>3338</v>
      </c>
      <c r="F1004" s="3840">
        <v>34.85</v>
      </c>
    </row>
    <row r="1005" spans="1:6">
      <c r="A1005" s="3838" t="s">
        <v>3469</v>
      </c>
      <c r="B1005" s="3841">
        <v>-2</v>
      </c>
      <c r="C1005" s="3839" t="s">
        <v>4168</v>
      </c>
      <c r="D1005" s="3837" t="str">
        <f t="shared" si="33"/>
        <v>2010</v>
      </c>
      <c r="E1005" s="3838" t="s">
        <v>3338</v>
      </c>
      <c r="F1005" s="3840">
        <v>34.85</v>
      </c>
    </row>
    <row r="1006" spans="1:6">
      <c r="A1006" s="3838" t="s">
        <v>3469</v>
      </c>
      <c r="B1006" s="3841">
        <v>-2</v>
      </c>
      <c r="C1006" s="3839" t="s">
        <v>4169</v>
      </c>
      <c r="D1006" s="3837" t="str">
        <f t="shared" si="33"/>
        <v>2011</v>
      </c>
      <c r="E1006" s="3838" t="s">
        <v>3338</v>
      </c>
      <c r="F1006" s="3840">
        <v>34.85</v>
      </c>
    </row>
    <row r="1007" spans="1:6">
      <c r="A1007" s="3838" t="s">
        <v>3469</v>
      </c>
      <c r="B1007" s="3841">
        <v>-2</v>
      </c>
      <c r="C1007" s="3839" t="s">
        <v>4170</v>
      </c>
      <c r="D1007" s="3837" t="str">
        <f t="shared" si="33"/>
        <v>2012</v>
      </c>
      <c r="E1007" s="3838" t="s">
        <v>3338</v>
      </c>
      <c r="F1007" s="3840">
        <v>34.85</v>
      </c>
    </row>
    <row r="1008" spans="1:6">
      <c r="A1008" s="3838" t="s">
        <v>3469</v>
      </c>
      <c r="B1008" s="3841">
        <v>-2</v>
      </c>
      <c r="C1008" s="3839" t="s">
        <v>4171</v>
      </c>
      <c r="D1008" s="3837" t="str">
        <f t="shared" si="33"/>
        <v>2013</v>
      </c>
      <c r="E1008" s="3838" t="s">
        <v>3338</v>
      </c>
      <c r="F1008" s="3840">
        <v>34.85</v>
      </c>
    </row>
    <row r="1009" spans="1:6">
      <c r="A1009" s="3838" t="s">
        <v>3469</v>
      </c>
      <c r="B1009" s="3841">
        <v>-2</v>
      </c>
      <c r="C1009" s="3839" t="s">
        <v>4172</v>
      </c>
      <c r="D1009" s="3837" t="str">
        <f t="shared" si="33"/>
        <v>2014</v>
      </c>
      <c r="E1009" s="3838" t="s">
        <v>3338</v>
      </c>
      <c r="F1009" s="3840">
        <v>34.85</v>
      </c>
    </row>
    <row r="1010" spans="1:6">
      <c r="A1010" s="3838" t="s">
        <v>3469</v>
      </c>
      <c r="B1010" s="3841">
        <v>-2</v>
      </c>
      <c r="C1010" s="3839" t="s">
        <v>4173</v>
      </c>
      <c r="D1010" s="3837" t="str">
        <f t="shared" si="33"/>
        <v>2015</v>
      </c>
      <c r="E1010" s="3838" t="s">
        <v>3338</v>
      </c>
      <c r="F1010" s="3840">
        <v>34.85</v>
      </c>
    </row>
    <row r="1011" spans="1:6">
      <c r="A1011" s="3838" t="s">
        <v>3469</v>
      </c>
      <c r="B1011" s="3841">
        <v>-2</v>
      </c>
      <c r="C1011" s="3839" t="s">
        <v>4174</v>
      </c>
      <c r="D1011" s="3837" t="str">
        <f t="shared" si="33"/>
        <v>2016</v>
      </c>
      <c r="E1011" s="3838" t="s">
        <v>3338</v>
      </c>
      <c r="F1011" s="3840">
        <v>34.85</v>
      </c>
    </row>
    <row r="1012" spans="1:6">
      <c r="A1012" s="3838" t="s">
        <v>3469</v>
      </c>
      <c r="B1012" s="3841">
        <v>-2</v>
      </c>
      <c r="C1012" s="3839" t="s">
        <v>4175</v>
      </c>
      <c r="D1012" s="3837" t="str">
        <f t="shared" si="33"/>
        <v>2017</v>
      </c>
      <c r="E1012" s="3838" t="s">
        <v>3338</v>
      </c>
      <c r="F1012" s="3840">
        <v>34.85</v>
      </c>
    </row>
    <row r="1013" spans="1:6">
      <c r="A1013" s="3838" t="s">
        <v>3469</v>
      </c>
      <c r="B1013" s="3841">
        <v>-2</v>
      </c>
      <c r="C1013" s="3839" t="s">
        <v>4176</v>
      </c>
      <c r="D1013" s="3837" t="str">
        <f t="shared" si="33"/>
        <v>2018</v>
      </c>
      <c r="E1013" s="3838" t="s">
        <v>3338</v>
      </c>
      <c r="F1013" s="3840">
        <v>34.85</v>
      </c>
    </row>
    <row r="1014" spans="1:6">
      <c r="A1014" s="3838" t="s">
        <v>3469</v>
      </c>
      <c r="B1014" s="3841">
        <v>-2</v>
      </c>
      <c r="C1014" s="3839" t="s">
        <v>4177</v>
      </c>
      <c r="D1014" s="3837" t="str">
        <f t="shared" si="33"/>
        <v>2019</v>
      </c>
      <c r="E1014" s="3838" t="s">
        <v>3338</v>
      </c>
      <c r="F1014" s="3840">
        <v>34.85</v>
      </c>
    </row>
    <row r="1015" spans="1:6">
      <c r="A1015" s="3838" t="s">
        <v>3469</v>
      </c>
      <c r="B1015" s="3841">
        <v>-2</v>
      </c>
      <c r="C1015" s="3839" t="s">
        <v>4178</v>
      </c>
      <c r="D1015" s="3837" t="str">
        <f t="shared" si="33"/>
        <v>2020</v>
      </c>
      <c r="E1015" s="3838" t="s">
        <v>3338</v>
      </c>
      <c r="F1015" s="3840">
        <v>34.85</v>
      </c>
    </row>
    <row r="1016" spans="1:6">
      <c r="A1016" s="3838" t="s">
        <v>3469</v>
      </c>
      <c r="B1016" s="3841">
        <v>-2</v>
      </c>
      <c r="C1016" s="3839" t="s">
        <v>4179</v>
      </c>
      <c r="D1016" s="3837" t="str">
        <f t="shared" si="33"/>
        <v>2021</v>
      </c>
      <c r="E1016" s="3838" t="s">
        <v>3338</v>
      </c>
      <c r="F1016" s="3840">
        <v>34.85</v>
      </c>
    </row>
    <row r="1017" spans="1:6">
      <c r="A1017" s="3838" t="s">
        <v>3469</v>
      </c>
      <c r="B1017" s="3841">
        <v>-2</v>
      </c>
      <c r="C1017" s="3839" t="s">
        <v>4180</v>
      </c>
      <c r="D1017" s="3837" t="str">
        <f t="shared" si="33"/>
        <v>2022</v>
      </c>
      <c r="E1017" s="3838" t="s">
        <v>3338</v>
      </c>
      <c r="F1017" s="3840">
        <v>34.85</v>
      </c>
    </row>
    <row r="1018" spans="1:6">
      <c r="A1018" s="3838" t="s">
        <v>3469</v>
      </c>
      <c r="B1018" s="3841">
        <v>-2</v>
      </c>
      <c r="C1018" s="3839" t="s">
        <v>4181</v>
      </c>
      <c r="D1018" s="3837" t="str">
        <f t="shared" si="33"/>
        <v>2023</v>
      </c>
      <c r="E1018" s="3838" t="s">
        <v>3338</v>
      </c>
      <c r="F1018" s="3840">
        <v>34.85</v>
      </c>
    </row>
    <row r="1019" spans="1:6">
      <c r="A1019" s="3838" t="s">
        <v>3469</v>
      </c>
      <c r="B1019" s="3841">
        <v>-2</v>
      </c>
      <c r="C1019" s="3839" t="s">
        <v>4182</v>
      </c>
      <c r="D1019" s="3837" t="str">
        <f t="shared" si="33"/>
        <v>2024</v>
      </c>
      <c r="E1019" s="3838" t="s">
        <v>3338</v>
      </c>
      <c r="F1019" s="3840">
        <v>34.85</v>
      </c>
    </row>
    <row r="1020" spans="1:6">
      <c r="A1020" s="3838" t="s">
        <v>3469</v>
      </c>
      <c r="B1020" s="3841">
        <v>-2</v>
      </c>
      <c r="C1020" s="3839" t="s">
        <v>4183</v>
      </c>
      <c r="D1020" s="3837" t="str">
        <f t="shared" si="33"/>
        <v>2025</v>
      </c>
      <c r="E1020" s="3838" t="s">
        <v>3338</v>
      </c>
      <c r="F1020" s="3840">
        <v>34.85</v>
      </c>
    </row>
    <row r="1021" spans="1:6">
      <c r="A1021" s="3838" t="s">
        <v>3469</v>
      </c>
      <c r="B1021" s="3841">
        <v>-2</v>
      </c>
      <c r="C1021" s="3839" t="s">
        <v>4184</v>
      </c>
      <c r="D1021" s="3837" t="str">
        <f t="shared" si="33"/>
        <v>2026</v>
      </c>
      <c r="E1021" s="3838" t="s">
        <v>3338</v>
      </c>
      <c r="F1021" s="3840">
        <v>34.85</v>
      </c>
    </row>
    <row r="1022" spans="1:6">
      <c r="A1022" s="3838" t="s">
        <v>3469</v>
      </c>
      <c r="B1022" s="3841">
        <v>-2</v>
      </c>
      <c r="C1022" s="3839" t="s">
        <v>4185</v>
      </c>
      <c r="D1022" s="3837" t="str">
        <f t="shared" si="33"/>
        <v>2027</v>
      </c>
      <c r="E1022" s="3838" t="s">
        <v>3338</v>
      </c>
      <c r="F1022" s="3840">
        <v>34.85</v>
      </c>
    </row>
    <row r="1023" spans="1:6">
      <c r="A1023" s="3838" t="s">
        <v>3469</v>
      </c>
      <c r="B1023" s="3841">
        <v>-2</v>
      </c>
      <c r="C1023" s="3839" t="s">
        <v>4186</v>
      </c>
      <c r="D1023" s="3837" t="str">
        <f t="shared" si="33"/>
        <v>2028</v>
      </c>
      <c r="E1023" s="3838" t="s">
        <v>3338</v>
      </c>
      <c r="F1023" s="3840">
        <v>34.85</v>
      </c>
    </row>
    <row r="1024" spans="1:6">
      <c r="A1024" s="3838" t="s">
        <v>3469</v>
      </c>
      <c r="B1024" s="3841">
        <v>-2</v>
      </c>
      <c r="C1024" s="3839" t="s">
        <v>4187</v>
      </c>
      <c r="D1024" s="3837" t="str">
        <f t="shared" si="33"/>
        <v>2029</v>
      </c>
      <c r="E1024" s="3838" t="s">
        <v>3338</v>
      </c>
      <c r="F1024" s="3840">
        <v>34.85</v>
      </c>
    </row>
    <row r="1025" spans="1:6">
      <c r="A1025" s="3838" t="s">
        <v>3469</v>
      </c>
      <c r="B1025" s="3841">
        <v>-2</v>
      </c>
      <c r="C1025" s="3839" t="s">
        <v>4188</v>
      </c>
      <c r="D1025" s="3837" t="str">
        <f t="shared" si="33"/>
        <v>2030</v>
      </c>
      <c r="E1025" s="3838" t="s">
        <v>3338</v>
      </c>
      <c r="F1025" s="3840">
        <v>34.85</v>
      </c>
    </row>
    <row r="1026" spans="1:6">
      <c r="A1026" s="3838" t="s">
        <v>3469</v>
      </c>
      <c r="B1026" s="3841">
        <v>-2</v>
      </c>
      <c r="C1026" s="3839" t="s">
        <v>4189</v>
      </c>
      <c r="D1026" s="3837" t="str">
        <f t="shared" si="33"/>
        <v>2031</v>
      </c>
      <c r="E1026" s="3838" t="s">
        <v>3338</v>
      </c>
      <c r="F1026" s="3840">
        <v>34.85</v>
      </c>
    </row>
    <row r="1027" spans="1:6">
      <c r="A1027" s="3838" t="s">
        <v>3469</v>
      </c>
      <c r="B1027" s="3841">
        <v>-2</v>
      </c>
      <c r="C1027" s="3839" t="s">
        <v>4190</v>
      </c>
      <c r="D1027" s="3837" t="str">
        <f t="shared" si="33"/>
        <v>2032</v>
      </c>
      <c r="E1027" s="3838" t="s">
        <v>3338</v>
      </c>
      <c r="F1027" s="3840">
        <v>34.85</v>
      </c>
    </row>
    <row r="1028" spans="1:6">
      <c r="A1028" s="3838" t="s">
        <v>3469</v>
      </c>
      <c r="B1028" s="3841">
        <v>-2</v>
      </c>
      <c r="C1028" s="3839" t="s">
        <v>4191</v>
      </c>
      <c r="D1028" s="3837" t="str">
        <f t="shared" si="33"/>
        <v>2033</v>
      </c>
      <c r="E1028" s="3838" t="s">
        <v>3338</v>
      </c>
      <c r="F1028" s="3840">
        <v>34.85</v>
      </c>
    </row>
    <row r="1029" spans="1:6">
      <c r="A1029" s="3838" t="s">
        <v>3469</v>
      </c>
      <c r="B1029" s="3841">
        <v>-2</v>
      </c>
      <c r="C1029" s="3839" t="s">
        <v>4192</v>
      </c>
      <c r="D1029" s="3837" t="str">
        <f t="shared" si="33"/>
        <v>2034</v>
      </c>
      <c r="E1029" s="3838" t="s">
        <v>3338</v>
      </c>
      <c r="F1029" s="3840">
        <v>34.85</v>
      </c>
    </row>
    <row r="1030" spans="1:6">
      <c r="A1030" s="3838" t="s">
        <v>3469</v>
      </c>
      <c r="B1030" s="3841">
        <v>-2</v>
      </c>
      <c r="C1030" s="3839" t="s">
        <v>4193</v>
      </c>
      <c r="D1030" s="3837" t="str">
        <f t="shared" si="33"/>
        <v>2035</v>
      </c>
      <c r="E1030" s="3838" t="s">
        <v>3338</v>
      </c>
      <c r="F1030" s="3840">
        <v>34.85</v>
      </c>
    </row>
    <row r="1031" spans="1:6">
      <c r="A1031" s="3838" t="s">
        <v>3469</v>
      </c>
      <c r="B1031" s="3841">
        <v>-2</v>
      </c>
      <c r="C1031" s="3839" t="s">
        <v>4194</v>
      </c>
      <c r="D1031" s="3837" t="str">
        <f t="shared" si="33"/>
        <v>2036</v>
      </c>
      <c r="E1031" s="3838" t="s">
        <v>3338</v>
      </c>
      <c r="F1031" s="3840">
        <v>34.85</v>
      </c>
    </row>
    <row r="1032" spans="1:6">
      <c r="A1032" s="3838" t="s">
        <v>3469</v>
      </c>
      <c r="B1032" s="3841">
        <v>-2</v>
      </c>
      <c r="C1032" s="3839" t="s">
        <v>4195</v>
      </c>
      <c r="D1032" s="3837" t="str">
        <f t="shared" si="33"/>
        <v>2037</v>
      </c>
      <c r="E1032" s="3838" t="s">
        <v>3338</v>
      </c>
      <c r="F1032" s="3840">
        <v>34.85</v>
      </c>
    </row>
    <row r="1033" spans="1:6">
      <c r="A1033" s="3838" t="s">
        <v>3469</v>
      </c>
      <c r="B1033" s="3841">
        <v>-2</v>
      </c>
      <c r="C1033" s="3839" t="s">
        <v>4196</v>
      </c>
      <c r="D1033" s="3837" t="str">
        <f t="shared" si="33"/>
        <v>2038</v>
      </c>
      <c r="E1033" s="3838" t="s">
        <v>3338</v>
      </c>
      <c r="F1033" s="3840">
        <v>34.85</v>
      </c>
    </row>
    <row r="1034" spans="1:6">
      <c r="A1034" s="3838" t="s">
        <v>3469</v>
      </c>
      <c r="B1034" s="3841">
        <v>-2</v>
      </c>
      <c r="C1034" s="3839" t="s">
        <v>4197</v>
      </c>
      <c r="D1034" s="3837" t="str">
        <f t="shared" si="33"/>
        <v>2039</v>
      </c>
      <c r="E1034" s="3838" t="s">
        <v>3338</v>
      </c>
      <c r="F1034" s="3840">
        <v>34.85</v>
      </c>
    </row>
    <row r="1035" spans="1:6">
      <c r="A1035" s="3838" t="s">
        <v>3469</v>
      </c>
      <c r="B1035" s="3841">
        <v>-2</v>
      </c>
      <c r="C1035" s="3839" t="s">
        <v>4198</v>
      </c>
      <c r="D1035" s="3837" t="str">
        <f t="shared" si="33"/>
        <v>2040</v>
      </c>
      <c r="E1035" s="3838" t="s">
        <v>3338</v>
      </c>
      <c r="F1035" s="3840">
        <v>34.85</v>
      </c>
    </row>
    <row r="1036" spans="1:6">
      <c r="A1036" s="3838" t="s">
        <v>3469</v>
      </c>
      <c r="B1036" s="3841">
        <v>-2</v>
      </c>
      <c r="C1036" s="3839" t="s">
        <v>4199</v>
      </c>
      <c r="D1036" s="3837" t="str">
        <f t="shared" si="33"/>
        <v>2041</v>
      </c>
      <c r="E1036" s="3838" t="s">
        <v>3338</v>
      </c>
      <c r="F1036" s="3840">
        <v>34.85</v>
      </c>
    </row>
    <row r="1037" spans="1:6">
      <c r="A1037" s="3838" t="s">
        <v>3469</v>
      </c>
      <c r="B1037" s="3841">
        <v>-2</v>
      </c>
      <c r="C1037" s="3839" t="s">
        <v>4200</v>
      </c>
      <c r="D1037" s="3837" t="str">
        <f t="shared" ref="D1037:D1100" si="34">""&amp;C1037</f>
        <v>2042</v>
      </c>
      <c r="E1037" s="3838" t="s">
        <v>3338</v>
      </c>
      <c r="F1037" s="3840">
        <v>34.85</v>
      </c>
    </row>
    <row r="1038" spans="1:6">
      <c r="A1038" s="3838" t="s">
        <v>3469</v>
      </c>
      <c r="B1038" s="3841">
        <v>-2</v>
      </c>
      <c r="C1038" s="3839" t="s">
        <v>4201</v>
      </c>
      <c r="D1038" s="3837" t="str">
        <f t="shared" si="34"/>
        <v>2043</v>
      </c>
      <c r="E1038" s="3838" t="s">
        <v>3338</v>
      </c>
      <c r="F1038" s="3840">
        <v>34.85</v>
      </c>
    </row>
    <row r="1039" spans="1:6">
      <c r="A1039" s="3838" t="s">
        <v>3469</v>
      </c>
      <c r="B1039" s="3841">
        <v>-2</v>
      </c>
      <c r="C1039" s="3839" t="s">
        <v>4202</v>
      </c>
      <c r="D1039" s="3837" t="str">
        <f t="shared" si="34"/>
        <v>2044</v>
      </c>
      <c r="E1039" s="3838" t="s">
        <v>3338</v>
      </c>
      <c r="F1039" s="3840">
        <v>34.85</v>
      </c>
    </row>
    <row r="1040" spans="1:6">
      <c r="A1040" s="3838" t="s">
        <v>3469</v>
      </c>
      <c r="B1040" s="3841">
        <v>-2</v>
      </c>
      <c r="C1040" s="3839" t="s">
        <v>4203</v>
      </c>
      <c r="D1040" s="3837" t="str">
        <f t="shared" si="34"/>
        <v>2045</v>
      </c>
      <c r="E1040" s="3838" t="s">
        <v>3338</v>
      </c>
      <c r="F1040" s="3840">
        <v>34.85</v>
      </c>
    </row>
    <row r="1041" spans="1:6">
      <c r="A1041" s="3838" t="s">
        <v>3469</v>
      </c>
      <c r="B1041" s="3841">
        <v>-2</v>
      </c>
      <c r="C1041" s="3839" t="s">
        <v>4204</v>
      </c>
      <c r="D1041" s="3837" t="str">
        <f t="shared" si="34"/>
        <v>2046</v>
      </c>
      <c r="E1041" s="3838" t="s">
        <v>3338</v>
      </c>
      <c r="F1041" s="3840">
        <v>34.85</v>
      </c>
    </row>
    <row r="1042" spans="1:6">
      <c r="A1042" s="3838" t="s">
        <v>3469</v>
      </c>
      <c r="B1042" s="3841">
        <v>-2</v>
      </c>
      <c r="C1042" s="3839" t="s">
        <v>4205</v>
      </c>
      <c r="D1042" s="3837" t="str">
        <f t="shared" si="34"/>
        <v>2047</v>
      </c>
      <c r="E1042" s="3838" t="s">
        <v>3338</v>
      </c>
      <c r="F1042" s="3840">
        <v>34.85</v>
      </c>
    </row>
    <row r="1043" spans="1:6">
      <c r="A1043" s="3838" t="s">
        <v>3469</v>
      </c>
      <c r="B1043" s="3841">
        <v>-2</v>
      </c>
      <c r="C1043" s="3839" t="s">
        <v>4206</v>
      </c>
      <c r="D1043" s="3837" t="str">
        <f t="shared" si="34"/>
        <v>2048</v>
      </c>
      <c r="E1043" s="3838" t="s">
        <v>3338</v>
      </c>
      <c r="F1043" s="3840">
        <v>34.85</v>
      </c>
    </row>
    <row r="1044" spans="1:6">
      <c r="A1044" s="3838" t="s">
        <v>3469</v>
      </c>
      <c r="B1044" s="3841">
        <v>-2</v>
      </c>
      <c r="C1044" s="3839" t="s">
        <v>4207</v>
      </c>
      <c r="D1044" s="3837" t="str">
        <f t="shared" si="34"/>
        <v>2049</v>
      </c>
      <c r="E1044" s="3838" t="s">
        <v>3338</v>
      </c>
      <c r="F1044" s="3840">
        <v>34.85</v>
      </c>
    </row>
    <row r="1045" spans="1:6">
      <c r="A1045" s="3838" t="s">
        <v>3469</v>
      </c>
      <c r="B1045" s="3841">
        <v>-2</v>
      </c>
      <c r="C1045" s="3839" t="s">
        <v>4208</v>
      </c>
      <c r="D1045" s="3837" t="str">
        <f t="shared" si="34"/>
        <v>2050</v>
      </c>
      <c r="E1045" s="3838" t="s">
        <v>3338</v>
      </c>
      <c r="F1045" s="3840">
        <v>34.85</v>
      </c>
    </row>
    <row r="1046" spans="1:6">
      <c r="A1046" s="3838" t="s">
        <v>3469</v>
      </c>
      <c r="B1046" s="3841">
        <v>-2</v>
      </c>
      <c r="C1046" s="3839" t="s">
        <v>4209</v>
      </c>
      <c r="D1046" s="3837" t="str">
        <f t="shared" si="34"/>
        <v>2051</v>
      </c>
      <c r="E1046" s="3838" t="s">
        <v>3338</v>
      </c>
      <c r="F1046" s="3840">
        <v>34.85</v>
      </c>
    </row>
    <row r="1047" spans="1:6">
      <c r="A1047" s="3838" t="s">
        <v>3469</v>
      </c>
      <c r="B1047" s="3841">
        <v>-2</v>
      </c>
      <c r="C1047" s="3839" t="s">
        <v>4210</v>
      </c>
      <c r="D1047" s="3837" t="str">
        <f t="shared" si="34"/>
        <v>2052</v>
      </c>
      <c r="E1047" s="3838" t="s">
        <v>3338</v>
      </c>
      <c r="F1047" s="3840">
        <v>34.85</v>
      </c>
    </row>
    <row r="1048" spans="1:6">
      <c r="A1048" s="3838" t="s">
        <v>3469</v>
      </c>
      <c r="B1048" s="3841">
        <v>-2</v>
      </c>
      <c r="C1048" s="3839" t="s">
        <v>4211</v>
      </c>
      <c r="D1048" s="3837" t="str">
        <f t="shared" si="34"/>
        <v>2053</v>
      </c>
      <c r="E1048" s="3838" t="s">
        <v>3338</v>
      </c>
      <c r="F1048" s="3840">
        <v>34.85</v>
      </c>
    </row>
    <row r="1049" spans="1:6">
      <c r="A1049" s="3838" t="s">
        <v>3469</v>
      </c>
      <c r="B1049" s="3841">
        <v>-2</v>
      </c>
      <c r="C1049" s="3839" t="s">
        <v>4212</v>
      </c>
      <c r="D1049" s="3837" t="str">
        <f t="shared" si="34"/>
        <v>2054</v>
      </c>
      <c r="E1049" s="3838" t="s">
        <v>3338</v>
      </c>
      <c r="F1049" s="3840">
        <v>34.85</v>
      </c>
    </row>
    <row r="1050" spans="1:6">
      <c r="A1050" s="3838" t="s">
        <v>3469</v>
      </c>
      <c r="B1050" s="3841">
        <v>-2</v>
      </c>
      <c r="C1050" s="3839" t="s">
        <v>4213</v>
      </c>
      <c r="D1050" s="3837" t="str">
        <f t="shared" si="34"/>
        <v>2055</v>
      </c>
      <c r="E1050" s="3838" t="s">
        <v>3338</v>
      </c>
      <c r="F1050" s="3840">
        <v>34.85</v>
      </c>
    </row>
    <row r="1051" spans="1:6">
      <c r="A1051" s="3838" t="s">
        <v>3469</v>
      </c>
      <c r="B1051" s="3841">
        <v>-2</v>
      </c>
      <c r="C1051" s="3839" t="s">
        <v>4214</v>
      </c>
      <c r="D1051" s="3837" t="str">
        <f t="shared" si="34"/>
        <v>2056</v>
      </c>
      <c r="E1051" s="3838" t="s">
        <v>3338</v>
      </c>
      <c r="F1051" s="3840">
        <v>34.85</v>
      </c>
    </row>
    <row r="1052" spans="1:6">
      <c r="A1052" s="3838" t="s">
        <v>3469</v>
      </c>
      <c r="B1052" s="3841">
        <v>-2</v>
      </c>
      <c r="C1052" s="3839" t="s">
        <v>4215</v>
      </c>
      <c r="D1052" s="3837" t="str">
        <f t="shared" si="34"/>
        <v>2057</v>
      </c>
      <c r="E1052" s="3838" t="s">
        <v>3338</v>
      </c>
      <c r="F1052" s="3840">
        <v>34.85</v>
      </c>
    </row>
    <row r="1053" spans="1:6">
      <c r="A1053" s="3838" t="s">
        <v>3469</v>
      </c>
      <c r="B1053" s="3841">
        <v>-2</v>
      </c>
      <c r="C1053" s="3839" t="s">
        <v>4216</v>
      </c>
      <c r="D1053" s="3837" t="str">
        <f t="shared" si="34"/>
        <v>2058</v>
      </c>
      <c r="E1053" s="3838" t="s">
        <v>3338</v>
      </c>
      <c r="F1053" s="3840">
        <v>34.85</v>
      </c>
    </row>
    <row r="1054" spans="1:6">
      <c r="A1054" s="3838" t="s">
        <v>3469</v>
      </c>
      <c r="B1054" s="3841">
        <v>-2</v>
      </c>
      <c r="C1054" s="3839" t="s">
        <v>4217</v>
      </c>
      <c r="D1054" s="3837" t="str">
        <f t="shared" si="34"/>
        <v>2059</v>
      </c>
      <c r="E1054" s="3838" t="s">
        <v>3338</v>
      </c>
      <c r="F1054" s="3840">
        <v>34.85</v>
      </c>
    </row>
    <row r="1055" spans="1:6">
      <c r="A1055" s="3838" t="s">
        <v>3469</v>
      </c>
      <c r="B1055" s="3841">
        <v>-2</v>
      </c>
      <c r="C1055" s="3839" t="s">
        <v>4218</v>
      </c>
      <c r="D1055" s="3837" t="str">
        <f t="shared" si="34"/>
        <v>2060</v>
      </c>
      <c r="E1055" s="3838" t="s">
        <v>3338</v>
      </c>
      <c r="F1055" s="3840">
        <v>34.85</v>
      </c>
    </row>
    <row r="1056" spans="1:6">
      <c r="A1056" s="3838" t="s">
        <v>3469</v>
      </c>
      <c r="B1056" s="3841">
        <v>-2</v>
      </c>
      <c r="C1056" s="3839" t="s">
        <v>4219</v>
      </c>
      <c r="D1056" s="3837" t="str">
        <f t="shared" si="34"/>
        <v>2061</v>
      </c>
      <c r="E1056" s="3838" t="s">
        <v>3338</v>
      </c>
      <c r="F1056" s="3840">
        <v>34.85</v>
      </c>
    </row>
    <row r="1057" spans="1:6">
      <c r="A1057" s="3838" t="s">
        <v>3469</v>
      </c>
      <c r="B1057" s="3841">
        <v>-2</v>
      </c>
      <c r="C1057" s="3839" t="s">
        <v>4220</v>
      </c>
      <c r="D1057" s="3837" t="str">
        <f t="shared" si="34"/>
        <v>2062</v>
      </c>
      <c r="E1057" s="3838" t="s">
        <v>3338</v>
      </c>
      <c r="F1057" s="3840">
        <v>34.85</v>
      </c>
    </row>
    <row r="1058" spans="1:6">
      <c r="A1058" s="3838" t="s">
        <v>3469</v>
      </c>
      <c r="B1058" s="3841">
        <v>-2</v>
      </c>
      <c r="C1058" s="3839" t="s">
        <v>4221</v>
      </c>
      <c r="D1058" s="3837" t="str">
        <f t="shared" si="34"/>
        <v>2063</v>
      </c>
      <c r="E1058" s="3838" t="s">
        <v>3338</v>
      </c>
      <c r="F1058" s="3840">
        <v>34.85</v>
      </c>
    </row>
    <row r="1059" spans="1:6">
      <c r="A1059" s="3838" t="s">
        <v>3469</v>
      </c>
      <c r="B1059" s="3841">
        <v>-2</v>
      </c>
      <c r="C1059" s="3839" t="s">
        <v>4222</v>
      </c>
      <c r="D1059" s="3837" t="str">
        <f t="shared" si="34"/>
        <v>2064</v>
      </c>
      <c r="E1059" s="3838" t="s">
        <v>3338</v>
      </c>
      <c r="F1059" s="3840">
        <v>34.85</v>
      </c>
    </row>
    <row r="1060" spans="1:6">
      <c r="A1060" s="3838" t="s">
        <v>3469</v>
      </c>
      <c r="B1060" s="3841">
        <v>-2</v>
      </c>
      <c r="C1060" s="3839" t="s">
        <v>4223</v>
      </c>
      <c r="D1060" s="3837" t="str">
        <f t="shared" si="34"/>
        <v>2065</v>
      </c>
      <c r="E1060" s="3838" t="s">
        <v>3338</v>
      </c>
      <c r="F1060" s="3840">
        <v>34.85</v>
      </c>
    </row>
    <row r="1061" spans="1:6">
      <c r="A1061" s="3838" t="s">
        <v>3469</v>
      </c>
      <c r="B1061" s="3841">
        <v>-2</v>
      </c>
      <c r="C1061" s="3839" t="s">
        <v>4224</v>
      </c>
      <c r="D1061" s="3837" t="str">
        <f t="shared" si="34"/>
        <v>2066</v>
      </c>
      <c r="E1061" s="3838" t="s">
        <v>3338</v>
      </c>
      <c r="F1061" s="3840">
        <v>34.85</v>
      </c>
    </row>
    <row r="1062" spans="1:6">
      <c r="A1062" s="3838" t="s">
        <v>3469</v>
      </c>
      <c r="B1062" s="3841">
        <v>-2</v>
      </c>
      <c r="C1062" s="3839" t="s">
        <v>4225</v>
      </c>
      <c r="D1062" s="3837" t="str">
        <f t="shared" si="34"/>
        <v>2067</v>
      </c>
      <c r="E1062" s="3838" t="s">
        <v>3338</v>
      </c>
      <c r="F1062" s="3840">
        <v>34.85</v>
      </c>
    </row>
    <row r="1063" spans="1:6">
      <c r="A1063" s="3838" t="s">
        <v>3469</v>
      </c>
      <c r="B1063" s="3841">
        <v>-2</v>
      </c>
      <c r="C1063" s="3839" t="s">
        <v>4226</v>
      </c>
      <c r="D1063" s="3837" t="str">
        <f t="shared" si="34"/>
        <v>2068</v>
      </c>
      <c r="E1063" s="3838" t="s">
        <v>3338</v>
      </c>
      <c r="F1063" s="3840">
        <v>34.85</v>
      </c>
    </row>
    <row r="1064" spans="1:6">
      <c r="A1064" s="3838" t="s">
        <v>3469</v>
      </c>
      <c r="B1064" s="3841">
        <v>-2</v>
      </c>
      <c r="C1064" s="3839" t="s">
        <v>4227</v>
      </c>
      <c r="D1064" s="3837" t="str">
        <f t="shared" si="34"/>
        <v>2069</v>
      </c>
      <c r="E1064" s="3838" t="s">
        <v>3338</v>
      </c>
      <c r="F1064" s="3840">
        <v>34.85</v>
      </c>
    </row>
    <row r="1065" spans="1:6">
      <c r="A1065" s="3838" t="s">
        <v>3469</v>
      </c>
      <c r="B1065" s="3841">
        <v>-2</v>
      </c>
      <c r="C1065" s="3839" t="s">
        <v>4228</v>
      </c>
      <c r="D1065" s="3837" t="str">
        <f t="shared" si="34"/>
        <v>2070</v>
      </c>
      <c r="E1065" s="3838" t="s">
        <v>3338</v>
      </c>
      <c r="F1065" s="3840">
        <v>34.85</v>
      </c>
    </row>
    <row r="1066" spans="1:6">
      <c r="A1066" s="3838" t="s">
        <v>3469</v>
      </c>
      <c r="B1066" s="3841">
        <v>-2</v>
      </c>
      <c r="C1066" s="3839" t="s">
        <v>4229</v>
      </c>
      <c r="D1066" s="3837" t="str">
        <f t="shared" si="34"/>
        <v>2071</v>
      </c>
      <c r="E1066" s="3838" t="s">
        <v>3338</v>
      </c>
      <c r="F1066" s="3840">
        <v>34.85</v>
      </c>
    </row>
    <row r="1067" spans="1:6">
      <c r="A1067" s="3838" t="s">
        <v>3469</v>
      </c>
      <c r="B1067" s="3841">
        <v>-2</v>
      </c>
      <c r="C1067" s="3839" t="s">
        <v>4230</v>
      </c>
      <c r="D1067" s="3837" t="str">
        <f t="shared" si="34"/>
        <v>2072</v>
      </c>
      <c r="E1067" s="3838" t="s">
        <v>3338</v>
      </c>
      <c r="F1067" s="3840">
        <v>34.85</v>
      </c>
    </row>
    <row r="1068" spans="1:6">
      <c r="A1068" s="3838" t="s">
        <v>3469</v>
      </c>
      <c r="B1068" s="3841">
        <v>-2</v>
      </c>
      <c r="C1068" s="3839" t="s">
        <v>4231</v>
      </c>
      <c r="D1068" s="3837" t="str">
        <f t="shared" si="34"/>
        <v>2073</v>
      </c>
      <c r="E1068" s="3838" t="s">
        <v>3338</v>
      </c>
      <c r="F1068" s="3840">
        <v>34.85</v>
      </c>
    </row>
    <row r="1069" spans="1:6">
      <c r="A1069" s="3838" t="s">
        <v>3469</v>
      </c>
      <c r="B1069" s="3841">
        <v>-2</v>
      </c>
      <c r="C1069" s="3839" t="s">
        <v>4232</v>
      </c>
      <c r="D1069" s="3837" t="str">
        <f t="shared" si="34"/>
        <v>2074</v>
      </c>
      <c r="E1069" s="3838" t="s">
        <v>3338</v>
      </c>
      <c r="F1069" s="3840">
        <v>34.85</v>
      </c>
    </row>
    <row r="1070" spans="1:6">
      <c r="A1070" s="3838" t="s">
        <v>3469</v>
      </c>
      <c r="B1070" s="3841">
        <v>-2</v>
      </c>
      <c r="C1070" s="3839" t="s">
        <v>4233</v>
      </c>
      <c r="D1070" s="3837" t="str">
        <f t="shared" si="34"/>
        <v>2075</v>
      </c>
      <c r="E1070" s="3838" t="s">
        <v>3338</v>
      </c>
      <c r="F1070" s="3840">
        <v>34.85</v>
      </c>
    </row>
    <row r="1071" spans="1:6">
      <c r="A1071" s="3838" t="s">
        <v>3469</v>
      </c>
      <c r="B1071" s="3841">
        <v>-2</v>
      </c>
      <c r="C1071" s="3839" t="s">
        <v>4234</v>
      </c>
      <c r="D1071" s="3837" t="str">
        <f t="shared" si="34"/>
        <v>2076</v>
      </c>
      <c r="E1071" s="3838" t="s">
        <v>3338</v>
      </c>
      <c r="F1071" s="3840">
        <v>34.85</v>
      </c>
    </row>
    <row r="1072" spans="1:6">
      <c r="A1072" s="3838" t="s">
        <v>3469</v>
      </c>
      <c r="B1072" s="3841">
        <v>-2</v>
      </c>
      <c r="C1072" s="3839" t="s">
        <v>4235</v>
      </c>
      <c r="D1072" s="3837" t="str">
        <f t="shared" si="34"/>
        <v>2077</v>
      </c>
      <c r="E1072" s="3838" t="s">
        <v>3338</v>
      </c>
      <c r="F1072" s="3840">
        <v>34.85</v>
      </c>
    </row>
    <row r="1073" spans="1:6">
      <c r="A1073" s="3838" t="s">
        <v>3469</v>
      </c>
      <c r="B1073" s="3841">
        <v>-2</v>
      </c>
      <c r="C1073" s="3839" t="s">
        <v>4236</v>
      </c>
      <c r="D1073" s="3837" t="str">
        <f t="shared" si="34"/>
        <v>2078</v>
      </c>
      <c r="E1073" s="3838" t="s">
        <v>3338</v>
      </c>
      <c r="F1073" s="3840">
        <v>34.85</v>
      </c>
    </row>
    <row r="1074" spans="1:6">
      <c r="A1074" s="3838" t="s">
        <v>3469</v>
      </c>
      <c r="B1074" s="3841">
        <v>-2</v>
      </c>
      <c r="C1074" s="3839" t="s">
        <v>4237</v>
      </c>
      <c r="D1074" s="3837" t="str">
        <f t="shared" si="34"/>
        <v>2079</v>
      </c>
      <c r="E1074" s="3838" t="s">
        <v>3338</v>
      </c>
      <c r="F1074" s="3840">
        <v>34.85</v>
      </c>
    </row>
    <row r="1075" spans="1:6">
      <c r="A1075" s="3838" t="s">
        <v>3469</v>
      </c>
      <c r="B1075" s="3841">
        <v>-2</v>
      </c>
      <c r="C1075" s="3839" t="s">
        <v>4238</v>
      </c>
      <c r="D1075" s="3837" t="str">
        <f t="shared" si="34"/>
        <v>2080</v>
      </c>
      <c r="E1075" s="3838" t="s">
        <v>3338</v>
      </c>
      <c r="F1075" s="3840">
        <v>34.85</v>
      </c>
    </row>
    <row r="1076" spans="1:6">
      <c r="A1076" s="3838" t="s">
        <v>3469</v>
      </c>
      <c r="B1076" s="3841">
        <v>-2</v>
      </c>
      <c r="C1076" s="3839" t="s">
        <v>4239</v>
      </c>
      <c r="D1076" s="3837" t="str">
        <f t="shared" si="34"/>
        <v>2081</v>
      </c>
      <c r="E1076" s="3838" t="s">
        <v>3338</v>
      </c>
      <c r="F1076" s="3840">
        <v>34.85</v>
      </c>
    </row>
    <row r="1077" spans="1:6">
      <c r="A1077" s="3838" t="s">
        <v>3469</v>
      </c>
      <c r="B1077" s="3841">
        <v>-2</v>
      </c>
      <c r="C1077" s="3839" t="s">
        <v>4240</v>
      </c>
      <c r="D1077" s="3837" t="str">
        <f t="shared" si="34"/>
        <v>2082</v>
      </c>
      <c r="E1077" s="3838" t="s">
        <v>3338</v>
      </c>
      <c r="F1077" s="3840">
        <v>34.85</v>
      </c>
    </row>
    <row r="1078" spans="1:6">
      <c r="A1078" s="3838" t="s">
        <v>3469</v>
      </c>
      <c r="B1078" s="3841">
        <v>-2</v>
      </c>
      <c r="C1078" s="3839" t="s">
        <v>4241</v>
      </c>
      <c r="D1078" s="3837" t="str">
        <f t="shared" si="34"/>
        <v>2083</v>
      </c>
      <c r="E1078" s="3838" t="s">
        <v>3338</v>
      </c>
      <c r="F1078" s="3840">
        <v>34.85</v>
      </c>
    </row>
    <row r="1079" spans="1:6">
      <c r="A1079" s="3838" t="s">
        <v>3469</v>
      </c>
      <c r="B1079" s="3841">
        <v>-2</v>
      </c>
      <c r="C1079" s="3839" t="s">
        <v>4242</v>
      </c>
      <c r="D1079" s="3837" t="str">
        <f t="shared" si="34"/>
        <v>2084</v>
      </c>
      <c r="E1079" s="3838" t="s">
        <v>3338</v>
      </c>
      <c r="F1079" s="3840">
        <v>34.85</v>
      </c>
    </row>
    <row r="1080" spans="1:6">
      <c r="A1080" s="3838" t="s">
        <v>3469</v>
      </c>
      <c r="B1080" s="3841">
        <v>-2</v>
      </c>
      <c r="C1080" s="3839" t="s">
        <v>4243</v>
      </c>
      <c r="D1080" s="3837" t="str">
        <f t="shared" si="34"/>
        <v>2085</v>
      </c>
      <c r="E1080" s="3838" t="s">
        <v>3338</v>
      </c>
      <c r="F1080" s="3840">
        <v>34.85</v>
      </c>
    </row>
    <row r="1081" spans="1:6">
      <c r="A1081" s="3838" t="s">
        <v>3469</v>
      </c>
      <c r="B1081" s="3841">
        <v>-2</v>
      </c>
      <c r="C1081" s="3839" t="s">
        <v>4244</v>
      </c>
      <c r="D1081" s="3837" t="str">
        <f t="shared" si="34"/>
        <v>2086</v>
      </c>
      <c r="E1081" s="3838" t="s">
        <v>3338</v>
      </c>
      <c r="F1081" s="3840">
        <v>34.85</v>
      </c>
    </row>
    <row r="1082" spans="1:6">
      <c r="A1082" s="3838" t="s">
        <v>3469</v>
      </c>
      <c r="B1082" s="3841">
        <v>-2</v>
      </c>
      <c r="C1082" s="3839" t="s">
        <v>4245</v>
      </c>
      <c r="D1082" s="3837" t="str">
        <f t="shared" si="34"/>
        <v>2087</v>
      </c>
      <c r="E1082" s="3838" t="s">
        <v>3338</v>
      </c>
      <c r="F1082" s="3840">
        <v>34.85</v>
      </c>
    </row>
    <row r="1083" spans="1:6">
      <c r="A1083" s="3838" t="s">
        <v>3469</v>
      </c>
      <c r="B1083" s="3841">
        <v>-2</v>
      </c>
      <c r="C1083" s="3839" t="s">
        <v>4246</v>
      </c>
      <c r="D1083" s="3837" t="str">
        <f t="shared" si="34"/>
        <v>2088</v>
      </c>
      <c r="E1083" s="3838" t="s">
        <v>3338</v>
      </c>
      <c r="F1083" s="3840">
        <v>34.85</v>
      </c>
    </row>
    <row r="1084" spans="1:6">
      <c r="A1084" s="3838" t="s">
        <v>3469</v>
      </c>
      <c r="B1084" s="3841">
        <v>-2</v>
      </c>
      <c r="C1084" s="3839" t="s">
        <v>4247</v>
      </c>
      <c r="D1084" s="3837" t="str">
        <f t="shared" si="34"/>
        <v>2089</v>
      </c>
      <c r="E1084" s="3838" t="s">
        <v>3338</v>
      </c>
      <c r="F1084" s="3840">
        <v>34.85</v>
      </c>
    </row>
    <row r="1085" spans="1:6">
      <c r="A1085" s="3838" t="s">
        <v>3469</v>
      </c>
      <c r="B1085" s="3841">
        <v>-2</v>
      </c>
      <c r="C1085" s="3839" t="s">
        <v>4248</v>
      </c>
      <c r="D1085" s="3837" t="str">
        <f t="shared" si="34"/>
        <v>2090</v>
      </c>
      <c r="E1085" s="3838" t="s">
        <v>3338</v>
      </c>
      <c r="F1085" s="3840">
        <v>34.85</v>
      </c>
    </row>
    <row r="1086" spans="1:6">
      <c r="A1086" s="3838" t="s">
        <v>3469</v>
      </c>
      <c r="B1086" s="3841">
        <v>-2</v>
      </c>
      <c r="C1086" s="3839" t="s">
        <v>4249</v>
      </c>
      <c r="D1086" s="3837" t="str">
        <f t="shared" si="34"/>
        <v>2091</v>
      </c>
      <c r="E1086" s="3838" t="s">
        <v>3338</v>
      </c>
      <c r="F1086" s="3840">
        <v>34.85</v>
      </c>
    </row>
    <row r="1087" spans="1:6">
      <c r="A1087" s="3838" t="s">
        <v>3469</v>
      </c>
      <c r="B1087" s="3841">
        <v>-2</v>
      </c>
      <c r="C1087" s="3839" t="s">
        <v>4250</v>
      </c>
      <c r="D1087" s="3837" t="str">
        <f t="shared" si="34"/>
        <v>2092</v>
      </c>
      <c r="E1087" s="3838" t="s">
        <v>3338</v>
      </c>
      <c r="F1087" s="3840">
        <v>34.85</v>
      </c>
    </row>
    <row r="1088" spans="1:6">
      <c r="A1088" s="3838" t="s">
        <v>3469</v>
      </c>
      <c r="B1088" s="3841">
        <v>-2</v>
      </c>
      <c r="C1088" s="3839" t="s">
        <v>4251</v>
      </c>
      <c r="D1088" s="3837" t="str">
        <f t="shared" si="34"/>
        <v>2093</v>
      </c>
      <c r="E1088" s="3838" t="s">
        <v>3338</v>
      </c>
      <c r="F1088" s="3840">
        <v>34.85</v>
      </c>
    </row>
    <row r="1089" spans="1:6">
      <c r="A1089" s="3838" t="s">
        <v>3469</v>
      </c>
      <c r="B1089" s="3841">
        <v>-2</v>
      </c>
      <c r="C1089" s="3839" t="s">
        <v>4252</v>
      </c>
      <c r="D1089" s="3837" t="str">
        <f t="shared" si="34"/>
        <v>2094</v>
      </c>
      <c r="E1089" s="3838" t="s">
        <v>3338</v>
      </c>
      <c r="F1089" s="3840">
        <v>34.85</v>
      </c>
    </row>
    <row r="1090" spans="1:6">
      <c r="A1090" s="3838" t="s">
        <v>3469</v>
      </c>
      <c r="B1090" s="3841">
        <v>-2</v>
      </c>
      <c r="C1090" s="3839" t="s">
        <v>4253</v>
      </c>
      <c r="D1090" s="3837" t="str">
        <f t="shared" si="34"/>
        <v>2095</v>
      </c>
      <c r="E1090" s="3838" t="s">
        <v>3338</v>
      </c>
      <c r="F1090" s="3840">
        <v>34.85</v>
      </c>
    </row>
    <row r="1091" spans="1:6">
      <c r="A1091" s="3838" t="s">
        <v>3469</v>
      </c>
      <c r="B1091" s="3841">
        <v>-2</v>
      </c>
      <c r="C1091" s="3839" t="s">
        <v>4254</v>
      </c>
      <c r="D1091" s="3837" t="str">
        <f t="shared" si="34"/>
        <v>2096</v>
      </c>
      <c r="E1091" s="3838" t="s">
        <v>3338</v>
      </c>
      <c r="F1091" s="3840">
        <v>34.85</v>
      </c>
    </row>
    <row r="1092" spans="1:6">
      <c r="A1092" s="3838" t="s">
        <v>3469</v>
      </c>
      <c r="B1092" s="3841">
        <v>-2</v>
      </c>
      <c r="C1092" s="3839" t="s">
        <v>4255</v>
      </c>
      <c r="D1092" s="3837" t="str">
        <f t="shared" si="34"/>
        <v>2097</v>
      </c>
      <c r="E1092" s="3838" t="s">
        <v>3338</v>
      </c>
      <c r="F1092" s="3840">
        <v>34.85</v>
      </c>
    </row>
    <row r="1093" spans="1:6">
      <c r="A1093" s="3838" t="s">
        <v>3469</v>
      </c>
      <c r="B1093" s="3841">
        <v>-2</v>
      </c>
      <c r="C1093" s="3839" t="s">
        <v>4256</v>
      </c>
      <c r="D1093" s="3837" t="str">
        <f t="shared" si="34"/>
        <v>2098</v>
      </c>
      <c r="E1093" s="3838" t="s">
        <v>3338</v>
      </c>
      <c r="F1093" s="3840">
        <v>34.85</v>
      </c>
    </row>
    <row r="1094" spans="1:6">
      <c r="A1094" s="3838" t="s">
        <v>3469</v>
      </c>
      <c r="B1094" s="3841">
        <v>-2</v>
      </c>
      <c r="C1094" s="3839" t="s">
        <v>4257</v>
      </c>
      <c r="D1094" s="3837" t="str">
        <f t="shared" si="34"/>
        <v>2099</v>
      </c>
      <c r="E1094" s="3838" t="s">
        <v>3338</v>
      </c>
      <c r="F1094" s="3840">
        <v>34.85</v>
      </c>
    </row>
    <row r="1095" spans="1:6">
      <c r="A1095" s="3838" t="s">
        <v>3469</v>
      </c>
      <c r="B1095" s="3841">
        <v>-2</v>
      </c>
      <c r="C1095" s="3839" t="s">
        <v>4258</v>
      </c>
      <c r="D1095" s="3837" t="str">
        <f t="shared" si="34"/>
        <v>2100</v>
      </c>
      <c r="E1095" s="3838" t="s">
        <v>3338</v>
      </c>
      <c r="F1095" s="3840">
        <v>34.85</v>
      </c>
    </row>
    <row r="1096" spans="1:6">
      <c r="A1096" s="3838" t="s">
        <v>3469</v>
      </c>
      <c r="B1096" s="3841">
        <v>-2</v>
      </c>
      <c r="C1096" s="3839" t="s">
        <v>4259</v>
      </c>
      <c r="D1096" s="3837" t="str">
        <f t="shared" si="34"/>
        <v>2101</v>
      </c>
      <c r="E1096" s="3838" t="s">
        <v>3338</v>
      </c>
      <c r="F1096" s="3840">
        <v>34.85</v>
      </c>
    </row>
    <row r="1097" spans="1:6">
      <c r="A1097" s="3838" t="s">
        <v>3469</v>
      </c>
      <c r="B1097" s="3841">
        <v>-2</v>
      </c>
      <c r="C1097" s="3839" t="s">
        <v>4260</v>
      </c>
      <c r="D1097" s="3837" t="str">
        <f t="shared" si="34"/>
        <v>2102</v>
      </c>
      <c r="E1097" s="3838" t="s">
        <v>3338</v>
      </c>
      <c r="F1097" s="3840">
        <v>34.85</v>
      </c>
    </row>
    <row r="1098" spans="1:6">
      <c r="A1098" s="3838" t="s">
        <v>3469</v>
      </c>
      <c r="B1098" s="3841">
        <v>-2</v>
      </c>
      <c r="C1098" s="3839" t="s">
        <v>4261</v>
      </c>
      <c r="D1098" s="3837" t="str">
        <f t="shared" si="34"/>
        <v>2103</v>
      </c>
      <c r="E1098" s="3838" t="s">
        <v>3338</v>
      </c>
      <c r="F1098" s="3840">
        <v>34.85</v>
      </c>
    </row>
    <row r="1099" spans="1:6">
      <c r="A1099" s="3838" t="s">
        <v>3469</v>
      </c>
      <c r="B1099" s="3841">
        <v>-2</v>
      </c>
      <c r="C1099" s="3839" t="s">
        <v>4262</v>
      </c>
      <c r="D1099" s="3837" t="str">
        <f t="shared" si="34"/>
        <v>2104</v>
      </c>
      <c r="E1099" s="3838" t="s">
        <v>3338</v>
      </c>
      <c r="F1099" s="3840">
        <v>34.85</v>
      </c>
    </row>
    <row r="1100" spans="1:6">
      <c r="A1100" s="3838" t="s">
        <v>3469</v>
      </c>
      <c r="B1100" s="3841">
        <v>-2</v>
      </c>
      <c r="C1100" s="3839" t="s">
        <v>4263</v>
      </c>
      <c r="D1100" s="3837" t="str">
        <f t="shared" si="34"/>
        <v>2105</v>
      </c>
      <c r="E1100" s="3838" t="s">
        <v>3338</v>
      </c>
      <c r="F1100" s="3840">
        <v>34.85</v>
      </c>
    </row>
    <row r="1101" spans="1:6">
      <c r="A1101" s="3838" t="s">
        <v>3469</v>
      </c>
      <c r="B1101" s="3841">
        <v>-2</v>
      </c>
      <c r="C1101" s="3839" t="s">
        <v>4264</v>
      </c>
      <c r="D1101" s="3837" t="str">
        <f t="shared" ref="D1101:D1164" si="35">""&amp;C1101</f>
        <v>2106</v>
      </c>
      <c r="E1101" s="3838" t="s">
        <v>3338</v>
      </c>
      <c r="F1101" s="3840">
        <v>34.85</v>
      </c>
    </row>
    <row r="1102" spans="1:6">
      <c r="A1102" s="3838" t="s">
        <v>3469</v>
      </c>
      <c r="B1102" s="3841">
        <v>-2</v>
      </c>
      <c r="C1102" s="3839" t="s">
        <v>4265</v>
      </c>
      <c r="D1102" s="3837" t="str">
        <f t="shared" si="35"/>
        <v>2107</v>
      </c>
      <c r="E1102" s="3838" t="s">
        <v>3338</v>
      </c>
      <c r="F1102" s="3840">
        <v>34.85</v>
      </c>
    </row>
    <row r="1103" spans="1:6">
      <c r="A1103" s="3838" t="s">
        <v>3469</v>
      </c>
      <c r="B1103" s="3841">
        <v>-2</v>
      </c>
      <c r="C1103" s="3839" t="s">
        <v>4266</v>
      </c>
      <c r="D1103" s="3837" t="str">
        <f t="shared" si="35"/>
        <v>2108</v>
      </c>
      <c r="E1103" s="3838" t="s">
        <v>3338</v>
      </c>
      <c r="F1103" s="3840">
        <v>34.85</v>
      </c>
    </row>
    <row r="1104" spans="1:6">
      <c r="A1104" s="3838" t="s">
        <v>3469</v>
      </c>
      <c r="B1104" s="3841">
        <v>-2</v>
      </c>
      <c r="C1104" s="3839" t="s">
        <v>4267</v>
      </c>
      <c r="D1104" s="3837" t="str">
        <f t="shared" si="35"/>
        <v>2109</v>
      </c>
      <c r="E1104" s="3838" t="s">
        <v>3338</v>
      </c>
      <c r="F1104" s="3840">
        <v>34.85</v>
      </c>
    </row>
    <row r="1105" spans="1:6">
      <c r="A1105" s="3838" t="s">
        <v>3469</v>
      </c>
      <c r="B1105" s="3841">
        <v>-2</v>
      </c>
      <c r="C1105" s="3839" t="s">
        <v>4268</v>
      </c>
      <c r="D1105" s="3837" t="str">
        <f t="shared" si="35"/>
        <v>2110</v>
      </c>
      <c r="E1105" s="3838" t="s">
        <v>3338</v>
      </c>
      <c r="F1105" s="3840">
        <v>34.85</v>
      </c>
    </row>
    <row r="1106" spans="1:6">
      <c r="A1106" s="3838" t="s">
        <v>3469</v>
      </c>
      <c r="B1106" s="3841">
        <v>-2</v>
      </c>
      <c r="C1106" s="3839" t="s">
        <v>4269</v>
      </c>
      <c r="D1106" s="3837" t="str">
        <f t="shared" si="35"/>
        <v>2111</v>
      </c>
      <c r="E1106" s="3838" t="s">
        <v>3338</v>
      </c>
      <c r="F1106" s="3840">
        <v>34.85</v>
      </c>
    </row>
    <row r="1107" spans="1:6">
      <c r="A1107" s="3838" t="s">
        <v>3469</v>
      </c>
      <c r="B1107" s="3841">
        <v>-2</v>
      </c>
      <c r="C1107" s="3839" t="s">
        <v>4270</v>
      </c>
      <c r="D1107" s="3837" t="str">
        <f t="shared" si="35"/>
        <v>2112</v>
      </c>
      <c r="E1107" s="3838" t="s">
        <v>3338</v>
      </c>
      <c r="F1107" s="3840">
        <v>34.85</v>
      </c>
    </row>
    <row r="1108" spans="1:6">
      <c r="A1108" s="3838" t="s">
        <v>3469</v>
      </c>
      <c r="B1108" s="3841">
        <v>-2</v>
      </c>
      <c r="C1108" s="3839" t="s">
        <v>4271</v>
      </c>
      <c r="D1108" s="3837" t="str">
        <f t="shared" si="35"/>
        <v>2113</v>
      </c>
      <c r="E1108" s="3838" t="s">
        <v>3338</v>
      </c>
      <c r="F1108" s="3840">
        <v>34.85</v>
      </c>
    </row>
    <row r="1109" spans="1:6">
      <c r="A1109" s="3838" t="s">
        <v>3469</v>
      </c>
      <c r="B1109" s="3841">
        <v>-2</v>
      </c>
      <c r="C1109" s="3839" t="s">
        <v>4272</v>
      </c>
      <c r="D1109" s="3837" t="str">
        <f t="shared" si="35"/>
        <v>2114</v>
      </c>
      <c r="E1109" s="3838" t="s">
        <v>3338</v>
      </c>
      <c r="F1109" s="3840">
        <v>34.85</v>
      </c>
    </row>
    <row r="1110" spans="1:6">
      <c r="A1110" s="3838" t="s">
        <v>3469</v>
      </c>
      <c r="B1110" s="3841">
        <v>-2</v>
      </c>
      <c r="C1110" s="3839" t="s">
        <v>4273</v>
      </c>
      <c r="D1110" s="3837" t="str">
        <f t="shared" si="35"/>
        <v>2115</v>
      </c>
      <c r="E1110" s="3838" t="s">
        <v>3338</v>
      </c>
      <c r="F1110" s="3840">
        <v>34.85</v>
      </c>
    </row>
    <row r="1111" spans="1:6">
      <c r="A1111" s="3838" t="s">
        <v>3469</v>
      </c>
      <c r="B1111" s="3841">
        <v>-2</v>
      </c>
      <c r="C1111" s="3839" t="s">
        <v>4274</v>
      </c>
      <c r="D1111" s="3837" t="str">
        <f t="shared" si="35"/>
        <v>2116</v>
      </c>
      <c r="E1111" s="3838" t="s">
        <v>3338</v>
      </c>
      <c r="F1111" s="3840">
        <v>34.85</v>
      </c>
    </row>
    <row r="1112" spans="1:6">
      <c r="A1112" s="3838" t="s">
        <v>3469</v>
      </c>
      <c r="B1112" s="3841">
        <v>-2</v>
      </c>
      <c r="C1112" s="3839" t="s">
        <v>4275</v>
      </c>
      <c r="D1112" s="3837" t="str">
        <f t="shared" si="35"/>
        <v>2117</v>
      </c>
      <c r="E1112" s="3838" t="s">
        <v>3338</v>
      </c>
      <c r="F1112" s="3840">
        <v>34.85</v>
      </c>
    </row>
    <row r="1113" spans="1:6">
      <c r="A1113" s="3838" t="s">
        <v>3469</v>
      </c>
      <c r="B1113" s="3841">
        <v>-2</v>
      </c>
      <c r="C1113" s="3839" t="s">
        <v>4276</v>
      </c>
      <c r="D1113" s="3837" t="str">
        <f t="shared" si="35"/>
        <v>2118</v>
      </c>
      <c r="E1113" s="3838" t="s">
        <v>3338</v>
      </c>
      <c r="F1113" s="3840">
        <v>34.85</v>
      </c>
    </row>
    <row r="1114" spans="1:6">
      <c r="A1114" s="3838" t="s">
        <v>3469</v>
      </c>
      <c r="B1114" s="3841">
        <v>-2</v>
      </c>
      <c r="C1114" s="3839" t="s">
        <v>4277</v>
      </c>
      <c r="D1114" s="3837" t="str">
        <f t="shared" si="35"/>
        <v>2119</v>
      </c>
      <c r="E1114" s="3838" t="s">
        <v>3338</v>
      </c>
      <c r="F1114" s="3840">
        <v>34.85</v>
      </c>
    </row>
    <row r="1115" spans="1:6">
      <c r="A1115" s="3838" t="s">
        <v>3469</v>
      </c>
      <c r="B1115" s="3841">
        <v>-2</v>
      </c>
      <c r="C1115" s="3839" t="s">
        <v>4278</v>
      </c>
      <c r="D1115" s="3837" t="str">
        <f t="shared" si="35"/>
        <v>2120</v>
      </c>
      <c r="E1115" s="3838" t="s">
        <v>3338</v>
      </c>
      <c r="F1115" s="3840">
        <v>34.85</v>
      </c>
    </row>
    <row r="1116" spans="1:6">
      <c r="A1116" s="3838" t="s">
        <v>3469</v>
      </c>
      <c r="B1116" s="3841">
        <v>-2</v>
      </c>
      <c r="C1116" s="3839" t="s">
        <v>4279</v>
      </c>
      <c r="D1116" s="3837" t="str">
        <f t="shared" si="35"/>
        <v>2121</v>
      </c>
      <c r="E1116" s="3838" t="s">
        <v>3338</v>
      </c>
      <c r="F1116" s="3840">
        <v>34.85</v>
      </c>
    </row>
    <row r="1117" spans="1:6">
      <c r="A1117" s="3838" t="s">
        <v>3469</v>
      </c>
      <c r="B1117" s="3841">
        <v>-2</v>
      </c>
      <c r="C1117" s="3839" t="s">
        <v>4280</v>
      </c>
      <c r="D1117" s="3837" t="str">
        <f t="shared" si="35"/>
        <v>2122</v>
      </c>
      <c r="E1117" s="3838" t="s">
        <v>3338</v>
      </c>
      <c r="F1117" s="3840">
        <v>34.85</v>
      </c>
    </row>
    <row r="1118" spans="1:6">
      <c r="A1118" s="3838" t="s">
        <v>3469</v>
      </c>
      <c r="B1118" s="3841">
        <v>-2</v>
      </c>
      <c r="C1118" s="3839" t="s">
        <v>4281</v>
      </c>
      <c r="D1118" s="3837" t="str">
        <f t="shared" si="35"/>
        <v>2123</v>
      </c>
      <c r="E1118" s="3838" t="s">
        <v>3338</v>
      </c>
      <c r="F1118" s="3840">
        <v>34.85</v>
      </c>
    </row>
    <row r="1119" spans="1:6">
      <c r="A1119" s="3838" t="s">
        <v>3469</v>
      </c>
      <c r="B1119" s="3841">
        <v>-2</v>
      </c>
      <c r="C1119" s="3839" t="s">
        <v>4282</v>
      </c>
      <c r="D1119" s="3837" t="str">
        <f t="shared" si="35"/>
        <v>2124</v>
      </c>
      <c r="E1119" s="3838" t="s">
        <v>3338</v>
      </c>
      <c r="F1119" s="3840">
        <v>34.85</v>
      </c>
    </row>
    <row r="1120" spans="1:6">
      <c r="A1120" s="3838" t="s">
        <v>3469</v>
      </c>
      <c r="B1120" s="3841">
        <v>-2</v>
      </c>
      <c r="C1120" s="3839" t="s">
        <v>4283</v>
      </c>
      <c r="D1120" s="3837" t="str">
        <f t="shared" si="35"/>
        <v>2125</v>
      </c>
      <c r="E1120" s="3838" t="s">
        <v>3338</v>
      </c>
      <c r="F1120" s="3840">
        <v>34.85</v>
      </c>
    </row>
    <row r="1121" spans="1:6">
      <c r="A1121" s="3838" t="s">
        <v>3469</v>
      </c>
      <c r="B1121" s="3841">
        <v>-2</v>
      </c>
      <c r="C1121" s="3839" t="s">
        <v>4284</v>
      </c>
      <c r="D1121" s="3837" t="str">
        <f t="shared" si="35"/>
        <v>2126</v>
      </c>
      <c r="E1121" s="3838" t="s">
        <v>3338</v>
      </c>
      <c r="F1121" s="3840">
        <v>34.85</v>
      </c>
    </row>
    <row r="1122" spans="1:6">
      <c r="A1122" s="3838" t="s">
        <v>3469</v>
      </c>
      <c r="B1122" s="3841">
        <v>-2</v>
      </c>
      <c r="C1122" s="3839" t="s">
        <v>4285</v>
      </c>
      <c r="D1122" s="3837" t="str">
        <f t="shared" si="35"/>
        <v>2127</v>
      </c>
      <c r="E1122" s="3838" t="s">
        <v>3338</v>
      </c>
      <c r="F1122" s="3840">
        <v>34.85</v>
      </c>
    </row>
    <row r="1123" spans="1:6">
      <c r="A1123" s="3838" t="s">
        <v>3469</v>
      </c>
      <c r="B1123" s="3841">
        <v>-2</v>
      </c>
      <c r="C1123" s="3839" t="s">
        <v>4286</v>
      </c>
      <c r="D1123" s="3837" t="str">
        <f t="shared" si="35"/>
        <v>2128</v>
      </c>
      <c r="E1123" s="3838" t="s">
        <v>3338</v>
      </c>
      <c r="F1123" s="3840">
        <v>34.85</v>
      </c>
    </row>
    <row r="1124" spans="1:6">
      <c r="A1124" s="3838" t="s">
        <v>3469</v>
      </c>
      <c r="B1124" s="3841">
        <v>-2</v>
      </c>
      <c r="C1124" s="3839" t="s">
        <v>4287</v>
      </c>
      <c r="D1124" s="3837" t="str">
        <f t="shared" si="35"/>
        <v>2129</v>
      </c>
      <c r="E1124" s="3838" t="s">
        <v>3338</v>
      </c>
      <c r="F1124" s="3840">
        <v>34.85</v>
      </c>
    </row>
    <row r="1125" spans="1:6">
      <c r="A1125" s="3838" t="s">
        <v>3469</v>
      </c>
      <c r="B1125" s="3841">
        <v>-2</v>
      </c>
      <c r="C1125" s="3839" t="s">
        <v>4288</v>
      </c>
      <c r="D1125" s="3837" t="str">
        <f t="shared" si="35"/>
        <v>2130</v>
      </c>
      <c r="E1125" s="3838" t="s">
        <v>3338</v>
      </c>
      <c r="F1125" s="3840">
        <v>34.85</v>
      </c>
    </row>
    <row r="1126" spans="1:6">
      <c r="A1126" s="3838" t="s">
        <v>3469</v>
      </c>
      <c r="B1126" s="3841">
        <v>-2</v>
      </c>
      <c r="C1126" s="3839" t="s">
        <v>4289</v>
      </c>
      <c r="D1126" s="3837" t="str">
        <f t="shared" si="35"/>
        <v>2131</v>
      </c>
      <c r="E1126" s="3838" t="s">
        <v>3338</v>
      </c>
      <c r="F1126" s="3840">
        <v>34.85</v>
      </c>
    </row>
    <row r="1127" spans="1:6">
      <c r="A1127" s="3838" t="s">
        <v>3469</v>
      </c>
      <c r="B1127" s="3841">
        <v>-2</v>
      </c>
      <c r="C1127" s="3839" t="s">
        <v>4290</v>
      </c>
      <c r="D1127" s="3837" t="str">
        <f t="shared" si="35"/>
        <v>2132</v>
      </c>
      <c r="E1127" s="3838" t="s">
        <v>3338</v>
      </c>
      <c r="F1127" s="3840">
        <v>34.85</v>
      </c>
    </row>
    <row r="1128" spans="1:6">
      <c r="A1128" s="3838" t="s">
        <v>3469</v>
      </c>
      <c r="B1128" s="3841">
        <v>-2</v>
      </c>
      <c r="C1128" s="3839" t="s">
        <v>4291</v>
      </c>
      <c r="D1128" s="3837" t="str">
        <f t="shared" si="35"/>
        <v>2133</v>
      </c>
      <c r="E1128" s="3838" t="s">
        <v>3338</v>
      </c>
      <c r="F1128" s="3840">
        <v>34.85</v>
      </c>
    </row>
    <row r="1129" spans="1:6">
      <c r="A1129" s="3838" t="s">
        <v>3469</v>
      </c>
      <c r="B1129" s="3841">
        <v>-2</v>
      </c>
      <c r="C1129" s="3839" t="s">
        <v>4292</v>
      </c>
      <c r="D1129" s="3837" t="str">
        <f t="shared" si="35"/>
        <v>2134</v>
      </c>
      <c r="E1129" s="3838" t="s">
        <v>3338</v>
      </c>
      <c r="F1129" s="3840">
        <v>34.85</v>
      </c>
    </row>
    <row r="1130" spans="1:6">
      <c r="A1130" s="3838" t="s">
        <v>3469</v>
      </c>
      <c r="B1130" s="3841">
        <v>-2</v>
      </c>
      <c r="C1130" s="3839" t="s">
        <v>4293</v>
      </c>
      <c r="D1130" s="3837" t="str">
        <f t="shared" si="35"/>
        <v>2135</v>
      </c>
      <c r="E1130" s="3838" t="s">
        <v>3338</v>
      </c>
      <c r="F1130" s="3840">
        <v>34.85</v>
      </c>
    </row>
    <row r="1131" spans="1:6">
      <c r="A1131" s="3838" t="s">
        <v>3469</v>
      </c>
      <c r="B1131" s="3841">
        <v>-2</v>
      </c>
      <c r="C1131" s="3839" t="s">
        <v>4294</v>
      </c>
      <c r="D1131" s="3837" t="str">
        <f t="shared" si="35"/>
        <v>2136</v>
      </c>
      <c r="E1131" s="3838" t="s">
        <v>3338</v>
      </c>
      <c r="F1131" s="3840">
        <v>34.85</v>
      </c>
    </row>
    <row r="1132" spans="1:6">
      <c r="A1132" s="3838" t="s">
        <v>3469</v>
      </c>
      <c r="B1132" s="3841">
        <v>-2</v>
      </c>
      <c r="C1132" s="3839" t="s">
        <v>4295</v>
      </c>
      <c r="D1132" s="3837" t="str">
        <f t="shared" si="35"/>
        <v>2137</v>
      </c>
      <c r="E1132" s="3838" t="s">
        <v>3338</v>
      </c>
      <c r="F1132" s="3840">
        <v>34.85</v>
      </c>
    </row>
    <row r="1133" spans="1:6">
      <c r="A1133" s="3838" t="s">
        <v>3469</v>
      </c>
      <c r="B1133" s="3841">
        <v>-2</v>
      </c>
      <c r="C1133" s="3839" t="s">
        <v>4296</v>
      </c>
      <c r="D1133" s="3837" t="str">
        <f t="shared" si="35"/>
        <v>2138</v>
      </c>
      <c r="E1133" s="3838" t="s">
        <v>3338</v>
      </c>
      <c r="F1133" s="3840">
        <v>34.85</v>
      </c>
    </row>
    <row r="1134" spans="1:6">
      <c r="A1134" s="3838" t="s">
        <v>3469</v>
      </c>
      <c r="B1134" s="3841">
        <v>-2</v>
      </c>
      <c r="C1134" s="3839" t="s">
        <v>4297</v>
      </c>
      <c r="D1134" s="3837" t="str">
        <f t="shared" si="35"/>
        <v>2139</v>
      </c>
      <c r="E1134" s="3838" t="s">
        <v>3338</v>
      </c>
      <c r="F1134" s="3840">
        <v>34.85</v>
      </c>
    </row>
    <row r="1135" spans="1:6">
      <c r="A1135" s="3838" t="s">
        <v>3469</v>
      </c>
      <c r="B1135" s="3841">
        <v>-2</v>
      </c>
      <c r="C1135" s="3839" t="s">
        <v>4298</v>
      </c>
      <c r="D1135" s="3837" t="str">
        <f t="shared" si="35"/>
        <v>2140</v>
      </c>
      <c r="E1135" s="3838" t="s">
        <v>3338</v>
      </c>
      <c r="F1135" s="3840">
        <v>34.85</v>
      </c>
    </row>
    <row r="1136" spans="1:6">
      <c r="A1136" s="3838" t="s">
        <v>3469</v>
      </c>
      <c r="B1136" s="3841">
        <v>-2</v>
      </c>
      <c r="C1136" s="3839" t="s">
        <v>4299</v>
      </c>
      <c r="D1136" s="3837" t="str">
        <f t="shared" si="35"/>
        <v>2141</v>
      </c>
      <c r="E1136" s="3838" t="s">
        <v>3338</v>
      </c>
      <c r="F1136" s="3840">
        <v>34.85</v>
      </c>
    </row>
    <row r="1137" spans="1:6">
      <c r="A1137" s="3838" t="s">
        <v>3469</v>
      </c>
      <c r="B1137" s="3841">
        <v>-2</v>
      </c>
      <c r="C1137" s="3839" t="s">
        <v>4300</v>
      </c>
      <c r="D1137" s="3837" t="str">
        <f t="shared" si="35"/>
        <v>2142</v>
      </c>
      <c r="E1137" s="3838" t="s">
        <v>3338</v>
      </c>
      <c r="F1137" s="3840">
        <v>34.85</v>
      </c>
    </row>
    <row r="1138" spans="1:6">
      <c r="A1138" s="3838" t="s">
        <v>3469</v>
      </c>
      <c r="B1138" s="3841">
        <v>-2</v>
      </c>
      <c r="C1138" s="3839" t="s">
        <v>4301</v>
      </c>
      <c r="D1138" s="3837" t="str">
        <f t="shared" si="35"/>
        <v>2143</v>
      </c>
      <c r="E1138" s="3838" t="s">
        <v>3338</v>
      </c>
      <c r="F1138" s="3840">
        <v>34.85</v>
      </c>
    </row>
    <row r="1139" spans="1:6">
      <c r="A1139" s="3838" t="s">
        <v>3469</v>
      </c>
      <c r="B1139" s="3841">
        <v>-2</v>
      </c>
      <c r="C1139" s="3839" t="s">
        <v>4302</v>
      </c>
      <c r="D1139" s="3837" t="str">
        <f t="shared" si="35"/>
        <v>2144</v>
      </c>
      <c r="E1139" s="3838" t="s">
        <v>3338</v>
      </c>
      <c r="F1139" s="3840">
        <v>34.85</v>
      </c>
    </row>
    <row r="1140" spans="1:6">
      <c r="A1140" s="3838" t="s">
        <v>3469</v>
      </c>
      <c r="B1140" s="3841">
        <v>-2</v>
      </c>
      <c r="C1140" s="3839" t="s">
        <v>4303</v>
      </c>
      <c r="D1140" s="3837" t="str">
        <f t="shared" si="35"/>
        <v>2145</v>
      </c>
      <c r="E1140" s="3838" t="s">
        <v>3338</v>
      </c>
      <c r="F1140" s="3840">
        <v>34.85</v>
      </c>
    </row>
    <row r="1141" spans="1:6">
      <c r="A1141" s="3838" t="s">
        <v>3469</v>
      </c>
      <c r="B1141" s="3841">
        <v>-2</v>
      </c>
      <c r="C1141" s="3839" t="s">
        <v>4304</v>
      </c>
      <c r="D1141" s="3837" t="str">
        <f t="shared" si="35"/>
        <v>2146</v>
      </c>
      <c r="E1141" s="3838" t="s">
        <v>3338</v>
      </c>
      <c r="F1141" s="3840">
        <v>34.85</v>
      </c>
    </row>
    <row r="1142" spans="1:6">
      <c r="A1142" s="3838" t="s">
        <v>3469</v>
      </c>
      <c r="B1142" s="3841">
        <v>-2</v>
      </c>
      <c r="C1142" s="3839" t="s">
        <v>4305</v>
      </c>
      <c r="D1142" s="3837" t="str">
        <f t="shared" si="35"/>
        <v>2147</v>
      </c>
      <c r="E1142" s="3838" t="s">
        <v>3338</v>
      </c>
      <c r="F1142" s="3840">
        <v>34.85</v>
      </c>
    </row>
    <row r="1143" spans="1:6">
      <c r="A1143" s="3838" t="s">
        <v>3469</v>
      </c>
      <c r="B1143" s="3841">
        <v>-2</v>
      </c>
      <c r="C1143" s="3839" t="s">
        <v>4306</v>
      </c>
      <c r="D1143" s="3837" t="str">
        <f t="shared" si="35"/>
        <v>2148</v>
      </c>
      <c r="E1143" s="3838" t="s">
        <v>3338</v>
      </c>
      <c r="F1143" s="3840">
        <v>34.85</v>
      </c>
    </row>
    <row r="1144" spans="1:6">
      <c r="A1144" s="3838" t="s">
        <v>3469</v>
      </c>
      <c r="B1144" s="3841">
        <v>-2</v>
      </c>
      <c r="C1144" s="3839" t="s">
        <v>4307</v>
      </c>
      <c r="D1144" s="3837" t="str">
        <f t="shared" si="35"/>
        <v>2149</v>
      </c>
      <c r="E1144" s="3838" t="s">
        <v>3338</v>
      </c>
      <c r="F1144" s="3840">
        <v>34.85</v>
      </c>
    </row>
    <row r="1145" spans="1:6">
      <c r="A1145" s="3838" t="s">
        <v>3469</v>
      </c>
      <c r="B1145" s="3841">
        <v>-2</v>
      </c>
      <c r="C1145" s="3839" t="s">
        <v>4308</v>
      </c>
      <c r="D1145" s="3837" t="str">
        <f t="shared" si="35"/>
        <v>2150</v>
      </c>
      <c r="E1145" s="3838" t="s">
        <v>3338</v>
      </c>
      <c r="F1145" s="3840">
        <v>34.85</v>
      </c>
    </row>
    <row r="1146" spans="1:6">
      <c r="A1146" s="3838" t="s">
        <v>3469</v>
      </c>
      <c r="B1146" s="3841">
        <v>-2</v>
      </c>
      <c r="C1146" s="3839" t="s">
        <v>4309</v>
      </c>
      <c r="D1146" s="3837" t="str">
        <f t="shared" si="35"/>
        <v>2151</v>
      </c>
      <c r="E1146" s="3838" t="s">
        <v>3338</v>
      </c>
      <c r="F1146" s="3840">
        <v>34.85</v>
      </c>
    </row>
    <row r="1147" spans="1:6">
      <c r="A1147" s="3838" t="s">
        <v>3469</v>
      </c>
      <c r="B1147" s="3841">
        <v>-2</v>
      </c>
      <c r="C1147" s="3839" t="s">
        <v>4310</v>
      </c>
      <c r="D1147" s="3837" t="str">
        <f t="shared" si="35"/>
        <v>2152</v>
      </c>
      <c r="E1147" s="3838" t="s">
        <v>3338</v>
      </c>
      <c r="F1147" s="3840">
        <v>34.85</v>
      </c>
    </row>
    <row r="1148" spans="1:6">
      <c r="A1148" s="3838" t="s">
        <v>3469</v>
      </c>
      <c r="B1148" s="3841">
        <v>-2</v>
      </c>
      <c r="C1148" s="3839" t="s">
        <v>4311</v>
      </c>
      <c r="D1148" s="3837" t="str">
        <f t="shared" si="35"/>
        <v>2153</v>
      </c>
      <c r="E1148" s="3838" t="s">
        <v>3338</v>
      </c>
      <c r="F1148" s="3840">
        <v>34.85</v>
      </c>
    </row>
    <row r="1149" spans="1:6">
      <c r="A1149" s="3838" t="s">
        <v>3469</v>
      </c>
      <c r="B1149" s="3841">
        <v>-2</v>
      </c>
      <c r="C1149" s="3839" t="s">
        <v>4312</v>
      </c>
      <c r="D1149" s="3837" t="str">
        <f t="shared" si="35"/>
        <v>2154</v>
      </c>
      <c r="E1149" s="3838" t="s">
        <v>3338</v>
      </c>
      <c r="F1149" s="3840">
        <v>34.85</v>
      </c>
    </row>
    <row r="1150" spans="1:6">
      <c r="A1150" s="3838" t="s">
        <v>3469</v>
      </c>
      <c r="B1150" s="3841">
        <v>-2</v>
      </c>
      <c r="C1150" s="3839" t="s">
        <v>4313</v>
      </c>
      <c r="D1150" s="3837" t="str">
        <f t="shared" si="35"/>
        <v>2155</v>
      </c>
      <c r="E1150" s="3838" t="s">
        <v>3338</v>
      </c>
      <c r="F1150" s="3840">
        <v>34.85</v>
      </c>
    </row>
    <row r="1151" spans="1:6">
      <c r="A1151" s="3838" t="s">
        <v>3469</v>
      </c>
      <c r="B1151" s="3841">
        <v>-2</v>
      </c>
      <c r="C1151" s="3839" t="s">
        <v>4314</v>
      </c>
      <c r="D1151" s="3837" t="str">
        <f t="shared" si="35"/>
        <v>2156</v>
      </c>
      <c r="E1151" s="3838" t="s">
        <v>3338</v>
      </c>
      <c r="F1151" s="3840">
        <v>34.85</v>
      </c>
    </row>
    <row r="1152" spans="1:6">
      <c r="A1152" s="3838" t="s">
        <v>3469</v>
      </c>
      <c r="B1152" s="3841">
        <v>-2</v>
      </c>
      <c r="C1152" s="3839" t="s">
        <v>4315</v>
      </c>
      <c r="D1152" s="3837" t="str">
        <f t="shared" si="35"/>
        <v>2157</v>
      </c>
      <c r="E1152" s="3838" t="s">
        <v>3338</v>
      </c>
      <c r="F1152" s="3840">
        <v>34.85</v>
      </c>
    </row>
    <row r="1153" spans="1:6">
      <c r="A1153" s="3838" t="s">
        <v>3469</v>
      </c>
      <c r="B1153" s="3841">
        <v>-2</v>
      </c>
      <c r="C1153" s="3839" t="s">
        <v>4316</v>
      </c>
      <c r="D1153" s="3837" t="str">
        <f t="shared" si="35"/>
        <v>2158</v>
      </c>
      <c r="E1153" s="3838" t="s">
        <v>3338</v>
      </c>
      <c r="F1153" s="3840">
        <v>34.85</v>
      </c>
    </row>
    <row r="1154" spans="1:6">
      <c r="A1154" s="3838" t="s">
        <v>3469</v>
      </c>
      <c r="B1154" s="3841">
        <v>-2</v>
      </c>
      <c r="C1154" s="3839" t="s">
        <v>4317</v>
      </c>
      <c r="D1154" s="3837" t="str">
        <f t="shared" si="35"/>
        <v>2159</v>
      </c>
      <c r="E1154" s="3838" t="s">
        <v>3338</v>
      </c>
      <c r="F1154" s="3840">
        <v>34.85</v>
      </c>
    </row>
    <row r="1155" spans="1:6">
      <c r="A1155" s="3838" t="s">
        <v>3469</v>
      </c>
      <c r="B1155" s="3841">
        <v>-2</v>
      </c>
      <c r="C1155" s="3839" t="s">
        <v>4318</v>
      </c>
      <c r="D1155" s="3837" t="str">
        <f t="shared" si="35"/>
        <v>2160</v>
      </c>
      <c r="E1155" s="3838" t="s">
        <v>3338</v>
      </c>
      <c r="F1155" s="3840">
        <v>34.85</v>
      </c>
    </row>
    <row r="1156" spans="1:6">
      <c r="A1156" s="3838" t="s">
        <v>3469</v>
      </c>
      <c r="B1156" s="3841">
        <v>-2</v>
      </c>
      <c r="C1156" s="3839" t="s">
        <v>4319</v>
      </c>
      <c r="D1156" s="3837" t="str">
        <f t="shared" si="35"/>
        <v>2161</v>
      </c>
      <c r="E1156" s="3838" t="s">
        <v>3338</v>
      </c>
      <c r="F1156" s="3840">
        <v>34.85</v>
      </c>
    </row>
    <row r="1157" spans="1:6">
      <c r="A1157" s="3838" t="s">
        <v>3469</v>
      </c>
      <c r="B1157" s="3841">
        <v>-2</v>
      </c>
      <c r="C1157" s="3839" t="s">
        <v>4320</v>
      </c>
      <c r="D1157" s="3837" t="str">
        <f t="shared" si="35"/>
        <v>2162</v>
      </c>
      <c r="E1157" s="3838" t="s">
        <v>3338</v>
      </c>
      <c r="F1157" s="3840">
        <v>34.85</v>
      </c>
    </row>
    <row r="1158" spans="1:6">
      <c r="A1158" s="3838" t="s">
        <v>3469</v>
      </c>
      <c r="B1158" s="3841">
        <v>-2</v>
      </c>
      <c r="C1158" s="3839" t="s">
        <v>4321</v>
      </c>
      <c r="D1158" s="3837" t="str">
        <f t="shared" si="35"/>
        <v>2163</v>
      </c>
      <c r="E1158" s="3838" t="s">
        <v>3338</v>
      </c>
      <c r="F1158" s="3840">
        <v>34.85</v>
      </c>
    </row>
    <row r="1159" spans="1:6">
      <c r="A1159" s="3838" t="s">
        <v>3469</v>
      </c>
      <c r="B1159" s="3841">
        <v>-2</v>
      </c>
      <c r="C1159" s="3839" t="s">
        <v>4322</v>
      </c>
      <c r="D1159" s="3837" t="str">
        <f t="shared" si="35"/>
        <v>2164</v>
      </c>
      <c r="E1159" s="3838" t="s">
        <v>3338</v>
      </c>
      <c r="F1159" s="3840">
        <v>34.85</v>
      </c>
    </row>
    <row r="1160" spans="1:6">
      <c r="A1160" s="3838" t="s">
        <v>3469</v>
      </c>
      <c r="B1160" s="3841">
        <v>-2</v>
      </c>
      <c r="C1160" s="3839" t="s">
        <v>4323</v>
      </c>
      <c r="D1160" s="3837" t="str">
        <f t="shared" si="35"/>
        <v>2165</v>
      </c>
      <c r="E1160" s="3838" t="s">
        <v>3338</v>
      </c>
      <c r="F1160" s="3840">
        <v>34.85</v>
      </c>
    </row>
    <row r="1161" spans="1:6">
      <c r="A1161" s="3838" t="s">
        <v>3469</v>
      </c>
      <c r="B1161" s="3841">
        <v>-2</v>
      </c>
      <c r="C1161" s="3839" t="s">
        <v>4324</v>
      </c>
      <c r="D1161" s="3837" t="str">
        <f t="shared" si="35"/>
        <v>2166</v>
      </c>
      <c r="E1161" s="3838" t="s">
        <v>3338</v>
      </c>
      <c r="F1161" s="3840">
        <v>34.85</v>
      </c>
    </row>
    <row r="1162" spans="1:6">
      <c r="A1162" s="3838" t="s">
        <v>3469</v>
      </c>
      <c r="B1162" s="3841">
        <v>-2</v>
      </c>
      <c r="C1162" s="3839" t="s">
        <v>4325</v>
      </c>
      <c r="D1162" s="3837" t="str">
        <f t="shared" si="35"/>
        <v>2167</v>
      </c>
      <c r="E1162" s="3838" t="s">
        <v>3338</v>
      </c>
      <c r="F1162" s="3840">
        <v>34.85</v>
      </c>
    </row>
    <row r="1163" spans="1:6">
      <c r="A1163" s="3838" t="s">
        <v>3469</v>
      </c>
      <c r="B1163" s="3841">
        <v>-2</v>
      </c>
      <c r="C1163" s="3839" t="s">
        <v>4326</v>
      </c>
      <c r="D1163" s="3837" t="str">
        <f t="shared" si="35"/>
        <v>2168</v>
      </c>
      <c r="E1163" s="3838" t="s">
        <v>3338</v>
      </c>
      <c r="F1163" s="3840">
        <v>34.85</v>
      </c>
    </row>
    <row r="1164" spans="1:6">
      <c r="A1164" s="3838" t="s">
        <v>3469</v>
      </c>
      <c r="B1164" s="3841">
        <v>-2</v>
      </c>
      <c r="C1164" s="3839" t="s">
        <v>4327</v>
      </c>
      <c r="D1164" s="3837" t="str">
        <f t="shared" si="35"/>
        <v>2169</v>
      </c>
      <c r="E1164" s="3838" t="s">
        <v>3338</v>
      </c>
      <c r="F1164" s="3840">
        <v>34.85</v>
      </c>
    </row>
    <row r="1165" spans="1:6">
      <c r="A1165" s="3838" t="s">
        <v>3469</v>
      </c>
      <c r="B1165" s="3841">
        <v>-2</v>
      </c>
      <c r="C1165" s="3839" t="s">
        <v>4328</v>
      </c>
      <c r="D1165" s="3837" t="str">
        <f t="shared" ref="D1165:D1228" si="36">""&amp;C1165</f>
        <v>2170</v>
      </c>
      <c r="E1165" s="3838" t="s">
        <v>3338</v>
      </c>
      <c r="F1165" s="3840">
        <v>34.85</v>
      </c>
    </row>
    <row r="1166" spans="1:6">
      <c r="A1166" s="3838" t="s">
        <v>3469</v>
      </c>
      <c r="B1166" s="3841">
        <v>-2</v>
      </c>
      <c r="C1166" s="3839" t="s">
        <v>4329</v>
      </c>
      <c r="D1166" s="3837" t="str">
        <f t="shared" si="36"/>
        <v>2171</v>
      </c>
      <c r="E1166" s="3838" t="s">
        <v>3338</v>
      </c>
      <c r="F1166" s="3840">
        <v>34.85</v>
      </c>
    </row>
    <row r="1167" spans="1:6">
      <c r="A1167" s="3838" t="s">
        <v>3469</v>
      </c>
      <c r="B1167" s="3841">
        <v>-2</v>
      </c>
      <c r="C1167" s="3839" t="s">
        <v>4330</v>
      </c>
      <c r="D1167" s="3837" t="str">
        <f t="shared" si="36"/>
        <v>2172</v>
      </c>
      <c r="E1167" s="3838" t="s">
        <v>3338</v>
      </c>
      <c r="F1167" s="3840">
        <v>34.85</v>
      </c>
    </row>
    <row r="1168" spans="1:6">
      <c r="A1168" s="3838" t="s">
        <v>3469</v>
      </c>
      <c r="B1168" s="3841">
        <v>-2</v>
      </c>
      <c r="C1168" s="3839" t="s">
        <v>4331</v>
      </c>
      <c r="D1168" s="3837" t="str">
        <f t="shared" si="36"/>
        <v>2173</v>
      </c>
      <c r="E1168" s="3838" t="s">
        <v>3338</v>
      </c>
      <c r="F1168" s="3840">
        <v>34.85</v>
      </c>
    </row>
    <row r="1169" spans="1:6">
      <c r="A1169" s="3838" t="s">
        <v>3469</v>
      </c>
      <c r="B1169" s="3841">
        <v>-2</v>
      </c>
      <c r="C1169" s="3839" t="s">
        <v>4332</v>
      </c>
      <c r="D1169" s="3837" t="str">
        <f t="shared" si="36"/>
        <v>2174</v>
      </c>
      <c r="E1169" s="3838" t="s">
        <v>3338</v>
      </c>
      <c r="F1169" s="3840">
        <v>34.85</v>
      </c>
    </row>
    <row r="1170" spans="1:6">
      <c r="A1170" s="3838" t="s">
        <v>3469</v>
      </c>
      <c r="B1170" s="3841">
        <v>-2</v>
      </c>
      <c r="C1170" s="3839" t="s">
        <v>4333</v>
      </c>
      <c r="D1170" s="3837" t="str">
        <f t="shared" si="36"/>
        <v>2175</v>
      </c>
      <c r="E1170" s="3838" t="s">
        <v>3338</v>
      </c>
      <c r="F1170" s="3840">
        <v>34.85</v>
      </c>
    </row>
    <row r="1171" spans="1:6">
      <c r="A1171" s="3838" t="s">
        <v>3469</v>
      </c>
      <c r="B1171" s="3841">
        <v>-2</v>
      </c>
      <c r="C1171" s="3839" t="s">
        <v>4334</v>
      </c>
      <c r="D1171" s="3837" t="str">
        <f t="shared" si="36"/>
        <v>2176</v>
      </c>
      <c r="E1171" s="3838" t="s">
        <v>3338</v>
      </c>
      <c r="F1171" s="3840">
        <v>34.85</v>
      </c>
    </row>
    <row r="1172" spans="1:6">
      <c r="A1172" s="3838" t="s">
        <v>3469</v>
      </c>
      <c r="B1172" s="3841">
        <v>-2</v>
      </c>
      <c r="C1172" s="3839" t="s">
        <v>4335</v>
      </c>
      <c r="D1172" s="3837" t="str">
        <f t="shared" si="36"/>
        <v>2177</v>
      </c>
      <c r="E1172" s="3838" t="s">
        <v>3338</v>
      </c>
      <c r="F1172" s="3840">
        <v>34.85</v>
      </c>
    </row>
    <row r="1173" spans="1:6">
      <c r="A1173" s="3838" t="s">
        <v>3469</v>
      </c>
      <c r="B1173" s="3841">
        <v>-2</v>
      </c>
      <c r="C1173" s="3839" t="s">
        <v>4336</v>
      </c>
      <c r="D1173" s="3837" t="str">
        <f t="shared" si="36"/>
        <v>2178</v>
      </c>
      <c r="E1173" s="3838" t="s">
        <v>3338</v>
      </c>
      <c r="F1173" s="3840">
        <v>34.85</v>
      </c>
    </row>
    <row r="1174" spans="1:6">
      <c r="A1174" s="3838" t="s">
        <v>3469</v>
      </c>
      <c r="B1174" s="3841">
        <v>-2</v>
      </c>
      <c r="C1174" s="3839" t="s">
        <v>4337</v>
      </c>
      <c r="D1174" s="3837" t="str">
        <f t="shared" si="36"/>
        <v>2179</v>
      </c>
      <c r="E1174" s="3838" t="s">
        <v>3338</v>
      </c>
      <c r="F1174" s="3840">
        <v>34.85</v>
      </c>
    </row>
    <row r="1175" spans="1:6">
      <c r="A1175" s="3838" t="s">
        <v>3469</v>
      </c>
      <c r="B1175" s="3841">
        <v>-2</v>
      </c>
      <c r="C1175" s="3839" t="s">
        <v>4338</v>
      </c>
      <c r="D1175" s="3837" t="str">
        <f t="shared" si="36"/>
        <v>2180</v>
      </c>
      <c r="E1175" s="3838" t="s">
        <v>3338</v>
      </c>
      <c r="F1175" s="3840">
        <v>34.85</v>
      </c>
    </row>
    <row r="1176" spans="1:6">
      <c r="A1176" s="3838" t="s">
        <v>3469</v>
      </c>
      <c r="B1176" s="3841">
        <v>-2</v>
      </c>
      <c r="C1176" s="3839" t="s">
        <v>4339</v>
      </c>
      <c r="D1176" s="3837" t="str">
        <f t="shared" si="36"/>
        <v>2181</v>
      </c>
      <c r="E1176" s="3838" t="s">
        <v>3338</v>
      </c>
      <c r="F1176" s="3840">
        <v>34.85</v>
      </c>
    </row>
    <row r="1177" spans="1:6">
      <c r="A1177" s="3838" t="s">
        <v>3469</v>
      </c>
      <c r="B1177" s="3841">
        <v>-2</v>
      </c>
      <c r="C1177" s="3839" t="s">
        <v>4340</v>
      </c>
      <c r="D1177" s="3837" t="str">
        <f t="shared" si="36"/>
        <v>2182</v>
      </c>
      <c r="E1177" s="3838" t="s">
        <v>3338</v>
      </c>
      <c r="F1177" s="3840">
        <v>34.85</v>
      </c>
    </row>
    <row r="1178" spans="1:6">
      <c r="A1178" s="3838" t="s">
        <v>3469</v>
      </c>
      <c r="B1178" s="3841">
        <v>-2</v>
      </c>
      <c r="C1178" s="3839" t="s">
        <v>4341</v>
      </c>
      <c r="D1178" s="3837" t="str">
        <f t="shared" si="36"/>
        <v>2183</v>
      </c>
      <c r="E1178" s="3838" t="s">
        <v>3338</v>
      </c>
      <c r="F1178" s="3840">
        <v>34.85</v>
      </c>
    </row>
    <row r="1179" spans="1:6">
      <c r="A1179" s="3838" t="s">
        <v>3469</v>
      </c>
      <c r="B1179" s="3841">
        <v>-2</v>
      </c>
      <c r="C1179" s="3839" t="s">
        <v>4342</v>
      </c>
      <c r="D1179" s="3837" t="str">
        <f t="shared" si="36"/>
        <v>2184</v>
      </c>
      <c r="E1179" s="3838" t="s">
        <v>3338</v>
      </c>
      <c r="F1179" s="3840">
        <v>34.85</v>
      </c>
    </row>
    <row r="1180" spans="1:6">
      <c r="A1180" s="3838" t="s">
        <v>3469</v>
      </c>
      <c r="B1180" s="3841">
        <v>-2</v>
      </c>
      <c r="C1180" s="3839" t="s">
        <v>4343</v>
      </c>
      <c r="D1180" s="3837" t="str">
        <f t="shared" si="36"/>
        <v>2185</v>
      </c>
      <c r="E1180" s="3838" t="s">
        <v>3338</v>
      </c>
      <c r="F1180" s="3840">
        <v>34.85</v>
      </c>
    </row>
    <row r="1181" spans="1:6">
      <c r="A1181" s="3838" t="s">
        <v>3469</v>
      </c>
      <c r="B1181" s="3841">
        <v>-2</v>
      </c>
      <c r="C1181" s="3839" t="s">
        <v>4344</v>
      </c>
      <c r="D1181" s="3837" t="str">
        <f t="shared" si="36"/>
        <v>2186</v>
      </c>
      <c r="E1181" s="3838" t="s">
        <v>3338</v>
      </c>
      <c r="F1181" s="3840">
        <v>34.85</v>
      </c>
    </row>
    <row r="1182" spans="1:6">
      <c r="A1182" s="3838" t="s">
        <v>3469</v>
      </c>
      <c r="B1182" s="3841">
        <v>-2</v>
      </c>
      <c r="C1182" s="3839" t="s">
        <v>4345</v>
      </c>
      <c r="D1182" s="3837" t="str">
        <f t="shared" si="36"/>
        <v>2187</v>
      </c>
      <c r="E1182" s="3838" t="s">
        <v>3338</v>
      </c>
      <c r="F1182" s="3840">
        <v>34.85</v>
      </c>
    </row>
    <row r="1183" spans="1:6">
      <c r="A1183" s="3838" t="s">
        <v>3469</v>
      </c>
      <c r="B1183" s="3841">
        <v>-2</v>
      </c>
      <c r="C1183" s="3839" t="s">
        <v>4346</v>
      </c>
      <c r="D1183" s="3837" t="str">
        <f t="shared" si="36"/>
        <v>2188</v>
      </c>
      <c r="E1183" s="3838" t="s">
        <v>3338</v>
      </c>
      <c r="F1183" s="3840">
        <v>34.85</v>
      </c>
    </row>
    <row r="1184" spans="1:6">
      <c r="A1184" s="3838" t="s">
        <v>3469</v>
      </c>
      <c r="B1184" s="3841">
        <v>-2</v>
      </c>
      <c r="C1184" s="3839" t="s">
        <v>4347</v>
      </c>
      <c r="D1184" s="3837" t="str">
        <f t="shared" si="36"/>
        <v>2189</v>
      </c>
      <c r="E1184" s="3838" t="s">
        <v>3338</v>
      </c>
      <c r="F1184" s="3840">
        <v>34.85</v>
      </c>
    </row>
    <row r="1185" spans="1:6">
      <c r="A1185" s="3838" t="s">
        <v>3469</v>
      </c>
      <c r="B1185" s="3841">
        <v>-2</v>
      </c>
      <c r="C1185" s="3839" t="s">
        <v>4348</v>
      </c>
      <c r="D1185" s="3837" t="str">
        <f t="shared" si="36"/>
        <v>2190</v>
      </c>
      <c r="E1185" s="3838" t="s">
        <v>3338</v>
      </c>
      <c r="F1185" s="3840">
        <v>34.85</v>
      </c>
    </row>
    <row r="1186" spans="1:6">
      <c r="A1186" s="3838" t="s">
        <v>3469</v>
      </c>
      <c r="B1186" s="3841">
        <v>-2</v>
      </c>
      <c r="C1186" s="3839" t="s">
        <v>4349</v>
      </c>
      <c r="D1186" s="3837" t="str">
        <f t="shared" si="36"/>
        <v>2191</v>
      </c>
      <c r="E1186" s="3838" t="s">
        <v>3338</v>
      </c>
      <c r="F1186" s="3840">
        <v>34.85</v>
      </c>
    </row>
    <row r="1187" spans="1:6">
      <c r="A1187" s="3838" t="s">
        <v>3469</v>
      </c>
      <c r="B1187" s="3841">
        <v>-2</v>
      </c>
      <c r="C1187" s="3839" t="s">
        <v>4350</v>
      </c>
      <c r="D1187" s="3837" t="str">
        <f t="shared" si="36"/>
        <v>2192</v>
      </c>
      <c r="E1187" s="3838" t="s">
        <v>3338</v>
      </c>
      <c r="F1187" s="3840">
        <v>34.85</v>
      </c>
    </row>
    <row r="1188" spans="1:6">
      <c r="A1188" s="3838" t="s">
        <v>3469</v>
      </c>
      <c r="B1188" s="3841">
        <v>-2</v>
      </c>
      <c r="C1188" s="3839" t="s">
        <v>4351</v>
      </c>
      <c r="D1188" s="3837" t="str">
        <f t="shared" si="36"/>
        <v>2193</v>
      </c>
      <c r="E1188" s="3838" t="s">
        <v>3338</v>
      </c>
      <c r="F1188" s="3840">
        <v>34.85</v>
      </c>
    </row>
    <row r="1189" spans="1:6">
      <c r="A1189" s="3838" t="s">
        <v>3469</v>
      </c>
      <c r="B1189" s="3841">
        <v>-2</v>
      </c>
      <c r="C1189" s="3839" t="s">
        <v>4352</v>
      </c>
      <c r="D1189" s="3837" t="str">
        <f t="shared" si="36"/>
        <v>2194</v>
      </c>
      <c r="E1189" s="3838" t="s">
        <v>3338</v>
      </c>
      <c r="F1189" s="3840">
        <v>34.85</v>
      </c>
    </row>
    <row r="1190" spans="1:6">
      <c r="A1190" s="3838" t="s">
        <v>3469</v>
      </c>
      <c r="B1190" s="3841">
        <v>-2</v>
      </c>
      <c r="C1190" s="3839" t="s">
        <v>4353</v>
      </c>
      <c r="D1190" s="3837" t="str">
        <f t="shared" si="36"/>
        <v>2195</v>
      </c>
      <c r="E1190" s="3838" t="s">
        <v>3338</v>
      </c>
      <c r="F1190" s="3840">
        <v>34.85</v>
      </c>
    </row>
    <row r="1191" spans="1:6">
      <c r="A1191" s="3838" t="s">
        <v>3469</v>
      </c>
      <c r="B1191" s="3841">
        <v>-2</v>
      </c>
      <c r="C1191" s="3839" t="s">
        <v>4354</v>
      </c>
      <c r="D1191" s="3837" t="str">
        <f t="shared" si="36"/>
        <v>2196</v>
      </c>
      <c r="E1191" s="3838" t="s">
        <v>3338</v>
      </c>
      <c r="F1191" s="3840">
        <v>34.85</v>
      </c>
    </row>
    <row r="1192" spans="1:6">
      <c r="A1192" s="3838" t="s">
        <v>3469</v>
      </c>
      <c r="B1192" s="3841">
        <v>-2</v>
      </c>
      <c r="C1192" s="3839" t="s">
        <v>4355</v>
      </c>
      <c r="D1192" s="3837" t="str">
        <f t="shared" si="36"/>
        <v>2197</v>
      </c>
      <c r="E1192" s="3838" t="s">
        <v>3338</v>
      </c>
      <c r="F1192" s="3840">
        <v>34.85</v>
      </c>
    </row>
    <row r="1193" spans="1:6">
      <c r="A1193" s="3838" t="s">
        <v>3469</v>
      </c>
      <c r="B1193" s="3841">
        <v>-2</v>
      </c>
      <c r="C1193" s="3839" t="s">
        <v>4356</v>
      </c>
      <c r="D1193" s="3837" t="str">
        <f t="shared" si="36"/>
        <v>2198</v>
      </c>
      <c r="E1193" s="3838" t="s">
        <v>3338</v>
      </c>
      <c r="F1193" s="3840">
        <v>34.85</v>
      </c>
    </row>
    <row r="1194" spans="1:6">
      <c r="A1194" s="3838" t="s">
        <v>3469</v>
      </c>
      <c r="B1194" s="3841">
        <v>-2</v>
      </c>
      <c r="C1194" s="3839" t="s">
        <v>4357</v>
      </c>
      <c r="D1194" s="3837" t="str">
        <f t="shared" si="36"/>
        <v>2199</v>
      </c>
      <c r="E1194" s="3838" t="s">
        <v>3338</v>
      </c>
      <c r="F1194" s="3840">
        <v>34.85</v>
      </c>
    </row>
    <row r="1195" spans="1:6">
      <c r="A1195" s="3838" t="s">
        <v>3469</v>
      </c>
      <c r="B1195" s="3841">
        <v>-2</v>
      </c>
      <c r="C1195" s="3839" t="s">
        <v>4358</v>
      </c>
      <c r="D1195" s="3837" t="str">
        <f t="shared" si="36"/>
        <v>2200</v>
      </c>
      <c r="E1195" s="3838" t="s">
        <v>3338</v>
      </c>
      <c r="F1195" s="3840">
        <v>34.85</v>
      </c>
    </row>
    <row r="1196" spans="1:6">
      <c r="A1196" s="3838" t="s">
        <v>3469</v>
      </c>
      <c r="B1196" s="3841">
        <v>-2</v>
      </c>
      <c r="C1196" s="3839" t="s">
        <v>4359</v>
      </c>
      <c r="D1196" s="3837" t="str">
        <f t="shared" si="36"/>
        <v>2201</v>
      </c>
      <c r="E1196" s="3838" t="s">
        <v>3338</v>
      </c>
      <c r="F1196" s="3840">
        <v>34.85</v>
      </c>
    </row>
    <row r="1197" spans="1:6">
      <c r="A1197" s="3838" t="s">
        <v>3469</v>
      </c>
      <c r="B1197" s="3841">
        <v>-2</v>
      </c>
      <c r="C1197" s="3839" t="s">
        <v>4360</v>
      </c>
      <c r="D1197" s="3837" t="str">
        <f t="shared" si="36"/>
        <v>2202</v>
      </c>
      <c r="E1197" s="3838" t="s">
        <v>3338</v>
      </c>
      <c r="F1197" s="3840">
        <v>34.85</v>
      </c>
    </row>
    <row r="1198" spans="1:6">
      <c r="A1198" s="3838" t="s">
        <v>3469</v>
      </c>
      <c r="B1198" s="3841">
        <v>-2</v>
      </c>
      <c r="C1198" s="3839" t="s">
        <v>4361</v>
      </c>
      <c r="D1198" s="3837" t="str">
        <f t="shared" si="36"/>
        <v>2203</v>
      </c>
      <c r="E1198" s="3838" t="s">
        <v>3338</v>
      </c>
      <c r="F1198" s="3840">
        <v>34.85</v>
      </c>
    </row>
    <row r="1199" spans="1:6">
      <c r="A1199" s="3838" t="s">
        <v>3469</v>
      </c>
      <c r="B1199" s="3841">
        <v>-2</v>
      </c>
      <c r="C1199" s="3839" t="s">
        <v>4362</v>
      </c>
      <c r="D1199" s="3837" t="str">
        <f t="shared" si="36"/>
        <v>2204</v>
      </c>
      <c r="E1199" s="3838" t="s">
        <v>3338</v>
      </c>
      <c r="F1199" s="3840">
        <v>34.85</v>
      </c>
    </row>
    <row r="1200" spans="1:6">
      <c r="A1200" s="3838" t="s">
        <v>3469</v>
      </c>
      <c r="B1200" s="3841">
        <v>-2</v>
      </c>
      <c r="C1200" s="3839" t="s">
        <v>4363</v>
      </c>
      <c r="D1200" s="3837" t="str">
        <f t="shared" si="36"/>
        <v>2205</v>
      </c>
      <c r="E1200" s="3838" t="s">
        <v>3338</v>
      </c>
      <c r="F1200" s="3840">
        <v>34.85</v>
      </c>
    </row>
    <row r="1201" spans="1:6">
      <c r="A1201" s="3838" t="s">
        <v>3469</v>
      </c>
      <c r="B1201" s="3841">
        <v>-2</v>
      </c>
      <c r="C1201" s="3839" t="s">
        <v>4364</v>
      </c>
      <c r="D1201" s="3837" t="str">
        <f t="shared" si="36"/>
        <v>2206</v>
      </c>
      <c r="E1201" s="3838" t="s">
        <v>3338</v>
      </c>
      <c r="F1201" s="3840">
        <v>34.85</v>
      </c>
    </row>
    <row r="1202" spans="1:6">
      <c r="A1202" s="3838" t="s">
        <v>3469</v>
      </c>
      <c r="B1202" s="3841">
        <v>-2</v>
      </c>
      <c r="C1202" s="3839" t="s">
        <v>4365</v>
      </c>
      <c r="D1202" s="3837" t="str">
        <f t="shared" si="36"/>
        <v>2207</v>
      </c>
      <c r="E1202" s="3838" t="s">
        <v>3338</v>
      </c>
      <c r="F1202" s="3840">
        <v>34.85</v>
      </c>
    </row>
    <row r="1203" spans="1:6">
      <c r="A1203" s="3838" t="s">
        <v>3469</v>
      </c>
      <c r="B1203" s="3841">
        <v>-2</v>
      </c>
      <c r="C1203" s="3839" t="s">
        <v>4366</v>
      </c>
      <c r="D1203" s="3837" t="str">
        <f t="shared" si="36"/>
        <v>2208</v>
      </c>
      <c r="E1203" s="3838" t="s">
        <v>3338</v>
      </c>
      <c r="F1203" s="3840">
        <v>34.85</v>
      </c>
    </row>
    <row r="1204" spans="1:6">
      <c r="A1204" s="3838" t="s">
        <v>3469</v>
      </c>
      <c r="B1204" s="3841">
        <v>-2</v>
      </c>
      <c r="C1204" s="3839" t="s">
        <v>4367</v>
      </c>
      <c r="D1204" s="3837" t="str">
        <f t="shared" si="36"/>
        <v>2209</v>
      </c>
      <c r="E1204" s="3838" t="s">
        <v>3338</v>
      </c>
      <c r="F1204" s="3840">
        <v>34.85</v>
      </c>
    </row>
    <row r="1205" spans="1:6">
      <c r="A1205" s="3838" t="s">
        <v>3469</v>
      </c>
      <c r="B1205" s="3841">
        <v>-2</v>
      </c>
      <c r="C1205" s="3839" t="s">
        <v>4368</v>
      </c>
      <c r="D1205" s="3837" t="str">
        <f t="shared" si="36"/>
        <v>2210</v>
      </c>
      <c r="E1205" s="3838" t="s">
        <v>3338</v>
      </c>
      <c r="F1205" s="3840">
        <v>34.85</v>
      </c>
    </row>
    <row r="1206" spans="1:6">
      <c r="A1206" s="3838" t="s">
        <v>3469</v>
      </c>
      <c r="B1206" s="3841">
        <v>-2</v>
      </c>
      <c r="C1206" s="3839" t="s">
        <v>4369</v>
      </c>
      <c r="D1206" s="3837" t="str">
        <f t="shared" si="36"/>
        <v>2211</v>
      </c>
      <c r="E1206" s="3838" t="s">
        <v>3338</v>
      </c>
      <c r="F1206" s="3840">
        <v>34.85</v>
      </c>
    </row>
    <row r="1207" spans="1:6">
      <c r="A1207" s="3838" t="s">
        <v>3469</v>
      </c>
      <c r="B1207" s="3841">
        <v>-2</v>
      </c>
      <c r="C1207" s="3839" t="s">
        <v>4370</v>
      </c>
      <c r="D1207" s="3837" t="str">
        <f t="shared" si="36"/>
        <v>2212</v>
      </c>
      <c r="E1207" s="3838" t="s">
        <v>3338</v>
      </c>
      <c r="F1207" s="3840">
        <v>34.85</v>
      </c>
    </row>
    <row r="1208" spans="1:6">
      <c r="A1208" s="3838" t="s">
        <v>3469</v>
      </c>
      <c r="B1208" s="3841">
        <v>-2</v>
      </c>
      <c r="C1208" s="3839" t="s">
        <v>4371</v>
      </c>
      <c r="D1208" s="3837" t="str">
        <f t="shared" si="36"/>
        <v>2213</v>
      </c>
      <c r="E1208" s="3838" t="s">
        <v>3338</v>
      </c>
      <c r="F1208" s="3840">
        <v>34.85</v>
      </c>
    </row>
    <row r="1209" spans="1:6">
      <c r="A1209" s="3838" t="s">
        <v>3469</v>
      </c>
      <c r="B1209" s="3841">
        <v>-2</v>
      </c>
      <c r="C1209" s="3839" t="s">
        <v>4372</v>
      </c>
      <c r="D1209" s="3837" t="str">
        <f t="shared" si="36"/>
        <v>2214</v>
      </c>
      <c r="E1209" s="3838" t="s">
        <v>3338</v>
      </c>
      <c r="F1209" s="3840">
        <v>34.85</v>
      </c>
    </row>
    <row r="1210" spans="1:6">
      <c r="A1210" s="3838" t="s">
        <v>3469</v>
      </c>
      <c r="B1210" s="3841">
        <v>-2</v>
      </c>
      <c r="C1210" s="3839" t="s">
        <v>4373</v>
      </c>
      <c r="D1210" s="3837" t="str">
        <f t="shared" si="36"/>
        <v>2215</v>
      </c>
      <c r="E1210" s="3838" t="s">
        <v>3338</v>
      </c>
      <c r="F1210" s="3840">
        <v>34.85</v>
      </c>
    </row>
    <row r="1211" spans="1:6">
      <c r="A1211" s="3838" t="s">
        <v>3469</v>
      </c>
      <c r="B1211" s="3841">
        <v>-2</v>
      </c>
      <c r="C1211" s="3839" t="s">
        <v>4374</v>
      </c>
      <c r="D1211" s="3837" t="str">
        <f t="shared" si="36"/>
        <v>2216</v>
      </c>
      <c r="E1211" s="3838" t="s">
        <v>3338</v>
      </c>
      <c r="F1211" s="3840">
        <v>34.85</v>
      </c>
    </row>
    <row r="1212" spans="1:6">
      <c r="A1212" s="3838" t="s">
        <v>3469</v>
      </c>
      <c r="B1212" s="3841">
        <v>-2</v>
      </c>
      <c r="C1212" s="3839" t="s">
        <v>4375</v>
      </c>
      <c r="D1212" s="3837" t="str">
        <f t="shared" si="36"/>
        <v>2217</v>
      </c>
      <c r="E1212" s="3838" t="s">
        <v>3338</v>
      </c>
      <c r="F1212" s="3840">
        <v>34.85</v>
      </c>
    </row>
    <row r="1213" spans="1:6">
      <c r="A1213" s="3838" t="s">
        <v>3469</v>
      </c>
      <c r="B1213" s="3841">
        <v>-2</v>
      </c>
      <c r="C1213" s="3839" t="s">
        <v>4376</v>
      </c>
      <c r="D1213" s="3837" t="str">
        <f t="shared" si="36"/>
        <v>2218</v>
      </c>
      <c r="E1213" s="3838" t="s">
        <v>3338</v>
      </c>
      <c r="F1213" s="3840">
        <v>34.85</v>
      </c>
    </row>
    <row r="1214" spans="1:6">
      <c r="A1214" s="3838" t="s">
        <v>3469</v>
      </c>
      <c r="B1214" s="3841">
        <v>-2</v>
      </c>
      <c r="C1214" s="3839" t="s">
        <v>4377</v>
      </c>
      <c r="D1214" s="3837" t="str">
        <f t="shared" si="36"/>
        <v>2219</v>
      </c>
      <c r="E1214" s="3838" t="s">
        <v>3338</v>
      </c>
      <c r="F1214" s="3840">
        <v>34.85</v>
      </c>
    </row>
    <row r="1215" spans="1:6">
      <c r="A1215" s="3838" t="s">
        <v>3469</v>
      </c>
      <c r="B1215" s="3841">
        <v>-2</v>
      </c>
      <c r="C1215" s="3839" t="s">
        <v>4378</v>
      </c>
      <c r="D1215" s="3837" t="str">
        <f t="shared" si="36"/>
        <v>2220</v>
      </c>
      <c r="E1215" s="3838" t="s">
        <v>3338</v>
      </c>
      <c r="F1215" s="3840">
        <v>34.85</v>
      </c>
    </row>
    <row r="1216" spans="1:6">
      <c r="A1216" s="3838" t="s">
        <v>3469</v>
      </c>
      <c r="B1216" s="3841">
        <v>-2</v>
      </c>
      <c r="C1216" s="3839" t="s">
        <v>4379</v>
      </c>
      <c r="D1216" s="3837" t="str">
        <f t="shared" si="36"/>
        <v>2221</v>
      </c>
      <c r="E1216" s="3838" t="s">
        <v>3338</v>
      </c>
      <c r="F1216" s="3840">
        <v>34.85</v>
      </c>
    </row>
    <row r="1217" spans="1:6">
      <c r="A1217" s="3838" t="s">
        <v>3469</v>
      </c>
      <c r="B1217" s="3841">
        <v>-2</v>
      </c>
      <c r="C1217" s="3839" t="s">
        <v>4380</v>
      </c>
      <c r="D1217" s="3837" t="str">
        <f t="shared" si="36"/>
        <v>2222</v>
      </c>
      <c r="E1217" s="3838" t="s">
        <v>3338</v>
      </c>
      <c r="F1217" s="3840">
        <v>34.85</v>
      </c>
    </row>
    <row r="1218" spans="1:6">
      <c r="A1218" s="3838" t="s">
        <v>3469</v>
      </c>
      <c r="B1218" s="3841">
        <v>-2</v>
      </c>
      <c r="C1218" s="3839" t="s">
        <v>4381</v>
      </c>
      <c r="D1218" s="3837" t="str">
        <f t="shared" si="36"/>
        <v>2223</v>
      </c>
      <c r="E1218" s="3838" t="s">
        <v>3338</v>
      </c>
      <c r="F1218" s="3840">
        <v>34.85</v>
      </c>
    </row>
    <row r="1219" spans="1:6">
      <c r="A1219" s="3838" t="s">
        <v>3469</v>
      </c>
      <c r="B1219" s="3841">
        <v>-2</v>
      </c>
      <c r="C1219" s="3839" t="s">
        <v>4382</v>
      </c>
      <c r="D1219" s="3837" t="str">
        <f t="shared" si="36"/>
        <v>2224</v>
      </c>
      <c r="E1219" s="3838" t="s">
        <v>3338</v>
      </c>
      <c r="F1219" s="3840">
        <v>34.85</v>
      </c>
    </row>
    <row r="1220" spans="1:6">
      <c r="A1220" s="3838" t="s">
        <v>3469</v>
      </c>
      <c r="B1220" s="3841">
        <v>-2</v>
      </c>
      <c r="C1220" s="3839" t="s">
        <v>4383</v>
      </c>
      <c r="D1220" s="3837" t="str">
        <f t="shared" si="36"/>
        <v>2225</v>
      </c>
      <c r="E1220" s="3838" t="s">
        <v>3338</v>
      </c>
      <c r="F1220" s="3840">
        <v>34.85</v>
      </c>
    </row>
    <row r="1221" spans="1:6">
      <c r="A1221" s="3838" t="s">
        <v>3469</v>
      </c>
      <c r="B1221" s="3841">
        <v>-2</v>
      </c>
      <c r="C1221" s="3839" t="s">
        <v>4384</v>
      </c>
      <c r="D1221" s="3837" t="str">
        <f t="shared" si="36"/>
        <v>2226</v>
      </c>
      <c r="E1221" s="3838" t="s">
        <v>3338</v>
      </c>
      <c r="F1221" s="3840">
        <v>34.85</v>
      </c>
    </row>
    <row r="1222" spans="1:6">
      <c r="A1222" s="3838" t="s">
        <v>3469</v>
      </c>
      <c r="B1222" s="3841">
        <v>-2</v>
      </c>
      <c r="C1222" s="3839" t="s">
        <v>4385</v>
      </c>
      <c r="D1222" s="3837" t="str">
        <f t="shared" si="36"/>
        <v>2227</v>
      </c>
      <c r="E1222" s="3838" t="s">
        <v>3338</v>
      </c>
      <c r="F1222" s="3840">
        <v>34.85</v>
      </c>
    </row>
    <row r="1223" spans="1:6">
      <c r="A1223" s="3838" t="s">
        <v>3469</v>
      </c>
      <c r="B1223" s="3841">
        <v>-2</v>
      </c>
      <c r="C1223" s="3839" t="s">
        <v>4386</v>
      </c>
      <c r="D1223" s="3837" t="str">
        <f t="shared" si="36"/>
        <v>2228</v>
      </c>
      <c r="E1223" s="3838" t="s">
        <v>3338</v>
      </c>
      <c r="F1223" s="3840">
        <v>34.85</v>
      </c>
    </row>
    <row r="1224" spans="1:6">
      <c r="A1224" s="3838" t="s">
        <v>3469</v>
      </c>
      <c r="B1224" s="3841">
        <v>-2</v>
      </c>
      <c r="C1224" s="3839" t="s">
        <v>4387</v>
      </c>
      <c r="D1224" s="3837" t="str">
        <f t="shared" si="36"/>
        <v>2229</v>
      </c>
      <c r="E1224" s="3838" t="s">
        <v>3338</v>
      </c>
      <c r="F1224" s="3840">
        <v>34.85</v>
      </c>
    </row>
    <row r="1225" spans="1:6">
      <c r="A1225" s="3838" t="s">
        <v>3469</v>
      </c>
      <c r="B1225" s="3841">
        <v>-2</v>
      </c>
      <c r="C1225" s="3839" t="s">
        <v>4388</v>
      </c>
      <c r="D1225" s="3837" t="str">
        <f t="shared" si="36"/>
        <v>2230</v>
      </c>
      <c r="E1225" s="3838" t="s">
        <v>3338</v>
      </c>
      <c r="F1225" s="3840">
        <v>34.85</v>
      </c>
    </row>
    <row r="1226" spans="1:6">
      <c r="A1226" s="3838" t="s">
        <v>3469</v>
      </c>
      <c r="B1226" s="3841">
        <v>-2</v>
      </c>
      <c r="C1226" s="3839" t="s">
        <v>4389</v>
      </c>
      <c r="D1226" s="3837" t="str">
        <f t="shared" si="36"/>
        <v>2231</v>
      </c>
      <c r="E1226" s="3838" t="s">
        <v>3338</v>
      </c>
      <c r="F1226" s="3840">
        <v>34.85</v>
      </c>
    </row>
    <row r="1227" spans="1:6">
      <c r="A1227" s="3838" t="s">
        <v>3469</v>
      </c>
      <c r="B1227" s="3841">
        <v>-2</v>
      </c>
      <c r="C1227" s="3839" t="s">
        <v>4390</v>
      </c>
      <c r="D1227" s="3837" t="str">
        <f t="shared" si="36"/>
        <v>2232</v>
      </c>
      <c r="E1227" s="3838" t="s">
        <v>3338</v>
      </c>
      <c r="F1227" s="3840">
        <v>34.85</v>
      </c>
    </row>
    <row r="1228" spans="1:6">
      <c r="A1228" s="3838" t="s">
        <v>3469</v>
      </c>
      <c r="B1228" s="3841">
        <v>-2</v>
      </c>
      <c r="C1228" s="3839" t="s">
        <v>4391</v>
      </c>
      <c r="D1228" s="3837" t="str">
        <f t="shared" si="36"/>
        <v>2233</v>
      </c>
      <c r="E1228" s="3838" t="s">
        <v>3338</v>
      </c>
      <c r="F1228" s="3840">
        <v>34.85</v>
      </c>
    </row>
    <row r="1229" spans="1:6">
      <c r="A1229" s="3838" t="s">
        <v>3469</v>
      </c>
      <c r="B1229" s="3841">
        <v>-2</v>
      </c>
      <c r="C1229" s="3839" t="s">
        <v>4392</v>
      </c>
      <c r="D1229" s="3837" t="str">
        <f t="shared" ref="D1229:D1292" si="37">""&amp;C1229</f>
        <v>2234</v>
      </c>
      <c r="E1229" s="3838" t="s">
        <v>3338</v>
      </c>
      <c r="F1229" s="3840">
        <v>34.85</v>
      </c>
    </row>
    <row r="1230" spans="1:6">
      <c r="A1230" s="3838" t="s">
        <v>3469</v>
      </c>
      <c r="B1230" s="3841">
        <v>-2</v>
      </c>
      <c r="C1230" s="3839" t="s">
        <v>4393</v>
      </c>
      <c r="D1230" s="3837" t="str">
        <f t="shared" si="37"/>
        <v>2235</v>
      </c>
      <c r="E1230" s="3838" t="s">
        <v>3338</v>
      </c>
      <c r="F1230" s="3840">
        <v>34.85</v>
      </c>
    </row>
    <row r="1231" spans="1:6">
      <c r="A1231" s="3838" t="s">
        <v>3469</v>
      </c>
      <c r="B1231" s="3841">
        <v>-2</v>
      </c>
      <c r="C1231" s="3839" t="s">
        <v>4394</v>
      </c>
      <c r="D1231" s="3837" t="str">
        <f t="shared" si="37"/>
        <v>2236</v>
      </c>
      <c r="E1231" s="3838" t="s">
        <v>3338</v>
      </c>
      <c r="F1231" s="3840">
        <v>34.85</v>
      </c>
    </row>
    <row r="1232" spans="1:6">
      <c r="A1232" s="3838" t="s">
        <v>3469</v>
      </c>
      <c r="B1232" s="3841">
        <v>-2</v>
      </c>
      <c r="C1232" s="3839" t="s">
        <v>4395</v>
      </c>
      <c r="D1232" s="3837" t="str">
        <f t="shared" si="37"/>
        <v>2237</v>
      </c>
      <c r="E1232" s="3838" t="s">
        <v>3338</v>
      </c>
      <c r="F1232" s="3840">
        <v>34.85</v>
      </c>
    </row>
    <row r="1233" spans="1:6">
      <c r="A1233" s="3838" t="s">
        <v>3469</v>
      </c>
      <c r="B1233" s="3841">
        <v>-2</v>
      </c>
      <c r="C1233" s="3839" t="s">
        <v>4396</v>
      </c>
      <c r="D1233" s="3837" t="str">
        <f t="shared" si="37"/>
        <v>2238</v>
      </c>
      <c r="E1233" s="3838" t="s">
        <v>3338</v>
      </c>
      <c r="F1233" s="3840">
        <v>34.85</v>
      </c>
    </row>
    <row r="1234" spans="1:6">
      <c r="A1234" s="3838" t="s">
        <v>3469</v>
      </c>
      <c r="B1234" s="3841">
        <v>-2</v>
      </c>
      <c r="C1234" s="3839" t="s">
        <v>4397</v>
      </c>
      <c r="D1234" s="3837" t="str">
        <f t="shared" si="37"/>
        <v>2239</v>
      </c>
      <c r="E1234" s="3838" t="s">
        <v>3338</v>
      </c>
      <c r="F1234" s="3840">
        <v>34.85</v>
      </c>
    </row>
    <row r="1235" spans="1:6">
      <c r="A1235" s="3838" t="s">
        <v>3469</v>
      </c>
      <c r="B1235" s="3841">
        <v>-2</v>
      </c>
      <c r="C1235" s="3839" t="s">
        <v>4398</v>
      </c>
      <c r="D1235" s="3837" t="str">
        <f t="shared" si="37"/>
        <v>2240</v>
      </c>
      <c r="E1235" s="3838" t="s">
        <v>3338</v>
      </c>
      <c r="F1235" s="3840">
        <v>34.85</v>
      </c>
    </row>
    <row r="1236" spans="1:6">
      <c r="A1236" s="3838" t="s">
        <v>3469</v>
      </c>
      <c r="B1236" s="3841">
        <v>-2</v>
      </c>
      <c r="C1236" s="3839" t="s">
        <v>4399</v>
      </c>
      <c r="D1236" s="3837" t="str">
        <f t="shared" si="37"/>
        <v>2241</v>
      </c>
      <c r="E1236" s="3838" t="s">
        <v>3338</v>
      </c>
      <c r="F1236" s="3840">
        <v>34.85</v>
      </c>
    </row>
    <row r="1237" spans="1:6">
      <c r="A1237" s="3838" t="s">
        <v>3469</v>
      </c>
      <c r="B1237" s="3841">
        <v>-2</v>
      </c>
      <c r="C1237" s="3839" t="s">
        <v>4400</v>
      </c>
      <c r="D1237" s="3837" t="str">
        <f t="shared" si="37"/>
        <v>2242</v>
      </c>
      <c r="E1237" s="3838" t="s">
        <v>3338</v>
      </c>
      <c r="F1237" s="3840">
        <v>34.85</v>
      </c>
    </row>
    <row r="1238" spans="1:6">
      <c r="A1238" s="3838" t="s">
        <v>3469</v>
      </c>
      <c r="B1238" s="3841">
        <v>-2</v>
      </c>
      <c r="C1238" s="3839" t="s">
        <v>4401</v>
      </c>
      <c r="D1238" s="3837" t="str">
        <f t="shared" si="37"/>
        <v>2243</v>
      </c>
      <c r="E1238" s="3838" t="s">
        <v>3338</v>
      </c>
      <c r="F1238" s="3840">
        <v>34.85</v>
      </c>
    </row>
    <row r="1239" spans="1:6">
      <c r="A1239" s="3838" t="s">
        <v>3469</v>
      </c>
      <c r="B1239" s="3841">
        <v>-2</v>
      </c>
      <c r="C1239" s="3839" t="s">
        <v>4402</v>
      </c>
      <c r="D1239" s="3837" t="str">
        <f t="shared" si="37"/>
        <v>2244</v>
      </c>
      <c r="E1239" s="3838" t="s">
        <v>3338</v>
      </c>
      <c r="F1239" s="3840">
        <v>34.85</v>
      </c>
    </row>
    <row r="1240" spans="1:6">
      <c r="A1240" s="3838" t="s">
        <v>3469</v>
      </c>
      <c r="B1240" s="3841">
        <v>-2</v>
      </c>
      <c r="C1240" s="3839" t="s">
        <v>4403</v>
      </c>
      <c r="D1240" s="3837" t="str">
        <f t="shared" si="37"/>
        <v>2245</v>
      </c>
      <c r="E1240" s="3838" t="s">
        <v>3338</v>
      </c>
      <c r="F1240" s="3840">
        <v>34.85</v>
      </c>
    </row>
    <row r="1241" spans="1:6">
      <c r="A1241" s="3838" t="s">
        <v>3469</v>
      </c>
      <c r="B1241" s="3841">
        <v>-2</v>
      </c>
      <c r="C1241" s="3839" t="s">
        <v>4404</v>
      </c>
      <c r="D1241" s="3837" t="str">
        <f t="shared" si="37"/>
        <v>2246</v>
      </c>
      <c r="E1241" s="3838" t="s">
        <v>3338</v>
      </c>
      <c r="F1241" s="3840">
        <v>34.85</v>
      </c>
    </row>
    <row r="1242" spans="1:6">
      <c r="A1242" s="3838" t="s">
        <v>3469</v>
      </c>
      <c r="B1242" s="3841">
        <v>-2</v>
      </c>
      <c r="C1242" s="3839" t="s">
        <v>4405</v>
      </c>
      <c r="D1242" s="3837" t="str">
        <f t="shared" si="37"/>
        <v>2247</v>
      </c>
      <c r="E1242" s="3838" t="s">
        <v>3338</v>
      </c>
      <c r="F1242" s="3840">
        <v>34.85</v>
      </c>
    </row>
    <row r="1243" spans="1:6">
      <c r="A1243" s="3838" t="s">
        <v>3469</v>
      </c>
      <c r="B1243" s="3841">
        <v>-2</v>
      </c>
      <c r="C1243" s="3839" t="s">
        <v>4406</v>
      </c>
      <c r="D1243" s="3837" t="str">
        <f t="shared" si="37"/>
        <v>2248</v>
      </c>
      <c r="E1243" s="3838" t="s">
        <v>3338</v>
      </c>
      <c r="F1243" s="3840">
        <v>34.85</v>
      </c>
    </row>
    <row r="1244" spans="1:6">
      <c r="A1244" s="3838" t="s">
        <v>3469</v>
      </c>
      <c r="B1244" s="3841">
        <v>-2</v>
      </c>
      <c r="C1244" s="3839" t="s">
        <v>4407</v>
      </c>
      <c r="D1244" s="3837" t="str">
        <f t="shared" si="37"/>
        <v>2249</v>
      </c>
      <c r="E1244" s="3838" t="s">
        <v>3338</v>
      </c>
      <c r="F1244" s="3840">
        <v>34.85</v>
      </c>
    </row>
    <row r="1245" spans="1:6">
      <c r="A1245" s="3838" t="s">
        <v>3469</v>
      </c>
      <c r="B1245" s="3841">
        <v>-2</v>
      </c>
      <c r="C1245" s="3839" t="s">
        <v>4408</v>
      </c>
      <c r="D1245" s="3837" t="str">
        <f t="shared" si="37"/>
        <v>2250</v>
      </c>
      <c r="E1245" s="3838" t="s">
        <v>3338</v>
      </c>
      <c r="F1245" s="3840">
        <v>34.85</v>
      </c>
    </row>
    <row r="1246" spans="1:6">
      <c r="A1246" s="3838" t="s">
        <v>3469</v>
      </c>
      <c r="B1246" s="3841">
        <v>-2</v>
      </c>
      <c r="C1246" s="3839" t="s">
        <v>4409</v>
      </c>
      <c r="D1246" s="3837" t="str">
        <f t="shared" si="37"/>
        <v>2251</v>
      </c>
      <c r="E1246" s="3838" t="s">
        <v>3338</v>
      </c>
      <c r="F1246" s="3840">
        <v>34.85</v>
      </c>
    </row>
    <row r="1247" spans="1:6">
      <c r="A1247" s="3838" t="s">
        <v>3469</v>
      </c>
      <c r="B1247" s="3841">
        <v>-2</v>
      </c>
      <c r="C1247" s="3839" t="s">
        <v>4410</v>
      </c>
      <c r="D1247" s="3837" t="str">
        <f t="shared" si="37"/>
        <v>2252</v>
      </c>
      <c r="E1247" s="3838" t="s">
        <v>3338</v>
      </c>
      <c r="F1247" s="3840">
        <v>34.85</v>
      </c>
    </row>
    <row r="1248" spans="1:6">
      <c r="A1248" s="3838" t="s">
        <v>3469</v>
      </c>
      <c r="B1248" s="3841">
        <v>-2</v>
      </c>
      <c r="C1248" s="3839" t="s">
        <v>4411</v>
      </c>
      <c r="D1248" s="3837" t="str">
        <f t="shared" si="37"/>
        <v>2253</v>
      </c>
      <c r="E1248" s="3838" t="s">
        <v>3338</v>
      </c>
      <c r="F1248" s="3840">
        <v>34.85</v>
      </c>
    </row>
    <row r="1249" spans="1:6">
      <c r="A1249" s="3838" t="s">
        <v>3469</v>
      </c>
      <c r="B1249" s="3841">
        <v>-2</v>
      </c>
      <c r="C1249" s="3839" t="s">
        <v>4412</v>
      </c>
      <c r="D1249" s="3837" t="str">
        <f t="shared" si="37"/>
        <v>2254</v>
      </c>
      <c r="E1249" s="3838" t="s">
        <v>3338</v>
      </c>
      <c r="F1249" s="3840">
        <v>34.85</v>
      </c>
    </row>
    <row r="1250" spans="1:6">
      <c r="A1250" s="3838" t="s">
        <v>3469</v>
      </c>
      <c r="B1250" s="3841">
        <v>-2</v>
      </c>
      <c r="C1250" s="3839" t="s">
        <v>4413</v>
      </c>
      <c r="D1250" s="3837" t="str">
        <f t="shared" si="37"/>
        <v>2255</v>
      </c>
      <c r="E1250" s="3838" t="s">
        <v>3338</v>
      </c>
      <c r="F1250" s="3840">
        <v>34.85</v>
      </c>
    </row>
    <row r="1251" spans="1:6">
      <c r="A1251" s="3838" t="s">
        <v>3469</v>
      </c>
      <c r="B1251" s="3841">
        <v>-2</v>
      </c>
      <c r="C1251" s="3839" t="s">
        <v>4414</v>
      </c>
      <c r="D1251" s="3837" t="str">
        <f t="shared" si="37"/>
        <v>2256</v>
      </c>
      <c r="E1251" s="3838" t="s">
        <v>3338</v>
      </c>
      <c r="F1251" s="3840">
        <v>34.85</v>
      </c>
    </row>
    <row r="1252" spans="1:6">
      <c r="A1252" s="3838" t="s">
        <v>3469</v>
      </c>
      <c r="B1252" s="3841">
        <v>-2</v>
      </c>
      <c r="C1252" s="3839" t="s">
        <v>4415</v>
      </c>
      <c r="D1252" s="3837" t="str">
        <f t="shared" si="37"/>
        <v>2257</v>
      </c>
      <c r="E1252" s="3838" t="s">
        <v>3338</v>
      </c>
      <c r="F1252" s="3840">
        <v>34.85</v>
      </c>
    </row>
    <row r="1253" spans="1:6">
      <c r="A1253" s="3838" t="s">
        <v>3469</v>
      </c>
      <c r="B1253" s="3841">
        <v>-2</v>
      </c>
      <c r="C1253" s="3839" t="s">
        <v>4416</v>
      </c>
      <c r="D1253" s="3837" t="str">
        <f t="shared" si="37"/>
        <v>2258</v>
      </c>
      <c r="E1253" s="3838" t="s">
        <v>3338</v>
      </c>
      <c r="F1253" s="3840">
        <v>34.85</v>
      </c>
    </row>
    <row r="1254" spans="1:6">
      <c r="A1254" s="3838" t="s">
        <v>3469</v>
      </c>
      <c r="B1254" s="3841">
        <v>-2</v>
      </c>
      <c r="C1254" s="3839" t="s">
        <v>4417</v>
      </c>
      <c r="D1254" s="3837" t="str">
        <f t="shared" si="37"/>
        <v>2259</v>
      </c>
      <c r="E1254" s="3838" t="s">
        <v>3338</v>
      </c>
      <c r="F1254" s="3840">
        <v>34.85</v>
      </c>
    </row>
    <row r="1255" spans="1:6">
      <c r="A1255" s="3838" t="s">
        <v>3469</v>
      </c>
      <c r="B1255" s="3841">
        <v>-2</v>
      </c>
      <c r="C1255" s="3839" t="s">
        <v>4418</v>
      </c>
      <c r="D1255" s="3837" t="str">
        <f t="shared" si="37"/>
        <v>2260</v>
      </c>
      <c r="E1255" s="3838" t="s">
        <v>3338</v>
      </c>
      <c r="F1255" s="3840">
        <v>34.85</v>
      </c>
    </row>
    <row r="1256" spans="1:6">
      <c r="A1256" s="3838" t="s">
        <v>3469</v>
      </c>
      <c r="B1256" s="3841">
        <v>-2</v>
      </c>
      <c r="C1256" s="3839" t="s">
        <v>4419</v>
      </c>
      <c r="D1256" s="3837" t="str">
        <f t="shared" si="37"/>
        <v>2261</v>
      </c>
      <c r="E1256" s="3838" t="s">
        <v>3338</v>
      </c>
      <c r="F1256" s="3840">
        <v>34.85</v>
      </c>
    </row>
    <row r="1257" spans="1:6">
      <c r="A1257" s="3838" t="s">
        <v>3469</v>
      </c>
      <c r="B1257" s="3841">
        <v>-2</v>
      </c>
      <c r="C1257" s="3839" t="s">
        <v>4420</v>
      </c>
      <c r="D1257" s="3837" t="str">
        <f t="shared" si="37"/>
        <v>2262</v>
      </c>
      <c r="E1257" s="3838" t="s">
        <v>3338</v>
      </c>
      <c r="F1257" s="3840">
        <v>34.85</v>
      </c>
    </row>
    <row r="1258" spans="1:6">
      <c r="A1258" s="3838" t="s">
        <v>3469</v>
      </c>
      <c r="B1258" s="3841">
        <v>-2</v>
      </c>
      <c r="C1258" s="3839" t="s">
        <v>4421</v>
      </c>
      <c r="D1258" s="3837" t="str">
        <f t="shared" si="37"/>
        <v>2263</v>
      </c>
      <c r="E1258" s="3838" t="s">
        <v>3338</v>
      </c>
      <c r="F1258" s="3840">
        <v>34.85</v>
      </c>
    </row>
    <row r="1259" spans="1:6">
      <c r="A1259" s="3838" t="s">
        <v>3469</v>
      </c>
      <c r="B1259" s="3841">
        <v>-2</v>
      </c>
      <c r="C1259" s="3839" t="s">
        <v>4422</v>
      </c>
      <c r="D1259" s="3837" t="str">
        <f t="shared" si="37"/>
        <v>2264</v>
      </c>
      <c r="E1259" s="3838" t="s">
        <v>3338</v>
      </c>
      <c r="F1259" s="3840">
        <v>34.85</v>
      </c>
    </row>
    <row r="1260" spans="1:6">
      <c r="A1260" s="3838" t="s">
        <v>3469</v>
      </c>
      <c r="B1260" s="3841">
        <v>-2</v>
      </c>
      <c r="C1260" s="3839" t="s">
        <v>4423</v>
      </c>
      <c r="D1260" s="3837" t="str">
        <f t="shared" si="37"/>
        <v>2265</v>
      </c>
      <c r="E1260" s="3838" t="s">
        <v>3338</v>
      </c>
      <c r="F1260" s="3840">
        <v>34.85</v>
      </c>
    </row>
    <row r="1261" spans="1:6">
      <c r="A1261" s="3838" t="s">
        <v>3469</v>
      </c>
      <c r="B1261" s="3841">
        <v>-2</v>
      </c>
      <c r="C1261" s="3839" t="s">
        <v>4424</v>
      </c>
      <c r="D1261" s="3837" t="str">
        <f t="shared" si="37"/>
        <v>2266</v>
      </c>
      <c r="E1261" s="3838" t="s">
        <v>3338</v>
      </c>
      <c r="F1261" s="3840">
        <v>34.85</v>
      </c>
    </row>
    <row r="1262" spans="1:6">
      <c r="A1262" s="3838" t="s">
        <v>3469</v>
      </c>
      <c r="B1262" s="3841">
        <v>-2</v>
      </c>
      <c r="C1262" s="3839" t="s">
        <v>4425</v>
      </c>
      <c r="D1262" s="3837" t="str">
        <f t="shared" si="37"/>
        <v>2267</v>
      </c>
      <c r="E1262" s="3838" t="s">
        <v>3338</v>
      </c>
      <c r="F1262" s="3840">
        <v>34.85</v>
      </c>
    </row>
    <row r="1263" spans="1:6">
      <c r="A1263" s="3838" t="s">
        <v>3469</v>
      </c>
      <c r="B1263" s="3841">
        <v>-2</v>
      </c>
      <c r="C1263" s="3839" t="s">
        <v>4426</v>
      </c>
      <c r="D1263" s="3837" t="str">
        <f t="shared" si="37"/>
        <v>2268</v>
      </c>
      <c r="E1263" s="3838" t="s">
        <v>3338</v>
      </c>
      <c r="F1263" s="3840">
        <v>34.85</v>
      </c>
    </row>
    <row r="1264" spans="1:6">
      <c r="A1264" s="3838" t="s">
        <v>3469</v>
      </c>
      <c r="B1264" s="3841">
        <v>-2</v>
      </c>
      <c r="C1264" s="3839" t="s">
        <v>4427</v>
      </c>
      <c r="D1264" s="3837" t="str">
        <f t="shared" si="37"/>
        <v>2269</v>
      </c>
      <c r="E1264" s="3838" t="s">
        <v>3338</v>
      </c>
      <c r="F1264" s="3840">
        <v>34.85</v>
      </c>
    </row>
    <row r="1265" spans="1:6">
      <c r="A1265" s="3838" t="s">
        <v>3469</v>
      </c>
      <c r="B1265" s="3841">
        <v>-2</v>
      </c>
      <c r="C1265" s="3839" t="s">
        <v>4428</v>
      </c>
      <c r="D1265" s="3837" t="str">
        <f t="shared" si="37"/>
        <v>2270</v>
      </c>
      <c r="E1265" s="3838" t="s">
        <v>3338</v>
      </c>
      <c r="F1265" s="3840">
        <v>34.85</v>
      </c>
    </row>
    <row r="1266" spans="1:6">
      <c r="A1266" s="3838" t="s">
        <v>3469</v>
      </c>
      <c r="B1266" s="3841">
        <v>-2</v>
      </c>
      <c r="C1266" s="3839" t="s">
        <v>4429</v>
      </c>
      <c r="D1266" s="3837" t="str">
        <f t="shared" si="37"/>
        <v>2271</v>
      </c>
      <c r="E1266" s="3838" t="s">
        <v>3338</v>
      </c>
      <c r="F1266" s="3840">
        <v>34.85</v>
      </c>
    </row>
    <row r="1267" spans="1:6">
      <c r="A1267" s="3838" t="s">
        <v>3469</v>
      </c>
      <c r="B1267" s="3841">
        <v>-2</v>
      </c>
      <c r="C1267" s="3839" t="s">
        <v>4430</v>
      </c>
      <c r="D1267" s="3837" t="str">
        <f t="shared" si="37"/>
        <v>2272</v>
      </c>
      <c r="E1267" s="3838" t="s">
        <v>3338</v>
      </c>
      <c r="F1267" s="3840">
        <v>34.85</v>
      </c>
    </row>
    <row r="1268" spans="1:6">
      <c r="A1268" s="3838" t="s">
        <v>3469</v>
      </c>
      <c r="B1268" s="3841">
        <v>-2</v>
      </c>
      <c r="C1268" s="3839" t="s">
        <v>4431</v>
      </c>
      <c r="D1268" s="3837" t="str">
        <f t="shared" si="37"/>
        <v>2273</v>
      </c>
      <c r="E1268" s="3838" t="s">
        <v>3338</v>
      </c>
      <c r="F1268" s="3840">
        <v>34.85</v>
      </c>
    </row>
    <row r="1269" spans="1:6">
      <c r="A1269" s="3838" t="s">
        <v>3469</v>
      </c>
      <c r="B1269" s="3841">
        <v>-2</v>
      </c>
      <c r="C1269" s="3839" t="s">
        <v>4432</v>
      </c>
      <c r="D1269" s="3837" t="str">
        <f t="shared" si="37"/>
        <v>2274</v>
      </c>
      <c r="E1269" s="3838" t="s">
        <v>3338</v>
      </c>
      <c r="F1269" s="3840">
        <v>34.85</v>
      </c>
    </row>
    <row r="1270" spans="1:6">
      <c r="A1270" s="3838" t="s">
        <v>3469</v>
      </c>
      <c r="B1270" s="3841">
        <v>-2</v>
      </c>
      <c r="C1270" s="3839" t="s">
        <v>4433</v>
      </c>
      <c r="D1270" s="3837" t="str">
        <f t="shared" si="37"/>
        <v>2275</v>
      </c>
      <c r="E1270" s="3838" t="s">
        <v>3338</v>
      </c>
      <c r="F1270" s="3840">
        <v>34.85</v>
      </c>
    </row>
    <row r="1271" spans="1:6">
      <c r="A1271" s="3838" t="s">
        <v>3469</v>
      </c>
      <c r="B1271" s="3841">
        <v>-2</v>
      </c>
      <c r="C1271" s="3839" t="s">
        <v>4434</v>
      </c>
      <c r="D1271" s="3837" t="str">
        <f t="shared" si="37"/>
        <v>2276</v>
      </c>
      <c r="E1271" s="3838" t="s">
        <v>3338</v>
      </c>
      <c r="F1271" s="3840">
        <v>34.85</v>
      </c>
    </row>
    <row r="1272" spans="1:6">
      <c r="A1272" s="3838" t="s">
        <v>3469</v>
      </c>
      <c r="B1272" s="3841">
        <v>-2</v>
      </c>
      <c r="C1272" s="3839" t="s">
        <v>4435</v>
      </c>
      <c r="D1272" s="3837" t="str">
        <f t="shared" si="37"/>
        <v>2277</v>
      </c>
      <c r="E1272" s="3838" t="s">
        <v>3338</v>
      </c>
      <c r="F1272" s="3840">
        <v>34.85</v>
      </c>
    </row>
    <row r="1273" spans="1:6">
      <c r="A1273" s="3838" t="s">
        <v>3469</v>
      </c>
      <c r="B1273" s="3841">
        <v>-2</v>
      </c>
      <c r="C1273" s="3839" t="s">
        <v>4436</v>
      </c>
      <c r="D1273" s="3837" t="str">
        <f t="shared" si="37"/>
        <v>2278</v>
      </c>
      <c r="E1273" s="3838" t="s">
        <v>3338</v>
      </c>
      <c r="F1273" s="3840">
        <v>34.85</v>
      </c>
    </row>
    <row r="1274" spans="1:6">
      <c r="A1274" s="3838" t="s">
        <v>3469</v>
      </c>
      <c r="B1274" s="3841">
        <v>-2</v>
      </c>
      <c r="C1274" s="3839" t="s">
        <v>4437</v>
      </c>
      <c r="D1274" s="3837" t="str">
        <f t="shared" si="37"/>
        <v>2279</v>
      </c>
      <c r="E1274" s="3838" t="s">
        <v>3338</v>
      </c>
      <c r="F1274" s="3840">
        <v>34.85</v>
      </c>
    </row>
    <row r="1275" spans="1:6">
      <c r="A1275" s="3838" t="s">
        <v>3469</v>
      </c>
      <c r="B1275" s="3841">
        <v>-2</v>
      </c>
      <c r="C1275" s="3839" t="s">
        <v>4438</v>
      </c>
      <c r="D1275" s="3837" t="str">
        <f t="shared" si="37"/>
        <v>2280</v>
      </c>
      <c r="E1275" s="3838" t="s">
        <v>3338</v>
      </c>
      <c r="F1275" s="3840">
        <v>34.85</v>
      </c>
    </row>
    <row r="1276" spans="1:6">
      <c r="A1276" s="3838" t="s">
        <v>3469</v>
      </c>
      <c r="B1276" s="3841">
        <v>-2</v>
      </c>
      <c r="C1276" s="3839" t="s">
        <v>4439</v>
      </c>
      <c r="D1276" s="3837" t="str">
        <f t="shared" si="37"/>
        <v>2281</v>
      </c>
      <c r="E1276" s="3838" t="s">
        <v>3338</v>
      </c>
      <c r="F1276" s="3840">
        <v>34.85</v>
      </c>
    </row>
    <row r="1277" spans="1:6">
      <c r="A1277" s="3838" t="s">
        <v>3469</v>
      </c>
      <c r="B1277" s="3841">
        <v>-2</v>
      </c>
      <c r="C1277" s="3839" t="s">
        <v>4440</v>
      </c>
      <c r="D1277" s="3837" t="str">
        <f t="shared" si="37"/>
        <v>2282</v>
      </c>
      <c r="E1277" s="3838" t="s">
        <v>3338</v>
      </c>
      <c r="F1277" s="3840">
        <v>34.85</v>
      </c>
    </row>
    <row r="1278" spans="1:6">
      <c r="A1278" s="3838" t="s">
        <v>3469</v>
      </c>
      <c r="B1278" s="3841">
        <v>-2</v>
      </c>
      <c r="C1278" s="3839" t="s">
        <v>4441</v>
      </c>
      <c r="D1278" s="3837" t="str">
        <f t="shared" si="37"/>
        <v>2283</v>
      </c>
      <c r="E1278" s="3838" t="s">
        <v>3338</v>
      </c>
      <c r="F1278" s="3840">
        <v>34.85</v>
      </c>
    </row>
    <row r="1279" spans="1:6">
      <c r="A1279" s="3838" t="s">
        <v>3469</v>
      </c>
      <c r="B1279" s="3841">
        <v>-2</v>
      </c>
      <c r="C1279" s="3839" t="s">
        <v>4442</v>
      </c>
      <c r="D1279" s="3837" t="str">
        <f t="shared" si="37"/>
        <v>2284</v>
      </c>
      <c r="E1279" s="3838" t="s">
        <v>3338</v>
      </c>
      <c r="F1279" s="3840">
        <v>34.85</v>
      </c>
    </row>
    <row r="1280" spans="1:6">
      <c r="A1280" s="3838" t="s">
        <v>3469</v>
      </c>
      <c r="B1280" s="3841">
        <v>-2</v>
      </c>
      <c r="C1280" s="3839" t="s">
        <v>4443</v>
      </c>
      <c r="D1280" s="3837" t="str">
        <f t="shared" si="37"/>
        <v>2285</v>
      </c>
      <c r="E1280" s="3838" t="s">
        <v>3338</v>
      </c>
      <c r="F1280" s="3840">
        <v>34.85</v>
      </c>
    </row>
    <row r="1281" spans="1:6">
      <c r="A1281" s="3838" t="s">
        <v>3469</v>
      </c>
      <c r="B1281" s="3841">
        <v>-2</v>
      </c>
      <c r="C1281" s="3839" t="s">
        <v>4444</v>
      </c>
      <c r="D1281" s="3837" t="str">
        <f t="shared" si="37"/>
        <v>2286</v>
      </c>
      <c r="E1281" s="3838" t="s">
        <v>3338</v>
      </c>
      <c r="F1281" s="3840">
        <v>34.85</v>
      </c>
    </row>
    <row r="1282" spans="1:6">
      <c r="A1282" s="3838" t="s">
        <v>3469</v>
      </c>
      <c r="B1282" s="3841">
        <v>-2</v>
      </c>
      <c r="C1282" s="3839" t="s">
        <v>4445</v>
      </c>
      <c r="D1282" s="3837" t="str">
        <f t="shared" si="37"/>
        <v>2287</v>
      </c>
      <c r="E1282" s="3838" t="s">
        <v>3338</v>
      </c>
      <c r="F1282" s="3840">
        <v>34.85</v>
      </c>
    </row>
    <row r="1283" spans="1:6">
      <c r="A1283" s="3838" t="s">
        <v>3469</v>
      </c>
      <c r="B1283" s="3841">
        <v>-2</v>
      </c>
      <c r="C1283" s="3839" t="s">
        <v>4446</v>
      </c>
      <c r="D1283" s="3837" t="str">
        <f t="shared" si="37"/>
        <v>2288</v>
      </c>
      <c r="E1283" s="3838" t="s">
        <v>3338</v>
      </c>
      <c r="F1283" s="3840">
        <v>34.85</v>
      </c>
    </row>
    <row r="1284" spans="1:6">
      <c r="A1284" s="3838" t="s">
        <v>3469</v>
      </c>
      <c r="B1284" s="3841">
        <v>-2</v>
      </c>
      <c r="C1284" s="3839" t="s">
        <v>4447</v>
      </c>
      <c r="D1284" s="3837" t="str">
        <f t="shared" si="37"/>
        <v>2289</v>
      </c>
      <c r="E1284" s="3838" t="s">
        <v>3338</v>
      </c>
      <c r="F1284" s="3840">
        <v>34.85</v>
      </c>
    </row>
    <row r="1285" spans="1:6">
      <c r="A1285" s="3838" t="s">
        <v>3469</v>
      </c>
      <c r="B1285" s="3841">
        <v>-2</v>
      </c>
      <c r="C1285" s="3839" t="s">
        <v>4448</v>
      </c>
      <c r="D1285" s="3837" t="str">
        <f t="shared" si="37"/>
        <v>2290</v>
      </c>
      <c r="E1285" s="3838" t="s">
        <v>3338</v>
      </c>
      <c r="F1285" s="3840">
        <v>34.85</v>
      </c>
    </row>
    <row r="1286" spans="1:6">
      <c r="A1286" s="3838" t="s">
        <v>3469</v>
      </c>
      <c r="B1286" s="3841">
        <v>-2</v>
      </c>
      <c r="C1286" s="3839" t="s">
        <v>4449</v>
      </c>
      <c r="D1286" s="3837" t="str">
        <f t="shared" si="37"/>
        <v>2291</v>
      </c>
      <c r="E1286" s="3838" t="s">
        <v>3338</v>
      </c>
      <c r="F1286" s="3840">
        <v>34.85</v>
      </c>
    </row>
    <row r="1287" spans="1:6">
      <c r="A1287" s="3838" t="s">
        <v>3469</v>
      </c>
      <c r="B1287" s="3841">
        <v>-2</v>
      </c>
      <c r="C1287" s="3839" t="s">
        <v>4450</v>
      </c>
      <c r="D1287" s="3837" t="str">
        <f t="shared" si="37"/>
        <v>2292</v>
      </c>
      <c r="E1287" s="3838" t="s">
        <v>3338</v>
      </c>
      <c r="F1287" s="3840">
        <v>34.85</v>
      </c>
    </row>
    <row r="1288" spans="1:6">
      <c r="A1288" s="3838" t="s">
        <v>3469</v>
      </c>
      <c r="B1288" s="3841">
        <v>-2</v>
      </c>
      <c r="C1288" s="3839" t="s">
        <v>4451</v>
      </c>
      <c r="D1288" s="3837" t="str">
        <f t="shared" si="37"/>
        <v>2293</v>
      </c>
      <c r="E1288" s="3838" t="s">
        <v>3338</v>
      </c>
      <c r="F1288" s="3840">
        <v>34.85</v>
      </c>
    </row>
    <row r="1289" spans="1:6">
      <c r="A1289" s="3838" t="s">
        <v>3469</v>
      </c>
      <c r="B1289" s="3841">
        <v>-2</v>
      </c>
      <c r="C1289" s="3839" t="s">
        <v>4452</v>
      </c>
      <c r="D1289" s="3837" t="str">
        <f t="shared" si="37"/>
        <v>2294</v>
      </c>
      <c r="E1289" s="3838" t="s">
        <v>3338</v>
      </c>
      <c r="F1289" s="3840">
        <v>34.85</v>
      </c>
    </row>
    <row r="1290" spans="1:6">
      <c r="A1290" s="3838" t="s">
        <v>3469</v>
      </c>
      <c r="B1290" s="3841">
        <v>-2</v>
      </c>
      <c r="C1290" s="3839" t="s">
        <v>4453</v>
      </c>
      <c r="D1290" s="3837" t="str">
        <f t="shared" si="37"/>
        <v>2295</v>
      </c>
      <c r="E1290" s="3838" t="s">
        <v>3338</v>
      </c>
      <c r="F1290" s="3840">
        <v>34.85</v>
      </c>
    </row>
    <row r="1291" spans="1:6">
      <c r="A1291" s="3838" t="s">
        <v>3469</v>
      </c>
      <c r="B1291" s="3841">
        <v>-2</v>
      </c>
      <c r="C1291" s="3839" t="s">
        <v>4454</v>
      </c>
      <c r="D1291" s="3837" t="str">
        <f t="shared" si="37"/>
        <v>2296</v>
      </c>
      <c r="E1291" s="3838" t="s">
        <v>3338</v>
      </c>
      <c r="F1291" s="3840">
        <v>34.85</v>
      </c>
    </row>
    <row r="1292" spans="1:6">
      <c r="A1292" s="3838" t="s">
        <v>3469</v>
      </c>
      <c r="B1292" s="3841">
        <v>-2</v>
      </c>
      <c r="C1292" s="3839" t="s">
        <v>4455</v>
      </c>
      <c r="D1292" s="3837" t="str">
        <f t="shared" si="37"/>
        <v>2297</v>
      </c>
      <c r="E1292" s="3838" t="s">
        <v>3338</v>
      </c>
      <c r="F1292" s="3840">
        <v>34.85</v>
      </c>
    </row>
    <row r="1293" spans="1:6">
      <c r="A1293" s="3838" t="s">
        <v>3469</v>
      </c>
      <c r="B1293" s="3841">
        <v>-2</v>
      </c>
      <c r="C1293" s="3839" t="s">
        <v>4456</v>
      </c>
      <c r="D1293" s="3837" t="str">
        <f t="shared" ref="D1293:D1356" si="38">""&amp;C1293</f>
        <v>2298</v>
      </c>
      <c r="E1293" s="3838" t="s">
        <v>3338</v>
      </c>
      <c r="F1293" s="3840">
        <v>34.85</v>
      </c>
    </row>
    <row r="1294" spans="1:6">
      <c r="A1294" s="3838" t="s">
        <v>3469</v>
      </c>
      <c r="B1294" s="3841">
        <v>-2</v>
      </c>
      <c r="C1294" s="3839" t="s">
        <v>4457</v>
      </c>
      <c r="D1294" s="3837" t="str">
        <f t="shared" si="38"/>
        <v>2299</v>
      </c>
      <c r="E1294" s="3838" t="s">
        <v>3338</v>
      </c>
      <c r="F1294" s="3840">
        <v>34.85</v>
      </c>
    </row>
    <row r="1295" spans="1:6">
      <c r="A1295" s="3838" t="s">
        <v>3469</v>
      </c>
      <c r="B1295" s="3841">
        <v>-2</v>
      </c>
      <c r="C1295" s="3839" t="s">
        <v>4458</v>
      </c>
      <c r="D1295" s="3837" t="str">
        <f t="shared" si="38"/>
        <v>2300</v>
      </c>
      <c r="E1295" s="3838" t="s">
        <v>3338</v>
      </c>
      <c r="F1295" s="3840">
        <v>34.85</v>
      </c>
    </row>
    <row r="1296" spans="1:6">
      <c r="A1296" s="3838" t="s">
        <v>3469</v>
      </c>
      <c r="B1296" s="3841">
        <v>-2</v>
      </c>
      <c r="C1296" s="3839" t="s">
        <v>4459</v>
      </c>
      <c r="D1296" s="3837" t="str">
        <f t="shared" si="38"/>
        <v>2301</v>
      </c>
      <c r="E1296" s="3838" t="s">
        <v>3338</v>
      </c>
      <c r="F1296" s="3840">
        <v>34.85</v>
      </c>
    </row>
    <row r="1297" spans="1:6">
      <c r="A1297" s="3838" t="s">
        <v>3469</v>
      </c>
      <c r="B1297" s="3841">
        <v>-2</v>
      </c>
      <c r="C1297" s="3839" t="s">
        <v>4460</v>
      </c>
      <c r="D1297" s="3837" t="str">
        <f t="shared" si="38"/>
        <v>2302</v>
      </c>
      <c r="E1297" s="3838" t="s">
        <v>3338</v>
      </c>
      <c r="F1297" s="3840">
        <v>34.85</v>
      </c>
    </row>
    <row r="1298" spans="1:6">
      <c r="A1298" s="3838" t="s">
        <v>3469</v>
      </c>
      <c r="B1298" s="3841">
        <v>-2</v>
      </c>
      <c r="C1298" s="3839" t="s">
        <v>4461</v>
      </c>
      <c r="D1298" s="3837" t="str">
        <f t="shared" si="38"/>
        <v>2303</v>
      </c>
      <c r="E1298" s="3838" t="s">
        <v>3338</v>
      </c>
      <c r="F1298" s="3840">
        <v>34.85</v>
      </c>
    </row>
    <row r="1299" spans="1:6">
      <c r="A1299" s="3838" t="s">
        <v>3469</v>
      </c>
      <c r="B1299" s="3841">
        <v>-2</v>
      </c>
      <c r="C1299" s="3839" t="s">
        <v>4462</v>
      </c>
      <c r="D1299" s="3837" t="str">
        <f t="shared" si="38"/>
        <v>2304</v>
      </c>
      <c r="E1299" s="3838" t="s">
        <v>3338</v>
      </c>
      <c r="F1299" s="3840">
        <v>34.85</v>
      </c>
    </row>
    <row r="1300" spans="1:6">
      <c r="A1300" s="3838" t="s">
        <v>3469</v>
      </c>
      <c r="B1300" s="3841">
        <v>-2</v>
      </c>
      <c r="C1300" s="3839" t="s">
        <v>4463</v>
      </c>
      <c r="D1300" s="3837" t="str">
        <f t="shared" si="38"/>
        <v>2305</v>
      </c>
      <c r="E1300" s="3838" t="s">
        <v>3338</v>
      </c>
      <c r="F1300" s="3840">
        <v>34.85</v>
      </c>
    </row>
    <row r="1301" spans="1:6">
      <c r="A1301" s="3838" t="s">
        <v>3469</v>
      </c>
      <c r="B1301" s="3841">
        <v>-2</v>
      </c>
      <c r="C1301" s="3839" t="s">
        <v>4464</v>
      </c>
      <c r="D1301" s="3837" t="str">
        <f t="shared" si="38"/>
        <v>2306</v>
      </c>
      <c r="E1301" s="3838" t="s">
        <v>3338</v>
      </c>
      <c r="F1301" s="3840">
        <v>34.85</v>
      </c>
    </row>
    <row r="1302" spans="1:6">
      <c r="A1302" s="3838" t="s">
        <v>3469</v>
      </c>
      <c r="B1302" s="3841">
        <v>-2</v>
      </c>
      <c r="C1302" s="3839" t="s">
        <v>4465</v>
      </c>
      <c r="D1302" s="3837" t="str">
        <f t="shared" si="38"/>
        <v>2307</v>
      </c>
      <c r="E1302" s="3838" t="s">
        <v>3338</v>
      </c>
      <c r="F1302" s="3840">
        <v>34.85</v>
      </c>
    </row>
    <row r="1303" spans="1:6">
      <c r="A1303" s="3838" t="s">
        <v>3469</v>
      </c>
      <c r="B1303" s="3841">
        <v>-2</v>
      </c>
      <c r="C1303" s="3839" t="s">
        <v>4466</v>
      </c>
      <c r="D1303" s="3837" t="str">
        <f t="shared" si="38"/>
        <v>2308</v>
      </c>
      <c r="E1303" s="3838" t="s">
        <v>3338</v>
      </c>
      <c r="F1303" s="3840">
        <v>34.85</v>
      </c>
    </row>
    <row r="1304" spans="1:6">
      <c r="A1304" s="3838" t="s">
        <v>3469</v>
      </c>
      <c r="B1304" s="3841">
        <v>-2</v>
      </c>
      <c r="C1304" s="3839" t="s">
        <v>4467</v>
      </c>
      <c r="D1304" s="3837" t="str">
        <f t="shared" si="38"/>
        <v>2309</v>
      </c>
      <c r="E1304" s="3838" t="s">
        <v>3338</v>
      </c>
      <c r="F1304" s="3840">
        <v>34.85</v>
      </c>
    </row>
    <row r="1305" spans="1:6">
      <c r="A1305" s="3838" t="s">
        <v>3469</v>
      </c>
      <c r="B1305" s="3841">
        <v>-2</v>
      </c>
      <c r="C1305" s="3839" t="s">
        <v>4468</v>
      </c>
      <c r="D1305" s="3837" t="str">
        <f t="shared" si="38"/>
        <v>2310</v>
      </c>
      <c r="E1305" s="3838" t="s">
        <v>3338</v>
      </c>
      <c r="F1305" s="3840">
        <v>34.85</v>
      </c>
    </row>
    <row r="1306" spans="1:6">
      <c r="A1306" s="3838" t="s">
        <v>3469</v>
      </c>
      <c r="B1306" s="3841">
        <v>-2</v>
      </c>
      <c r="C1306" s="3839" t="s">
        <v>4469</v>
      </c>
      <c r="D1306" s="3837" t="str">
        <f t="shared" si="38"/>
        <v>2311</v>
      </c>
      <c r="E1306" s="3838" t="s">
        <v>3338</v>
      </c>
      <c r="F1306" s="3840">
        <v>34.85</v>
      </c>
    </row>
    <row r="1307" spans="1:6">
      <c r="A1307" s="3838" t="s">
        <v>3469</v>
      </c>
      <c r="B1307" s="3841">
        <v>-2</v>
      </c>
      <c r="C1307" s="3839" t="s">
        <v>4470</v>
      </c>
      <c r="D1307" s="3837" t="str">
        <f t="shared" si="38"/>
        <v>2312</v>
      </c>
      <c r="E1307" s="3838" t="s">
        <v>3338</v>
      </c>
      <c r="F1307" s="3840">
        <v>34.85</v>
      </c>
    </row>
    <row r="1308" spans="1:6">
      <c r="A1308" s="3838" t="s">
        <v>3469</v>
      </c>
      <c r="B1308" s="3841">
        <v>-2</v>
      </c>
      <c r="C1308" s="3839" t="s">
        <v>4471</v>
      </c>
      <c r="D1308" s="3837" t="str">
        <f t="shared" si="38"/>
        <v>2313</v>
      </c>
      <c r="E1308" s="3838" t="s">
        <v>3338</v>
      </c>
      <c r="F1308" s="3840">
        <v>34.85</v>
      </c>
    </row>
    <row r="1309" spans="1:6">
      <c r="A1309" s="3838" t="s">
        <v>3469</v>
      </c>
      <c r="B1309" s="3841">
        <v>-2</v>
      </c>
      <c r="C1309" s="3839" t="s">
        <v>4472</v>
      </c>
      <c r="D1309" s="3837" t="str">
        <f t="shared" si="38"/>
        <v>2314</v>
      </c>
      <c r="E1309" s="3838" t="s">
        <v>3338</v>
      </c>
      <c r="F1309" s="3840">
        <v>34.85</v>
      </c>
    </row>
    <row r="1310" spans="1:6">
      <c r="A1310" s="3838" t="s">
        <v>3469</v>
      </c>
      <c r="B1310" s="3841">
        <v>-2</v>
      </c>
      <c r="C1310" s="3839" t="s">
        <v>4473</v>
      </c>
      <c r="D1310" s="3837" t="str">
        <f t="shared" si="38"/>
        <v>2315</v>
      </c>
      <c r="E1310" s="3838" t="s">
        <v>3338</v>
      </c>
      <c r="F1310" s="3840">
        <v>34.85</v>
      </c>
    </row>
    <row r="1311" spans="1:6">
      <c r="A1311" s="3838" t="s">
        <v>3469</v>
      </c>
      <c r="B1311" s="3841">
        <v>-2</v>
      </c>
      <c r="C1311" s="3839" t="s">
        <v>4474</v>
      </c>
      <c r="D1311" s="3837" t="str">
        <f t="shared" si="38"/>
        <v>2316</v>
      </c>
      <c r="E1311" s="3838" t="s">
        <v>3338</v>
      </c>
      <c r="F1311" s="3840">
        <v>34.85</v>
      </c>
    </row>
    <row r="1312" spans="1:6">
      <c r="A1312" s="3838" t="s">
        <v>3469</v>
      </c>
      <c r="B1312" s="3841">
        <v>-2</v>
      </c>
      <c r="C1312" s="3839" t="s">
        <v>4475</v>
      </c>
      <c r="D1312" s="3837" t="str">
        <f t="shared" si="38"/>
        <v>2317</v>
      </c>
      <c r="E1312" s="3838" t="s">
        <v>3338</v>
      </c>
      <c r="F1312" s="3840">
        <v>34.85</v>
      </c>
    </row>
    <row r="1313" spans="1:6">
      <c r="A1313" s="3838" t="s">
        <v>3469</v>
      </c>
      <c r="B1313" s="3841">
        <v>-2</v>
      </c>
      <c r="C1313" s="3839" t="s">
        <v>4476</v>
      </c>
      <c r="D1313" s="3837" t="str">
        <f t="shared" si="38"/>
        <v>2318</v>
      </c>
      <c r="E1313" s="3838" t="s">
        <v>3338</v>
      </c>
      <c r="F1313" s="3840">
        <v>34.85</v>
      </c>
    </row>
    <row r="1314" spans="1:6">
      <c r="A1314" s="3838" t="s">
        <v>3469</v>
      </c>
      <c r="B1314" s="3841">
        <v>-2</v>
      </c>
      <c r="C1314" s="3839" t="s">
        <v>4477</v>
      </c>
      <c r="D1314" s="3837" t="str">
        <f t="shared" si="38"/>
        <v>2319</v>
      </c>
      <c r="E1314" s="3838" t="s">
        <v>3338</v>
      </c>
      <c r="F1314" s="3840">
        <v>34.85</v>
      </c>
    </row>
    <row r="1315" spans="1:6">
      <c r="A1315" s="3838" t="s">
        <v>3469</v>
      </c>
      <c r="B1315" s="3841">
        <v>-2</v>
      </c>
      <c r="C1315" s="3839" t="s">
        <v>4478</v>
      </c>
      <c r="D1315" s="3837" t="str">
        <f t="shared" si="38"/>
        <v>2320</v>
      </c>
      <c r="E1315" s="3838" t="s">
        <v>3338</v>
      </c>
      <c r="F1315" s="3840">
        <v>34.85</v>
      </c>
    </row>
    <row r="1316" spans="1:6">
      <c r="A1316" s="3838" t="s">
        <v>3469</v>
      </c>
      <c r="B1316" s="3841">
        <v>-2</v>
      </c>
      <c r="C1316" s="3839" t="s">
        <v>4479</v>
      </c>
      <c r="D1316" s="3837" t="str">
        <f t="shared" si="38"/>
        <v>2321</v>
      </c>
      <c r="E1316" s="3838" t="s">
        <v>3338</v>
      </c>
      <c r="F1316" s="3840">
        <v>34.85</v>
      </c>
    </row>
    <row r="1317" spans="1:6">
      <c r="A1317" s="3838" t="s">
        <v>3469</v>
      </c>
      <c r="B1317" s="3841">
        <v>-2</v>
      </c>
      <c r="C1317" s="3839" t="s">
        <v>4480</v>
      </c>
      <c r="D1317" s="3837" t="str">
        <f t="shared" si="38"/>
        <v>2322</v>
      </c>
      <c r="E1317" s="3838" t="s">
        <v>3338</v>
      </c>
      <c r="F1317" s="3840">
        <v>34.85</v>
      </c>
    </row>
    <row r="1318" spans="1:6">
      <c r="A1318" s="3838" t="s">
        <v>3469</v>
      </c>
      <c r="B1318" s="3841">
        <v>-2</v>
      </c>
      <c r="C1318" s="3839" t="s">
        <v>4481</v>
      </c>
      <c r="D1318" s="3837" t="str">
        <f t="shared" si="38"/>
        <v>2323</v>
      </c>
      <c r="E1318" s="3838" t="s">
        <v>3338</v>
      </c>
      <c r="F1318" s="3840">
        <v>34.85</v>
      </c>
    </row>
    <row r="1319" spans="1:6">
      <c r="A1319" s="3838" t="s">
        <v>3469</v>
      </c>
      <c r="B1319" s="3841">
        <v>-2</v>
      </c>
      <c r="C1319" s="3839" t="s">
        <v>4482</v>
      </c>
      <c r="D1319" s="3837" t="str">
        <f t="shared" si="38"/>
        <v>2324</v>
      </c>
      <c r="E1319" s="3838" t="s">
        <v>3338</v>
      </c>
      <c r="F1319" s="3840">
        <v>34.85</v>
      </c>
    </row>
    <row r="1320" spans="1:6">
      <c r="A1320" s="3838" t="s">
        <v>3469</v>
      </c>
      <c r="B1320" s="3841">
        <v>-2</v>
      </c>
      <c r="C1320" s="3839" t="s">
        <v>4483</v>
      </c>
      <c r="D1320" s="3837" t="str">
        <f t="shared" si="38"/>
        <v>2325</v>
      </c>
      <c r="E1320" s="3838" t="s">
        <v>3338</v>
      </c>
      <c r="F1320" s="3840">
        <v>34.85</v>
      </c>
    </row>
    <row r="1321" spans="1:6">
      <c r="A1321" s="3838" t="s">
        <v>3469</v>
      </c>
      <c r="B1321" s="3841">
        <v>-2</v>
      </c>
      <c r="C1321" s="3839" t="s">
        <v>4484</v>
      </c>
      <c r="D1321" s="3837" t="str">
        <f t="shared" si="38"/>
        <v>2326</v>
      </c>
      <c r="E1321" s="3838" t="s">
        <v>3338</v>
      </c>
      <c r="F1321" s="3840">
        <v>34.85</v>
      </c>
    </row>
    <row r="1322" spans="1:6">
      <c r="A1322" s="3838" t="s">
        <v>3469</v>
      </c>
      <c r="B1322" s="3841">
        <v>-2</v>
      </c>
      <c r="C1322" s="3839" t="s">
        <v>4485</v>
      </c>
      <c r="D1322" s="3837" t="str">
        <f t="shared" si="38"/>
        <v>2327</v>
      </c>
      <c r="E1322" s="3838" t="s">
        <v>3338</v>
      </c>
      <c r="F1322" s="3840">
        <v>34.85</v>
      </c>
    </row>
    <row r="1323" spans="1:6">
      <c r="A1323" s="3838" t="s">
        <v>3469</v>
      </c>
      <c r="B1323" s="3841">
        <v>-2</v>
      </c>
      <c r="C1323" s="3839" t="s">
        <v>4486</v>
      </c>
      <c r="D1323" s="3837" t="str">
        <f t="shared" si="38"/>
        <v>2328</v>
      </c>
      <c r="E1323" s="3838" t="s">
        <v>3338</v>
      </c>
      <c r="F1323" s="3840">
        <v>34.85</v>
      </c>
    </row>
    <row r="1324" spans="1:6">
      <c r="A1324" s="3838" t="s">
        <v>3469</v>
      </c>
      <c r="B1324" s="3841">
        <v>-2</v>
      </c>
      <c r="C1324" s="3839" t="s">
        <v>4487</v>
      </c>
      <c r="D1324" s="3837" t="str">
        <f t="shared" si="38"/>
        <v>2329</v>
      </c>
      <c r="E1324" s="3838" t="s">
        <v>3338</v>
      </c>
      <c r="F1324" s="3840">
        <v>34.85</v>
      </c>
    </row>
    <row r="1325" spans="1:6">
      <c r="A1325" s="3838" t="s">
        <v>3469</v>
      </c>
      <c r="B1325" s="3841">
        <v>-2</v>
      </c>
      <c r="C1325" s="3839" t="s">
        <v>4488</v>
      </c>
      <c r="D1325" s="3837" t="str">
        <f t="shared" si="38"/>
        <v>2330</v>
      </c>
      <c r="E1325" s="3838" t="s">
        <v>3338</v>
      </c>
      <c r="F1325" s="3840">
        <v>34.85</v>
      </c>
    </row>
    <row r="1326" spans="1:6">
      <c r="A1326" s="3838" t="s">
        <v>3469</v>
      </c>
      <c r="B1326" s="3841">
        <v>-2</v>
      </c>
      <c r="C1326" s="3839" t="s">
        <v>4489</v>
      </c>
      <c r="D1326" s="3837" t="str">
        <f t="shared" si="38"/>
        <v>2331</v>
      </c>
      <c r="E1326" s="3838" t="s">
        <v>3338</v>
      </c>
      <c r="F1326" s="3840">
        <v>34.85</v>
      </c>
    </row>
    <row r="1327" spans="1:6">
      <c r="A1327" s="3838" t="s">
        <v>3469</v>
      </c>
      <c r="B1327" s="3841">
        <v>-2</v>
      </c>
      <c r="C1327" s="3839" t="s">
        <v>4490</v>
      </c>
      <c r="D1327" s="3837" t="str">
        <f t="shared" si="38"/>
        <v>2332</v>
      </c>
      <c r="E1327" s="3838" t="s">
        <v>3338</v>
      </c>
      <c r="F1327" s="3840">
        <v>34.85</v>
      </c>
    </row>
    <row r="1328" spans="1:6">
      <c r="A1328" s="3838" t="s">
        <v>3469</v>
      </c>
      <c r="B1328" s="3841">
        <v>-2</v>
      </c>
      <c r="C1328" s="3839" t="s">
        <v>4491</v>
      </c>
      <c r="D1328" s="3837" t="str">
        <f t="shared" si="38"/>
        <v>2333</v>
      </c>
      <c r="E1328" s="3838" t="s">
        <v>3338</v>
      </c>
      <c r="F1328" s="3840">
        <v>34.85</v>
      </c>
    </row>
    <row r="1329" spans="1:6">
      <c r="A1329" s="3838" t="s">
        <v>3469</v>
      </c>
      <c r="B1329" s="3841">
        <v>-2</v>
      </c>
      <c r="C1329" s="3839" t="s">
        <v>4492</v>
      </c>
      <c r="D1329" s="3837" t="str">
        <f t="shared" si="38"/>
        <v>2334</v>
      </c>
      <c r="E1329" s="3838" t="s">
        <v>3338</v>
      </c>
      <c r="F1329" s="3840">
        <v>34.85</v>
      </c>
    </row>
    <row r="1330" spans="1:6">
      <c r="A1330" s="3838" t="s">
        <v>3469</v>
      </c>
      <c r="B1330" s="3841">
        <v>-2</v>
      </c>
      <c r="C1330" s="3839" t="s">
        <v>4493</v>
      </c>
      <c r="D1330" s="3837" t="str">
        <f t="shared" si="38"/>
        <v>2335</v>
      </c>
      <c r="E1330" s="3838" t="s">
        <v>3338</v>
      </c>
      <c r="F1330" s="3840">
        <v>34.85</v>
      </c>
    </row>
    <row r="1331" spans="1:6">
      <c r="A1331" s="3838" t="s">
        <v>3469</v>
      </c>
      <c r="B1331" s="3841">
        <v>-2</v>
      </c>
      <c r="C1331" s="3839" t="s">
        <v>4494</v>
      </c>
      <c r="D1331" s="3837" t="str">
        <f t="shared" si="38"/>
        <v>2336</v>
      </c>
      <c r="E1331" s="3838" t="s">
        <v>3338</v>
      </c>
      <c r="F1331" s="3840">
        <v>34.85</v>
      </c>
    </row>
    <row r="1332" spans="1:6">
      <c r="A1332" s="3838" t="s">
        <v>3469</v>
      </c>
      <c r="B1332" s="3841">
        <v>-2</v>
      </c>
      <c r="C1332" s="3839" t="s">
        <v>4495</v>
      </c>
      <c r="D1332" s="3837" t="str">
        <f t="shared" si="38"/>
        <v>2337</v>
      </c>
      <c r="E1332" s="3838" t="s">
        <v>3338</v>
      </c>
      <c r="F1332" s="3840">
        <v>34.85</v>
      </c>
    </row>
    <row r="1333" spans="1:6">
      <c r="A1333" s="3838" t="s">
        <v>3469</v>
      </c>
      <c r="B1333" s="3841">
        <v>-2</v>
      </c>
      <c r="C1333" s="3839" t="s">
        <v>4496</v>
      </c>
      <c r="D1333" s="3837" t="str">
        <f t="shared" si="38"/>
        <v>2338</v>
      </c>
      <c r="E1333" s="3838" t="s">
        <v>3338</v>
      </c>
      <c r="F1333" s="3840">
        <v>34.85</v>
      </c>
    </row>
    <row r="1334" spans="1:6">
      <c r="A1334" s="3838" t="s">
        <v>3469</v>
      </c>
      <c r="B1334" s="3841">
        <v>-2</v>
      </c>
      <c r="C1334" s="3839" t="s">
        <v>4497</v>
      </c>
      <c r="D1334" s="3837" t="str">
        <f t="shared" si="38"/>
        <v>2339</v>
      </c>
      <c r="E1334" s="3838" t="s">
        <v>3338</v>
      </c>
      <c r="F1334" s="3840">
        <v>34.85</v>
      </c>
    </row>
    <row r="1335" spans="1:6">
      <c r="A1335" s="3838" t="s">
        <v>3469</v>
      </c>
      <c r="B1335" s="3841">
        <v>-2</v>
      </c>
      <c r="C1335" s="3839" t="s">
        <v>4498</v>
      </c>
      <c r="D1335" s="3837" t="str">
        <f t="shared" si="38"/>
        <v>2340</v>
      </c>
      <c r="E1335" s="3838" t="s">
        <v>3338</v>
      </c>
      <c r="F1335" s="3840">
        <v>34.85</v>
      </c>
    </row>
    <row r="1336" spans="1:6">
      <c r="A1336" s="3838" t="s">
        <v>3469</v>
      </c>
      <c r="B1336" s="3841">
        <v>-2</v>
      </c>
      <c r="C1336" s="3839" t="s">
        <v>4499</v>
      </c>
      <c r="D1336" s="3837" t="str">
        <f t="shared" si="38"/>
        <v>2341</v>
      </c>
      <c r="E1336" s="3838" t="s">
        <v>3338</v>
      </c>
      <c r="F1336" s="3840">
        <v>34.85</v>
      </c>
    </row>
    <row r="1337" spans="1:6">
      <c r="A1337" s="3838" t="s">
        <v>3469</v>
      </c>
      <c r="B1337" s="3841">
        <v>-2</v>
      </c>
      <c r="C1337" s="3839" t="s">
        <v>4500</v>
      </c>
      <c r="D1337" s="3837" t="str">
        <f t="shared" si="38"/>
        <v>2342</v>
      </c>
      <c r="E1337" s="3838" t="s">
        <v>3338</v>
      </c>
      <c r="F1337" s="3840">
        <v>34.85</v>
      </c>
    </row>
    <row r="1338" spans="1:6">
      <c r="A1338" s="3838" t="s">
        <v>3469</v>
      </c>
      <c r="B1338" s="3841">
        <v>-2</v>
      </c>
      <c r="C1338" s="3839" t="s">
        <v>4501</v>
      </c>
      <c r="D1338" s="3837" t="str">
        <f t="shared" si="38"/>
        <v>2343</v>
      </c>
      <c r="E1338" s="3838" t="s">
        <v>3338</v>
      </c>
      <c r="F1338" s="3840">
        <v>34.85</v>
      </c>
    </row>
    <row r="1339" spans="1:6">
      <c r="A1339" s="3838" t="s">
        <v>3469</v>
      </c>
      <c r="B1339" s="3841">
        <v>-2</v>
      </c>
      <c r="C1339" s="3839" t="s">
        <v>4502</v>
      </c>
      <c r="D1339" s="3837" t="str">
        <f t="shared" si="38"/>
        <v>2344</v>
      </c>
      <c r="E1339" s="3838" t="s">
        <v>3338</v>
      </c>
      <c r="F1339" s="3840">
        <v>34.85</v>
      </c>
    </row>
    <row r="1340" spans="1:6">
      <c r="A1340" s="3838" t="s">
        <v>3469</v>
      </c>
      <c r="B1340" s="3841">
        <v>-2</v>
      </c>
      <c r="C1340" s="3839" t="s">
        <v>4503</v>
      </c>
      <c r="D1340" s="3837" t="str">
        <f t="shared" si="38"/>
        <v>2345</v>
      </c>
      <c r="E1340" s="3838" t="s">
        <v>3338</v>
      </c>
      <c r="F1340" s="3840">
        <v>34.85</v>
      </c>
    </row>
    <row r="1341" spans="1:6">
      <c r="A1341" s="3838" t="s">
        <v>3469</v>
      </c>
      <c r="B1341" s="3841">
        <v>-2</v>
      </c>
      <c r="C1341" s="3839" t="s">
        <v>4504</v>
      </c>
      <c r="D1341" s="3837" t="str">
        <f t="shared" si="38"/>
        <v>2346</v>
      </c>
      <c r="E1341" s="3838" t="s">
        <v>3338</v>
      </c>
      <c r="F1341" s="3840">
        <v>34.85</v>
      </c>
    </row>
    <row r="1342" spans="1:6">
      <c r="A1342" s="3838" t="s">
        <v>3469</v>
      </c>
      <c r="B1342" s="3841">
        <v>-2</v>
      </c>
      <c r="C1342" s="3839" t="s">
        <v>4505</v>
      </c>
      <c r="D1342" s="3837" t="str">
        <f t="shared" si="38"/>
        <v>2347</v>
      </c>
      <c r="E1342" s="3838" t="s">
        <v>3338</v>
      </c>
      <c r="F1342" s="3840">
        <v>34.85</v>
      </c>
    </row>
    <row r="1343" spans="1:6">
      <c r="A1343" s="3838" t="s">
        <v>3469</v>
      </c>
      <c r="B1343" s="3841">
        <v>-2</v>
      </c>
      <c r="C1343" s="3839" t="s">
        <v>4506</v>
      </c>
      <c r="D1343" s="3837" t="str">
        <f t="shared" si="38"/>
        <v>2348</v>
      </c>
      <c r="E1343" s="3838" t="s">
        <v>3338</v>
      </c>
      <c r="F1343" s="3840">
        <v>34.85</v>
      </c>
    </row>
    <row r="1344" spans="1:6">
      <c r="A1344" s="3838" t="s">
        <v>3469</v>
      </c>
      <c r="B1344" s="3841">
        <v>-2</v>
      </c>
      <c r="C1344" s="3839" t="s">
        <v>4507</v>
      </c>
      <c r="D1344" s="3837" t="str">
        <f t="shared" si="38"/>
        <v>2349</v>
      </c>
      <c r="E1344" s="3838" t="s">
        <v>3338</v>
      </c>
      <c r="F1344" s="3840">
        <v>34.85</v>
      </c>
    </row>
    <row r="1345" spans="1:6">
      <c r="A1345" s="3838" t="s">
        <v>3469</v>
      </c>
      <c r="B1345" s="3841">
        <v>-2</v>
      </c>
      <c r="C1345" s="3839" t="s">
        <v>4508</v>
      </c>
      <c r="D1345" s="3837" t="str">
        <f t="shared" si="38"/>
        <v>2350</v>
      </c>
      <c r="E1345" s="3838" t="s">
        <v>3338</v>
      </c>
      <c r="F1345" s="3840">
        <v>34.85</v>
      </c>
    </row>
    <row r="1346" spans="1:6">
      <c r="A1346" s="3838" t="s">
        <v>3469</v>
      </c>
      <c r="B1346" s="3841">
        <v>-2</v>
      </c>
      <c r="C1346" s="3839" t="s">
        <v>4509</v>
      </c>
      <c r="D1346" s="3837" t="str">
        <f t="shared" si="38"/>
        <v>2351</v>
      </c>
      <c r="E1346" s="3838" t="s">
        <v>3338</v>
      </c>
      <c r="F1346" s="3840">
        <v>34.85</v>
      </c>
    </row>
    <row r="1347" spans="1:6">
      <c r="A1347" s="3838" t="s">
        <v>3469</v>
      </c>
      <c r="B1347" s="3841">
        <v>-2</v>
      </c>
      <c r="C1347" s="3839" t="s">
        <v>4510</v>
      </c>
      <c r="D1347" s="3837" t="str">
        <f t="shared" si="38"/>
        <v>2352</v>
      </c>
      <c r="E1347" s="3838" t="s">
        <v>3338</v>
      </c>
      <c r="F1347" s="3840">
        <v>34.85</v>
      </c>
    </row>
    <row r="1348" spans="1:6">
      <c r="A1348" s="3838" t="s">
        <v>3469</v>
      </c>
      <c r="B1348" s="3841">
        <v>-2</v>
      </c>
      <c r="C1348" s="3839" t="s">
        <v>4511</v>
      </c>
      <c r="D1348" s="3837" t="str">
        <f t="shared" si="38"/>
        <v>2353</v>
      </c>
      <c r="E1348" s="3838" t="s">
        <v>3338</v>
      </c>
      <c r="F1348" s="3840">
        <v>34.85</v>
      </c>
    </row>
    <row r="1349" spans="1:6">
      <c r="A1349" s="3838" t="s">
        <v>3469</v>
      </c>
      <c r="B1349" s="3841">
        <v>-2</v>
      </c>
      <c r="C1349" s="3839" t="s">
        <v>4512</v>
      </c>
      <c r="D1349" s="3837" t="str">
        <f t="shared" si="38"/>
        <v>2354</v>
      </c>
      <c r="E1349" s="3838" t="s">
        <v>3338</v>
      </c>
      <c r="F1349" s="3840">
        <v>34.85</v>
      </c>
    </row>
    <row r="1350" spans="1:6">
      <c r="A1350" s="3838" t="s">
        <v>3469</v>
      </c>
      <c r="B1350" s="3841">
        <v>-2</v>
      </c>
      <c r="C1350" s="3839" t="s">
        <v>4513</v>
      </c>
      <c r="D1350" s="3837" t="str">
        <f t="shared" si="38"/>
        <v>2355</v>
      </c>
      <c r="E1350" s="3838" t="s">
        <v>3338</v>
      </c>
      <c r="F1350" s="3840">
        <v>34.85</v>
      </c>
    </row>
    <row r="1351" spans="1:6">
      <c r="A1351" s="3838" t="s">
        <v>3469</v>
      </c>
      <c r="B1351" s="3841">
        <v>-2</v>
      </c>
      <c r="C1351" s="3839" t="s">
        <v>4514</v>
      </c>
      <c r="D1351" s="3837" t="str">
        <f t="shared" si="38"/>
        <v>2356</v>
      </c>
      <c r="E1351" s="3838" t="s">
        <v>3338</v>
      </c>
      <c r="F1351" s="3840">
        <v>34.85</v>
      </c>
    </row>
    <row r="1352" spans="1:6">
      <c r="A1352" s="3838" t="s">
        <v>3469</v>
      </c>
      <c r="B1352" s="3841">
        <v>-2</v>
      </c>
      <c r="C1352" s="3839" t="s">
        <v>4515</v>
      </c>
      <c r="D1352" s="3837" t="str">
        <f t="shared" si="38"/>
        <v>2357</v>
      </c>
      <c r="E1352" s="3838" t="s">
        <v>3338</v>
      </c>
      <c r="F1352" s="3840">
        <v>34.85</v>
      </c>
    </row>
    <row r="1353" spans="1:6">
      <c r="A1353" s="3838" t="s">
        <v>3469</v>
      </c>
      <c r="B1353" s="3841">
        <v>-2</v>
      </c>
      <c r="C1353" s="3839" t="s">
        <v>4516</v>
      </c>
      <c r="D1353" s="3837" t="str">
        <f t="shared" si="38"/>
        <v>2358</v>
      </c>
      <c r="E1353" s="3838" t="s">
        <v>3338</v>
      </c>
      <c r="F1353" s="3840">
        <v>34.85</v>
      </c>
    </row>
    <row r="1354" spans="1:6">
      <c r="A1354" s="3838" t="s">
        <v>3469</v>
      </c>
      <c r="B1354" s="3841">
        <v>-2</v>
      </c>
      <c r="C1354" s="3839" t="s">
        <v>4517</v>
      </c>
      <c r="D1354" s="3837" t="str">
        <f t="shared" si="38"/>
        <v>2359</v>
      </c>
      <c r="E1354" s="3838" t="s">
        <v>3338</v>
      </c>
      <c r="F1354" s="3840">
        <v>34.85</v>
      </c>
    </row>
    <row r="1355" spans="1:6">
      <c r="A1355" s="3838" t="s">
        <v>3469</v>
      </c>
      <c r="B1355" s="3841">
        <v>-2</v>
      </c>
      <c r="C1355" s="3839" t="s">
        <v>4518</v>
      </c>
      <c r="D1355" s="3837" t="str">
        <f t="shared" si="38"/>
        <v>2360</v>
      </c>
      <c r="E1355" s="3838" t="s">
        <v>3338</v>
      </c>
      <c r="F1355" s="3840">
        <v>34.85</v>
      </c>
    </row>
    <row r="1356" spans="1:6">
      <c r="A1356" s="3838" t="s">
        <v>3469</v>
      </c>
      <c r="B1356" s="3841">
        <v>-2</v>
      </c>
      <c r="C1356" s="3839" t="s">
        <v>4519</v>
      </c>
      <c r="D1356" s="3837" t="str">
        <f t="shared" si="38"/>
        <v>2361</v>
      </c>
      <c r="E1356" s="3838" t="s">
        <v>3338</v>
      </c>
      <c r="F1356" s="3840">
        <v>34.85</v>
      </c>
    </row>
    <row r="1357" spans="1:6">
      <c r="A1357" s="3838" t="s">
        <v>3469</v>
      </c>
      <c r="B1357" s="3841">
        <v>-2</v>
      </c>
      <c r="C1357" s="3839" t="s">
        <v>4520</v>
      </c>
      <c r="D1357" s="3837" t="str">
        <f t="shared" ref="D1357:D1398" si="39">""&amp;C1357</f>
        <v>2362</v>
      </c>
      <c r="E1357" s="3838" t="s">
        <v>3338</v>
      </c>
      <c r="F1357" s="3840">
        <v>34.85</v>
      </c>
    </row>
    <row r="1358" spans="1:6">
      <c r="A1358" s="3838" t="s">
        <v>3469</v>
      </c>
      <c r="B1358" s="3841">
        <v>-2</v>
      </c>
      <c r="C1358" s="3839" t="s">
        <v>4521</v>
      </c>
      <c r="D1358" s="3837" t="str">
        <f t="shared" si="39"/>
        <v>2363</v>
      </c>
      <c r="E1358" s="3838" t="s">
        <v>3338</v>
      </c>
      <c r="F1358" s="3840">
        <v>34.85</v>
      </c>
    </row>
    <row r="1359" spans="1:6">
      <c r="A1359" s="3838" t="s">
        <v>3469</v>
      </c>
      <c r="B1359" s="3841">
        <v>-2</v>
      </c>
      <c r="C1359" s="3839" t="s">
        <v>4522</v>
      </c>
      <c r="D1359" s="3837" t="str">
        <f t="shared" si="39"/>
        <v>2364</v>
      </c>
      <c r="E1359" s="3838" t="s">
        <v>3338</v>
      </c>
      <c r="F1359" s="3840">
        <v>34.85</v>
      </c>
    </row>
    <row r="1360" spans="1:6">
      <c r="A1360" s="3838" t="s">
        <v>3469</v>
      </c>
      <c r="B1360" s="3841">
        <v>-2</v>
      </c>
      <c r="C1360" s="3839" t="s">
        <v>4523</v>
      </c>
      <c r="D1360" s="3837" t="str">
        <f t="shared" si="39"/>
        <v>2365</v>
      </c>
      <c r="E1360" s="3838" t="s">
        <v>3338</v>
      </c>
      <c r="F1360" s="3840">
        <v>34.85</v>
      </c>
    </row>
    <row r="1361" spans="1:6">
      <c r="A1361" s="3838" t="s">
        <v>3469</v>
      </c>
      <c r="B1361" s="3841">
        <v>-2</v>
      </c>
      <c r="C1361" s="3839" t="s">
        <v>4524</v>
      </c>
      <c r="D1361" s="3837" t="str">
        <f t="shared" si="39"/>
        <v>2366</v>
      </c>
      <c r="E1361" s="3838" t="s">
        <v>3338</v>
      </c>
      <c r="F1361" s="3840">
        <v>34.85</v>
      </c>
    </row>
    <row r="1362" spans="1:6">
      <c r="A1362" s="3838" t="s">
        <v>3469</v>
      </c>
      <c r="B1362" s="3841">
        <v>-2</v>
      </c>
      <c r="C1362" s="3839" t="s">
        <v>4525</v>
      </c>
      <c r="D1362" s="3837" t="str">
        <f t="shared" si="39"/>
        <v>2367</v>
      </c>
      <c r="E1362" s="3838" t="s">
        <v>3338</v>
      </c>
      <c r="F1362" s="3840">
        <v>34.85</v>
      </c>
    </row>
    <row r="1363" spans="1:6">
      <c r="A1363" s="3838" t="s">
        <v>3469</v>
      </c>
      <c r="B1363" s="3841">
        <v>-2</v>
      </c>
      <c r="C1363" s="3839" t="s">
        <v>4526</v>
      </c>
      <c r="D1363" s="3837" t="str">
        <f t="shared" si="39"/>
        <v>2368</v>
      </c>
      <c r="E1363" s="3838" t="s">
        <v>3338</v>
      </c>
      <c r="F1363" s="3840">
        <v>34.85</v>
      </c>
    </row>
    <row r="1364" spans="1:6">
      <c r="A1364" s="3838" t="s">
        <v>3469</v>
      </c>
      <c r="B1364" s="3841">
        <v>-2</v>
      </c>
      <c r="C1364" s="3839" t="s">
        <v>4527</v>
      </c>
      <c r="D1364" s="3837" t="str">
        <f t="shared" si="39"/>
        <v>2369</v>
      </c>
      <c r="E1364" s="3838" t="s">
        <v>3338</v>
      </c>
      <c r="F1364" s="3840">
        <v>34.85</v>
      </c>
    </row>
    <row r="1365" spans="1:6">
      <c r="A1365" s="3838" t="s">
        <v>3469</v>
      </c>
      <c r="B1365" s="3841">
        <v>-2</v>
      </c>
      <c r="C1365" s="3839" t="s">
        <v>4528</v>
      </c>
      <c r="D1365" s="3837" t="str">
        <f t="shared" si="39"/>
        <v>2370</v>
      </c>
      <c r="E1365" s="3838" t="s">
        <v>3338</v>
      </c>
      <c r="F1365" s="3840">
        <v>34.85</v>
      </c>
    </row>
    <row r="1366" spans="1:6">
      <c r="A1366" s="3838" t="s">
        <v>3469</v>
      </c>
      <c r="B1366" s="3841">
        <v>-2</v>
      </c>
      <c r="C1366" s="3839" t="s">
        <v>4529</v>
      </c>
      <c r="D1366" s="3837" t="str">
        <f t="shared" si="39"/>
        <v>2371</v>
      </c>
      <c r="E1366" s="3838" t="s">
        <v>3338</v>
      </c>
      <c r="F1366" s="3840">
        <v>34.85</v>
      </c>
    </row>
    <row r="1367" spans="1:6">
      <c r="A1367" s="3838" t="s">
        <v>3469</v>
      </c>
      <c r="B1367" s="3841">
        <v>-2</v>
      </c>
      <c r="C1367" s="3839" t="s">
        <v>4530</v>
      </c>
      <c r="D1367" s="3837" t="str">
        <f t="shared" si="39"/>
        <v>2372</v>
      </c>
      <c r="E1367" s="3838" t="s">
        <v>3338</v>
      </c>
      <c r="F1367" s="3840">
        <v>34.85</v>
      </c>
    </row>
    <row r="1368" spans="1:6">
      <c r="A1368" s="3838" t="s">
        <v>3469</v>
      </c>
      <c r="B1368" s="3841">
        <v>-2</v>
      </c>
      <c r="C1368" s="3839" t="s">
        <v>4531</v>
      </c>
      <c r="D1368" s="3837" t="str">
        <f t="shared" si="39"/>
        <v>2373</v>
      </c>
      <c r="E1368" s="3838" t="s">
        <v>3338</v>
      </c>
      <c r="F1368" s="3840">
        <v>34.85</v>
      </c>
    </row>
    <row r="1369" spans="1:6">
      <c r="A1369" s="3838" t="s">
        <v>3469</v>
      </c>
      <c r="B1369" s="3841">
        <v>-2</v>
      </c>
      <c r="C1369" s="3839" t="s">
        <v>4532</v>
      </c>
      <c r="D1369" s="3837" t="str">
        <f t="shared" si="39"/>
        <v>2374</v>
      </c>
      <c r="E1369" s="3838" t="s">
        <v>3338</v>
      </c>
      <c r="F1369" s="3840">
        <v>34.85</v>
      </c>
    </row>
    <row r="1370" spans="1:6">
      <c r="A1370" s="3838" t="s">
        <v>3469</v>
      </c>
      <c r="B1370" s="3841">
        <v>-2</v>
      </c>
      <c r="C1370" s="3839" t="s">
        <v>4533</v>
      </c>
      <c r="D1370" s="3837" t="str">
        <f t="shared" si="39"/>
        <v>2375</v>
      </c>
      <c r="E1370" s="3838" t="s">
        <v>3338</v>
      </c>
      <c r="F1370" s="3840">
        <v>34.85</v>
      </c>
    </row>
    <row r="1371" spans="1:6">
      <c r="A1371" s="3838" t="s">
        <v>3469</v>
      </c>
      <c r="B1371" s="3841">
        <v>-2</v>
      </c>
      <c r="C1371" s="3839" t="s">
        <v>4534</v>
      </c>
      <c r="D1371" s="3837" t="str">
        <f t="shared" si="39"/>
        <v>2376</v>
      </c>
      <c r="E1371" s="3838" t="s">
        <v>3338</v>
      </c>
      <c r="F1371" s="3840">
        <v>34.85</v>
      </c>
    </row>
    <row r="1372" spans="1:6">
      <c r="A1372" s="3838" t="s">
        <v>3469</v>
      </c>
      <c r="B1372" s="3841">
        <v>-2</v>
      </c>
      <c r="C1372" s="3839" t="s">
        <v>4535</v>
      </c>
      <c r="D1372" s="3837" t="str">
        <f t="shared" si="39"/>
        <v>2377</v>
      </c>
      <c r="E1372" s="3838" t="s">
        <v>3338</v>
      </c>
      <c r="F1372" s="3840">
        <v>34.85</v>
      </c>
    </row>
    <row r="1373" spans="1:6">
      <c r="A1373" s="3838" t="s">
        <v>3469</v>
      </c>
      <c r="B1373" s="3841">
        <v>-2</v>
      </c>
      <c r="C1373" s="3839" t="s">
        <v>4536</v>
      </c>
      <c r="D1373" s="3837" t="str">
        <f t="shared" si="39"/>
        <v>2378</v>
      </c>
      <c r="E1373" s="3838" t="s">
        <v>3338</v>
      </c>
      <c r="F1373" s="3840">
        <v>34.85</v>
      </c>
    </row>
    <row r="1374" spans="1:6">
      <c r="A1374" s="3838" t="s">
        <v>3469</v>
      </c>
      <c r="B1374" s="3841">
        <v>-2</v>
      </c>
      <c r="C1374" s="3839" t="s">
        <v>4537</v>
      </c>
      <c r="D1374" s="3837" t="str">
        <f t="shared" si="39"/>
        <v>2379</v>
      </c>
      <c r="E1374" s="3838" t="s">
        <v>3338</v>
      </c>
      <c r="F1374" s="3840">
        <v>34.85</v>
      </c>
    </row>
    <row r="1375" spans="1:6">
      <c r="A1375" s="3838" t="s">
        <v>3469</v>
      </c>
      <c r="B1375" s="3841">
        <v>-2</v>
      </c>
      <c r="C1375" s="3839" t="s">
        <v>4538</v>
      </c>
      <c r="D1375" s="3837" t="str">
        <f t="shared" si="39"/>
        <v>2380</v>
      </c>
      <c r="E1375" s="3838" t="s">
        <v>3338</v>
      </c>
      <c r="F1375" s="3840">
        <v>34.85</v>
      </c>
    </row>
    <row r="1376" spans="1:6">
      <c r="A1376" s="3838" t="s">
        <v>3469</v>
      </c>
      <c r="B1376" s="3841">
        <v>-2</v>
      </c>
      <c r="C1376" s="3839" t="s">
        <v>4539</v>
      </c>
      <c r="D1376" s="3837" t="str">
        <f t="shared" si="39"/>
        <v>2381</v>
      </c>
      <c r="E1376" s="3838" t="s">
        <v>3338</v>
      </c>
      <c r="F1376" s="3840">
        <v>34.85</v>
      </c>
    </row>
    <row r="1377" spans="1:6">
      <c r="A1377" s="3838" t="s">
        <v>3469</v>
      </c>
      <c r="B1377" s="3841">
        <v>-2</v>
      </c>
      <c r="C1377" s="3839" t="s">
        <v>4540</v>
      </c>
      <c r="D1377" s="3837" t="str">
        <f t="shared" si="39"/>
        <v>2382</v>
      </c>
      <c r="E1377" s="3838" t="s">
        <v>3338</v>
      </c>
      <c r="F1377" s="3840">
        <v>34.85</v>
      </c>
    </row>
    <row r="1378" spans="1:6">
      <c r="A1378" s="3838" t="s">
        <v>3469</v>
      </c>
      <c r="B1378" s="3841">
        <v>-2</v>
      </c>
      <c r="C1378" s="3839" t="s">
        <v>4541</v>
      </c>
      <c r="D1378" s="3837" t="str">
        <f t="shared" si="39"/>
        <v>2383</v>
      </c>
      <c r="E1378" s="3838" t="s">
        <v>3338</v>
      </c>
      <c r="F1378" s="3840">
        <v>34.85</v>
      </c>
    </row>
    <row r="1379" spans="1:6">
      <c r="A1379" s="3838" t="s">
        <v>3469</v>
      </c>
      <c r="B1379" s="3841">
        <v>-2</v>
      </c>
      <c r="C1379" s="3839" t="s">
        <v>4542</v>
      </c>
      <c r="D1379" s="3837" t="str">
        <f t="shared" si="39"/>
        <v>2384</v>
      </c>
      <c r="E1379" s="3838" t="s">
        <v>3338</v>
      </c>
      <c r="F1379" s="3840">
        <v>34.85</v>
      </c>
    </row>
    <row r="1380" spans="1:6">
      <c r="A1380" s="3838" t="s">
        <v>3469</v>
      </c>
      <c r="B1380" s="3841">
        <v>-2</v>
      </c>
      <c r="C1380" s="3839" t="s">
        <v>4543</v>
      </c>
      <c r="D1380" s="3837" t="str">
        <f t="shared" si="39"/>
        <v>2385</v>
      </c>
      <c r="E1380" s="3838" t="s">
        <v>3338</v>
      </c>
      <c r="F1380" s="3840">
        <v>34.85</v>
      </c>
    </row>
    <row r="1381" spans="1:6">
      <c r="A1381" s="3838" t="s">
        <v>3469</v>
      </c>
      <c r="B1381" s="3841">
        <v>-2</v>
      </c>
      <c r="C1381" s="3839" t="s">
        <v>4544</v>
      </c>
      <c r="D1381" s="3837" t="str">
        <f t="shared" si="39"/>
        <v>2386</v>
      </c>
      <c r="E1381" s="3838" t="s">
        <v>3338</v>
      </c>
      <c r="F1381" s="3840">
        <v>34.85</v>
      </c>
    </row>
    <row r="1382" spans="1:6">
      <c r="A1382" s="3838" t="s">
        <v>3469</v>
      </c>
      <c r="B1382" s="3841">
        <v>-2</v>
      </c>
      <c r="C1382" s="3839" t="s">
        <v>4545</v>
      </c>
      <c r="D1382" s="3837" t="str">
        <f t="shared" si="39"/>
        <v>2387</v>
      </c>
      <c r="E1382" s="3838" t="s">
        <v>3338</v>
      </c>
      <c r="F1382" s="3840">
        <v>34.85</v>
      </c>
    </row>
    <row r="1383" spans="1:6">
      <c r="A1383" s="3838" t="s">
        <v>3469</v>
      </c>
      <c r="B1383" s="3841">
        <v>-2</v>
      </c>
      <c r="C1383" s="3839" t="s">
        <v>4546</v>
      </c>
      <c r="D1383" s="3837" t="str">
        <f t="shared" si="39"/>
        <v>2388</v>
      </c>
      <c r="E1383" s="3838" t="s">
        <v>3338</v>
      </c>
      <c r="F1383" s="3840">
        <v>34.85</v>
      </c>
    </row>
    <row r="1384" spans="1:6">
      <c r="A1384" s="3838" t="s">
        <v>3469</v>
      </c>
      <c r="B1384" s="3841">
        <v>-2</v>
      </c>
      <c r="C1384" s="3839" t="s">
        <v>4547</v>
      </c>
      <c r="D1384" s="3837" t="str">
        <f t="shared" si="39"/>
        <v>2389</v>
      </c>
      <c r="E1384" s="3838" t="s">
        <v>3338</v>
      </c>
      <c r="F1384" s="3840">
        <v>34.85</v>
      </c>
    </row>
    <row r="1385" spans="1:6">
      <c r="A1385" s="3838" t="s">
        <v>3469</v>
      </c>
      <c r="B1385" s="3841">
        <v>-2</v>
      </c>
      <c r="C1385" s="3839" t="s">
        <v>4548</v>
      </c>
      <c r="D1385" s="3837" t="str">
        <f t="shared" si="39"/>
        <v>2390</v>
      </c>
      <c r="E1385" s="3838" t="s">
        <v>3338</v>
      </c>
      <c r="F1385" s="3840">
        <v>34.85</v>
      </c>
    </row>
    <row r="1386" spans="1:6">
      <c r="A1386" s="3838" t="s">
        <v>3469</v>
      </c>
      <c r="B1386" s="3841">
        <v>-2</v>
      </c>
      <c r="C1386" s="3839" t="s">
        <v>4549</v>
      </c>
      <c r="D1386" s="3837" t="str">
        <f t="shared" si="39"/>
        <v>2391</v>
      </c>
      <c r="E1386" s="3838" t="s">
        <v>3338</v>
      </c>
      <c r="F1386" s="3840">
        <v>34.85</v>
      </c>
    </row>
    <row r="1387" spans="1:6">
      <c r="A1387" s="3838" t="s">
        <v>3469</v>
      </c>
      <c r="B1387" s="3841">
        <v>-2</v>
      </c>
      <c r="C1387" s="3839" t="s">
        <v>4550</v>
      </c>
      <c r="D1387" s="3837" t="str">
        <f t="shared" si="39"/>
        <v>2392</v>
      </c>
      <c r="E1387" s="3838" t="s">
        <v>3338</v>
      </c>
      <c r="F1387" s="3840">
        <v>34.85</v>
      </c>
    </row>
    <row r="1388" spans="1:6">
      <c r="A1388" s="3838" t="s">
        <v>3469</v>
      </c>
      <c r="B1388" s="3841">
        <v>-2</v>
      </c>
      <c r="C1388" s="3839" t="s">
        <v>4551</v>
      </c>
      <c r="D1388" s="3837" t="str">
        <f t="shared" si="39"/>
        <v>2393</v>
      </c>
      <c r="E1388" s="3838" t="s">
        <v>3338</v>
      </c>
      <c r="F1388" s="3840">
        <v>34.85</v>
      </c>
    </row>
    <row r="1389" spans="1:6">
      <c r="A1389" s="3838" t="s">
        <v>3469</v>
      </c>
      <c r="B1389" s="3841">
        <v>-2</v>
      </c>
      <c r="C1389" s="3839" t="s">
        <v>4552</v>
      </c>
      <c r="D1389" s="3837" t="str">
        <f t="shared" si="39"/>
        <v>2394</v>
      </c>
      <c r="E1389" s="3838" t="s">
        <v>3338</v>
      </c>
      <c r="F1389" s="3840">
        <v>34.85</v>
      </c>
    </row>
    <row r="1390" spans="1:6">
      <c r="A1390" s="3838" t="s">
        <v>3469</v>
      </c>
      <c r="B1390" s="3841">
        <v>-2</v>
      </c>
      <c r="C1390" s="3839" t="s">
        <v>4553</v>
      </c>
      <c r="D1390" s="3837" t="str">
        <f t="shared" si="39"/>
        <v>2395</v>
      </c>
      <c r="E1390" s="3838" t="s">
        <v>3338</v>
      </c>
      <c r="F1390" s="3840">
        <v>34.85</v>
      </c>
    </row>
    <row r="1391" spans="1:6">
      <c r="A1391" s="3838" t="s">
        <v>3469</v>
      </c>
      <c r="B1391" s="3841">
        <v>-2</v>
      </c>
      <c r="C1391" s="3839" t="s">
        <v>4554</v>
      </c>
      <c r="D1391" s="3837" t="str">
        <f t="shared" si="39"/>
        <v>2396</v>
      </c>
      <c r="E1391" s="3838" t="s">
        <v>3338</v>
      </c>
      <c r="F1391" s="3840">
        <v>34.85</v>
      </c>
    </row>
    <row r="1392" spans="1:6">
      <c r="A1392" s="3838" t="s">
        <v>3469</v>
      </c>
      <c r="B1392" s="3841">
        <v>-2</v>
      </c>
      <c r="C1392" s="3839" t="s">
        <v>4555</v>
      </c>
      <c r="D1392" s="3837" t="str">
        <f t="shared" si="39"/>
        <v>2397</v>
      </c>
      <c r="E1392" s="3838" t="s">
        <v>3338</v>
      </c>
      <c r="F1392" s="3840">
        <v>34.85</v>
      </c>
    </row>
    <row r="1393" spans="1:6">
      <c r="A1393" s="3838" t="s">
        <v>3469</v>
      </c>
      <c r="B1393" s="3841">
        <v>-2</v>
      </c>
      <c r="C1393" s="3839" t="s">
        <v>4556</v>
      </c>
      <c r="D1393" s="3837" t="str">
        <f t="shared" si="39"/>
        <v>2398</v>
      </c>
      <c r="E1393" s="3838" t="s">
        <v>3338</v>
      </c>
      <c r="F1393" s="3840">
        <v>34.85</v>
      </c>
    </row>
    <row r="1394" spans="1:6">
      <c r="A1394" s="3838" t="s">
        <v>3469</v>
      </c>
      <c r="B1394" s="3841">
        <v>-2</v>
      </c>
      <c r="C1394" s="3839" t="s">
        <v>4557</v>
      </c>
      <c r="D1394" s="3837" t="str">
        <f t="shared" si="39"/>
        <v>2399</v>
      </c>
      <c r="E1394" s="3838" t="s">
        <v>3338</v>
      </c>
      <c r="F1394" s="3840">
        <v>34.85</v>
      </c>
    </row>
    <row r="1395" spans="1:6">
      <c r="A1395" s="3838" t="s">
        <v>3469</v>
      </c>
      <c r="B1395" s="3841">
        <v>-2</v>
      </c>
      <c r="C1395" s="3839" t="s">
        <v>4558</v>
      </c>
      <c r="D1395" s="3837" t="str">
        <f t="shared" si="39"/>
        <v>2400</v>
      </c>
      <c r="E1395" s="3838" t="s">
        <v>3338</v>
      </c>
      <c r="F1395" s="3840">
        <v>34.85</v>
      </c>
    </row>
    <row r="1396" spans="1:6">
      <c r="A1396" s="3838" t="s">
        <v>3469</v>
      </c>
      <c r="B1396" s="3841">
        <v>-2</v>
      </c>
      <c r="C1396" s="3839" t="s">
        <v>4559</v>
      </c>
      <c r="D1396" s="3837" t="str">
        <f t="shared" si="39"/>
        <v>2401</v>
      </c>
      <c r="E1396" s="3838" t="s">
        <v>3338</v>
      </c>
      <c r="F1396" s="3840">
        <v>34.85</v>
      </c>
    </row>
    <row r="1397" spans="1:6">
      <c r="A1397" s="3838" t="s">
        <v>3469</v>
      </c>
      <c r="B1397" s="3841">
        <v>-2</v>
      </c>
      <c r="C1397" s="3839" t="s">
        <v>4560</v>
      </c>
      <c r="D1397" s="3837" t="str">
        <f t="shared" si="39"/>
        <v>2402</v>
      </c>
      <c r="E1397" s="3838" t="s">
        <v>3338</v>
      </c>
      <c r="F1397" s="3840">
        <v>34.85</v>
      </c>
    </row>
    <row r="1398" spans="1:6">
      <c r="A1398" s="3838" t="s">
        <v>3469</v>
      </c>
      <c r="B1398" s="3841">
        <v>-2</v>
      </c>
      <c r="C1398" s="3839" t="s">
        <v>4561</v>
      </c>
      <c r="D1398" s="3837" t="str">
        <f t="shared" si="39"/>
        <v>2403</v>
      </c>
      <c r="E1398" s="3838" t="s">
        <v>3338</v>
      </c>
      <c r="F1398" s="3840">
        <v>34.85</v>
      </c>
    </row>
    <row r="1399" spans="1:6">
      <c r="A1399" s="3844" t="s">
        <v>4562</v>
      </c>
      <c r="B1399" s="3844"/>
      <c r="C1399" s="3844"/>
      <c r="D1399" s="3844"/>
      <c r="E1399" s="3844"/>
      <c r="F1399" s="3844">
        <f>SUM(F1:F1398)</f>
        <v>57457.869999998438</v>
      </c>
    </row>
  </sheetData>
  <autoFilter ref="A2:F1399"/>
  <mergeCells count="1">
    <mergeCell ref="A1:F1"/>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17"/>
  <sheetViews>
    <sheetView workbookViewId="0">
      <selection activeCell="I20" sqref="I20"/>
    </sheetView>
  </sheetViews>
  <sheetFormatPr defaultColWidth="9" defaultRowHeight="13.5"/>
  <cols>
    <col min="1" max="1" width="14.25" style="3448" customWidth="1"/>
    <col min="2" max="2" width="14.375" style="3449" customWidth="1"/>
    <col min="3" max="3" width="14.375" style="3448" customWidth="1"/>
    <col min="4" max="5" width="18.25" style="3448" customWidth="1"/>
    <col min="6" max="6" width="15.125" style="3448" customWidth="1"/>
    <col min="7" max="7" width="15.5" style="3448" customWidth="1"/>
    <col min="8" max="8" width="13.375" style="3448" customWidth="1"/>
    <col min="9" max="9" width="17" style="3448" customWidth="1"/>
    <col min="10" max="10" width="16.25" style="3448" customWidth="1"/>
    <col min="11" max="11" width="13.25" style="3448" customWidth="1"/>
    <col min="12" max="12" width="18" style="3448" customWidth="1"/>
    <col min="13" max="13" width="17.75" style="3448" customWidth="1"/>
    <col min="14" max="14" width="13.5" style="3448" customWidth="1"/>
    <col min="15" max="15" width="18" style="3448" customWidth="1"/>
    <col min="16" max="16" width="16.25" style="3448" customWidth="1"/>
    <col min="17" max="17" width="19.375" style="3448" customWidth="1"/>
    <col min="18" max="18" width="18" style="3448" customWidth="1"/>
    <col min="19" max="19" width="11" style="3448" customWidth="1"/>
    <col min="20" max="16384" width="9" style="3448"/>
  </cols>
  <sheetData>
    <row r="1" spans="1:18" ht="16.5">
      <c r="A1" s="3446" t="s">
        <v>3388</v>
      </c>
      <c r="B1" s="3447">
        <v>45016</v>
      </c>
    </row>
    <row r="2" spans="1:18" ht="14.25" thickBot="1"/>
    <row r="3" spans="1:18" ht="14.25" thickBot="1">
      <c r="A3" s="3548" t="s">
        <v>3389</v>
      </c>
      <c r="B3" s="3550" t="s">
        <v>3390</v>
      </c>
      <c r="C3" s="3548" t="s">
        <v>3391</v>
      </c>
      <c r="D3" s="3450" t="s">
        <v>3392</v>
      </c>
      <c r="E3" s="3548" t="s">
        <v>3393</v>
      </c>
      <c r="F3" s="3552" t="s">
        <v>3394</v>
      </c>
      <c r="G3" s="3553"/>
      <c r="H3" s="3553"/>
      <c r="I3" s="3554"/>
      <c r="J3" s="3548" t="s">
        <v>3395</v>
      </c>
      <c r="K3" s="3450" t="s">
        <v>3396</v>
      </c>
      <c r="L3" s="3451" t="s">
        <v>3397</v>
      </c>
      <c r="M3" s="3452" t="s">
        <v>3398</v>
      </c>
      <c r="N3" s="3452" t="s">
        <v>3399</v>
      </c>
      <c r="O3" s="3452" t="s">
        <v>3400</v>
      </c>
      <c r="P3" s="3452" t="s">
        <v>3401</v>
      </c>
      <c r="Q3" s="3452" t="s">
        <v>3402</v>
      </c>
    </row>
    <row r="4" spans="1:18" ht="14.25" thickBot="1">
      <c r="A4" s="3549"/>
      <c r="B4" s="3551"/>
      <c r="C4" s="3549"/>
      <c r="D4" s="3453" t="s">
        <v>3403</v>
      </c>
      <c r="E4" s="3549"/>
      <c r="F4" s="3453" t="s">
        <v>672</v>
      </c>
      <c r="G4" s="3453" t="s">
        <v>3404</v>
      </c>
      <c r="H4" s="3454" t="s">
        <v>3405</v>
      </c>
      <c r="I4" s="3454" t="s">
        <v>3406</v>
      </c>
      <c r="J4" s="3549"/>
      <c r="K4" s="3453" t="s">
        <v>3407</v>
      </c>
      <c r="L4" s="3454" t="s">
        <v>3408</v>
      </c>
      <c r="M4" s="3453" t="s">
        <v>3408</v>
      </c>
      <c r="N4" s="3453" t="s">
        <v>3408</v>
      </c>
      <c r="O4" s="3453" t="s">
        <v>3408</v>
      </c>
      <c r="P4" s="3452" t="s">
        <v>3408</v>
      </c>
      <c r="Q4" s="3452" t="s">
        <v>3408</v>
      </c>
    </row>
    <row r="5" spans="1:18" ht="14.25" thickBot="1">
      <c r="A5" s="3548" t="s">
        <v>3409</v>
      </c>
      <c r="B5" s="3550" t="s">
        <v>3410</v>
      </c>
      <c r="C5" s="3548" t="s">
        <v>3411</v>
      </c>
      <c r="D5" s="3558">
        <v>97273.43</v>
      </c>
      <c r="E5" s="3558">
        <v>109655.73</v>
      </c>
      <c r="F5" s="3453" t="s">
        <v>3412</v>
      </c>
      <c r="G5" s="3453">
        <v>739</v>
      </c>
      <c r="H5" s="3455">
        <v>730</v>
      </c>
      <c r="I5" s="3456">
        <v>61331.53</v>
      </c>
      <c r="J5" s="3563">
        <f>(I5+I6+I7)/D5</f>
        <v>0.63050650110723971</v>
      </c>
      <c r="K5" s="3457">
        <f>L5/I5*10000</f>
        <v>37847.038872175537</v>
      </c>
      <c r="L5" s="3555">
        <v>232121.68</v>
      </c>
      <c r="M5" s="3555">
        <v>229553.3174</v>
      </c>
      <c r="N5" s="3558">
        <v>2146</v>
      </c>
      <c r="O5" s="3558">
        <v>5903</v>
      </c>
      <c r="P5" s="3457">
        <f>D5-I5-P6-P7</f>
        <v>968.31999999999243</v>
      </c>
      <c r="Q5" s="3457">
        <v>235717</v>
      </c>
    </row>
    <row r="6" spans="1:18" ht="14.25" thickBot="1">
      <c r="A6" s="3561"/>
      <c r="B6" s="3562"/>
      <c r="C6" s="3561"/>
      <c r="D6" s="3559"/>
      <c r="E6" s="3559"/>
      <c r="F6" s="3453" t="s">
        <v>3413</v>
      </c>
      <c r="G6" s="3453">
        <v>115</v>
      </c>
      <c r="H6" s="3454">
        <v>0</v>
      </c>
      <c r="I6" s="3458">
        <v>0</v>
      </c>
      <c r="J6" s="3564"/>
      <c r="K6" s="3457">
        <v>0</v>
      </c>
      <c r="L6" s="3556"/>
      <c r="M6" s="3556"/>
      <c r="N6" s="3559"/>
      <c r="O6" s="3559"/>
      <c r="P6" s="3457">
        <v>3999.29</v>
      </c>
      <c r="Q6" s="3457">
        <v>2230</v>
      </c>
      <c r="R6" s="3448">
        <f>Q6/P6</f>
        <v>0.55759897381785273</v>
      </c>
    </row>
    <row r="7" spans="1:18" ht="14.25" thickBot="1">
      <c r="A7" s="3549"/>
      <c r="B7" s="3551"/>
      <c r="C7" s="3549"/>
      <c r="D7" s="3560"/>
      <c r="E7" s="3560"/>
      <c r="F7" s="3453" t="s">
        <v>3414</v>
      </c>
      <c r="G7" s="3453">
        <v>853</v>
      </c>
      <c r="H7" s="3454">
        <v>0</v>
      </c>
      <c r="I7" s="3458">
        <v>0</v>
      </c>
      <c r="J7" s="3565"/>
      <c r="K7" s="3457">
        <v>0</v>
      </c>
      <c r="L7" s="3557"/>
      <c r="M7" s="3557"/>
      <c r="N7" s="3560"/>
      <c r="O7" s="3560"/>
      <c r="P7" s="3457">
        <v>30974.29</v>
      </c>
      <c r="Q7" s="3457">
        <v>14501</v>
      </c>
      <c r="R7" s="3448">
        <f>Q7/P7</f>
        <v>0.46816246635516101</v>
      </c>
    </row>
    <row r="8" spans="1:18" ht="14.25" thickBot="1">
      <c r="A8" s="3548" t="s">
        <v>3415</v>
      </c>
      <c r="B8" s="3550" t="s">
        <v>3416</v>
      </c>
      <c r="C8" s="3548" t="s">
        <v>3417</v>
      </c>
      <c r="D8" s="3558">
        <v>83144.960000000006</v>
      </c>
      <c r="E8" s="3558">
        <f>144844.64-E11</f>
        <v>89010.960000000021</v>
      </c>
      <c r="F8" s="3453" t="s">
        <v>3412</v>
      </c>
      <c r="G8" s="3453">
        <v>991</v>
      </c>
      <c r="H8" s="3455">
        <v>720</v>
      </c>
      <c r="I8" s="3456">
        <v>58624.480000000003</v>
      </c>
      <c r="J8" s="3563">
        <f>I8/D8</f>
        <v>0.70508759640993268</v>
      </c>
      <c r="K8" s="3457">
        <f>L8/I8*10000</f>
        <v>41712.735021274384</v>
      </c>
      <c r="L8" s="3555">
        <v>244538.74</v>
      </c>
      <c r="M8" s="3555">
        <v>221358.34270000001</v>
      </c>
      <c r="N8" s="3558">
        <v>3623</v>
      </c>
      <c r="O8" s="3558">
        <v>12364</v>
      </c>
      <c r="P8" s="3457">
        <f>D8-I8</f>
        <v>24520.480000000003</v>
      </c>
      <c r="Q8" s="3457">
        <v>347981</v>
      </c>
      <c r="R8" s="3459"/>
    </row>
    <row r="9" spans="1:18" ht="14.25" thickBot="1">
      <c r="A9" s="3561"/>
      <c r="B9" s="3562"/>
      <c r="C9" s="3561"/>
      <c r="D9" s="3559"/>
      <c r="E9" s="3559"/>
      <c r="F9" s="3453" t="s">
        <v>3413</v>
      </c>
      <c r="G9" s="3453"/>
      <c r="H9" s="3453"/>
      <c r="I9" s="3453"/>
      <c r="J9" s="3564"/>
      <c r="K9" s="3457"/>
      <c r="L9" s="3556"/>
      <c r="M9" s="3556"/>
      <c r="N9" s="3559"/>
      <c r="O9" s="3559"/>
      <c r="P9" s="3457"/>
      <c r="Q9" s="3457"/>
    </row>
    <row r="10" spans="1:18" ht="14.25" thickBot="1">
      <c r="A10" s="3549"/>
      <c r="B10" s="3551"/>
      <c r="C10" s="3549"/>
      <c r="D10" s="3560"/>
      <c r="E10" s="3560"/>
      <c r="F10" s="3453" t="s">
        <v>3414</v>
      </c>
      <c r="G10" s="3453"/>
      <c r="H10" s="3453"/>
      <c r="I10" s="3453"/>
      <c r="J10" s="3565"/>
      <c r="K10" s="3457"/>
      <c r="L10" s="3557"/>
      <c r="M10" s="3557"/>
      <c r="N10" s="3560"/>
      <c r="O10" s="3560"/>
      <c r="P10" s="3457"/>
      <c r="Q10" s="3457"/>
    </row>
    <row r="11" spans="1:18" ht="14.25" thickBot="1">
      <c r="A11" s="3548">
        <v>3</v>
      </c>
      <c r="B11" s="3550" t="s">
        <v>3418</v>
      </c>
      <c r="C11" s="3548" t="s">
        <v>3419</v>
      </c>
      <c r="D11" s="3558">
        <v>43194.239999999998</v>
      </c>
      <c r="E11" s="3558">
        <v>55833.68</v>
      </c>
      <c r="F11" s="3453" t="s">
        <v>3412</v>
      </c>
      <c r="G11" s="3453">
        <v>8</v>
      </c>
      <c r="H11" s="3453"/>
      <c r="I11" s="3453"/>
      <c r="J11" s="3460"/>
      <c r="K11" s="3457"/>
      <c r="L11" s="3457"/>
      <c r="M11" s="3457"/>
      <c r="N11" s="3457"/>
      <c r="O11" s="3457"/>
      <c r="P11" s="3457">
        <v>713.97</v>
      </c>
      <c r="Q11" s="3457">
        <v>2887</v>
      </c>
    </row>
    <row r="12" spans="1:18" ht="14.25" thickBot="1">
      <c r="A12" s="3561"/>
      <c r="B12" s="3562"/>
      <c r="C12" s="3561"/>
      <c r="D12" s="3559"/>
      <c r="E12" s="3559"/>
      <c r="F12" s="3453" t="s">
        <v>3413</v>
      </c>
      <c r="G12" s="3453">
        <v>172</v>
      </c>
      <c r="H12" s="3453"/>
      <c r="I12" s="3453"/>
      <c r="J12" s="3460"/>
      <c r="K12" s="3457"/>
      <c r="L12" s="3457"/>
      <c r="M12" s="3457"/>
      <c r="N12" s="3457"/>
      <c r="O12" s="3457"/>
      <c r="P12" s="3457">
        <v>5373.1</v>
      </c>
      <c r="Q12" s="3457">
        <f>P12*0.6</f>
        <v>3223.86</v>
      </c>
    </row>
    <row r="13" spans="1:18" ht="14.25" thickBot="1">
      <c r="A13" s="3561"/>
      <c r="B13" s="3562"/>
      <c r="C13" s="3561"/>
      <c r="D13" s="3559"/>
      <c r="E13" s="3559"/>
      <c r="F13" s="3453" t="s">
        <v>3414</v>
      </c>
      <c r="G13" s="3453">
        <v>1066</v>
      </c>
      <c r="H13" s="3453"/>
      <c r="I13" s="3453"/>
      <c r="J13" s="3460"/>
      <c r="K13" s="3457"/>
      <c r="L13" s="3457"/>
      <c r="M13" s="3457"/>
      <c r="N13" s="3457"/>
      <c r="O13" s="3457"/>
      <c r="P13" s="3457">
        <v>37107.17</v>
      </c>
      <c r="Q13" s="3457">
        <f>1738*12</f>
        <v>20856</v>
      </c>
    </row>
    <row r="14" spans="1:18" ht="14.25" thickBot="1">
      <c r="A14" s="3461"/>
      <c r="B14" s="3462"/>
      <c r="C14" s="3462" t="s">
        <v>3420</v>
      </c>
      <c r="D14" s="3457">
        <f>D8+D5+D11</f>
        <v>223612.63</v>
      </c>
      <c r="E14" s="3457">
        <f>E8+E5+E11</f>
        <v>254500.37</v>
      </c>
      <c r="F14" s="3453" t="s">
        <v>3412</v>
      </c>
      <c r="G14" s="3453">
        <v>3944</v>
      </c>
      <c r="H14" s="3453">
        <f>H5+H8</f>
        <v>1450</v>
      </c>
      <c r="I14" s="3453">
        <f>I5+I8</f>
        <v>119956.01000000001</v>
      </c>
      <c r="J14" s="3460"/>
      <c r="K14" s="3453"/>
      <c r="L14" s="3463">
        <f>L8+L5</f>
        <v>476660.42</v>
      </c>
      <c r="M14" s="3463">
        <f>M8+M5</f>
        <v>450911.66009999998</v>
      </c>
      <c r="N14" s="3453"/>
      <c r="O14" s="3463">
        <f>O5+O8</f>
        <v>18267</v>
      </c>
      <c r="P14" s="3464">
        <f>SUM(P5:P13)</f>
        <v>103656.62</v>
      </c>
      <c r="Q14" s="3464">
        <f>SUM(Q5:Q13)</f>
        <v>627395.86</v>
      </c>
    </row>
    <row r="15" spans="1:18" ht="14.25" thickBot="1">
      <c r="L15" s="3465" t="s">
        <v>3421</v>
      </c>
      <c r="M15" s="3464">
        <f>L14-M14</f>
        <v>25748.759900000005</v>
      </c>
      <c r="P15" s="3465" t="s">
        <v>3422</v>
      </c>
      <c r="Q15" s="3464">
        <f>Q14-L14</f>
        <v>150735.44</v>
      </c>
    </row>
    <row r="16" spans="1:18" ht="29.25" thickBot="1">
      <c r="A16" s="3466" t="s">
        <v>3423</v>
      </c>
      <c r="B16" s="3466" t="s">
        <v>3424</v>
      </c>
      <c r="C16" s="3466" t="s">
        <v>3425</v>
      </c>
      <c r="D16" s="3466" t="s">
        <v>3426</v>
      </c>
      <c r="E16" s="3466" t="s">
        <v>3427</v>
      </c>
      <c r="F16" s="3466" t="s">
        <v>3428</v>
      </c>
      <c r="G16" s="3466" t="s">
        <v>3429</v>
      </c>
      <c r="H16" s="3466" t="s">
        <v>3430</v>
      </c>
      <c r="I16" s="3466" t="s">
        <v>3431</v>
      </c>
      <c r="L16" s="3465" t="s">
        <v>3432</v>
      </c>
      <c r="M16" s="3467">
        <f>I14/D14</f>
        <v>0.53644559343539766</v>
      </c>
      <c r="P16" s="3468" t="s">
        <v>3433</v>
      </c>
      <c r="Q16" s="3464">
        <f>Q15-Q7-Q13</f>
        <v>115378.44</v>
      </c>
    </row>
    <row r="17" spans="1:17" ht="27.75" thickBot="1">
      <c r="A17" s="3469" t="s">
        <v>3434</v>
      </c>
      <c r="B17" s="3469">
        <v>110194.986059</v>
      </c>
      <c r="C17" s="3469">
        <f>110194.986059-400</f>
        <v>109794.986059</v>
      </c>
      <c r="D17" s="3470">
        <v>139805.01394100001</v>
      </c>
      <c r="E17" s="3470"/>
      <c r="F17" s="3471">
        <f>C17+D17</f>
        <v>249600</v>
      </c>
      <c r="G17" s="3471"/>
      <c r="H17" s="3472"/>
      <c r="I17" s="3472">
        <v>84898.51</v>
      </c>
      <c r="J17" s="3448" t="s">
        <v>3435</v>
      </c>
      <c r="L17" s="3465" t="s">
        <v>3436</v>
      </c>
      <c r="M17" s="3467">
        <f>I14/(D5+D8)</f>
        <v>0.66487684542579062</v>
      </c>
      <c r="P17" s="3468" t="s">
        <v>3437</v>
      </c>
      <c r="Q17" s="3464" t="e">
        <f>Q16-#REF!-Q12</f>
        <v>#REF!</v>
      </c>
    </row>
  </sheetData>
  <mergeCells count="31">
    <mergeCell ref="L8:L10"/>
    <mergeCell ref="M8:M10"/>
    <mergeCell ref="N8:N10"/>
    <mergeCell ref="O8:O10"/>
    <mergeCell ref="A11:A13"/>
    <mergeCell ref="B11:B13"/>
    <mergeCell ref="C11:C13"/>
    <mergeCell ref="D11:D13"/>
    <mergeCell ref="E11:E13"/>
    <mergeCell ref="L5:L7"/>
    <mergeCell ref="M5:M7"/>
    <mergeCell ref="N5:N7"/>
    <mergeCell ref="O5:O7"/>
    <mergeCell ref="A8:A10"/>
    <mergeCell ref="B8:B10"/>
    <mergeCell ref="C8:C10"/>
    <mergeCell ref="D8:D10"/>
    <mergeCell ref="E8:E10"/>
    <mergeCell ref="J8:J10"/>
    <mergeCell ref="A5:A7"/>
    <mergeCell ref="B5:B7"/>
    <mergeCell ref="C5:C7"/>
    <mergeCell ref="D5:D7"/>
    <mergeCell ref="E5:E7"/>
    <mergeCell ref="J5:J7"/>
    <mergeCell ref="J3:J4"/>
    <mergeCell ref="A3:A4"/>
    <mergeCell ref="B3:B4"/>
    <mergeCell ref="C3:C4"/>
    <mergeCell ref="E3:E4"/>
    <mergeCell ref="F3:I3"/>
  </mergeCells>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3"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9"/>
      <c r="C1" s="1139"/>
      <c r="D1" s="1139"/>
      <c r="E1" s="1139"/>
      <c r="F1" s="1139"/>
      <c r="G1" s="1139"/>
      <c r="H1" s="1139"/>
      <c r="I1" s="1139"/>
      <c r="J1" s="1139"/>
      <c r="K1" s="1139"/>
      <c r="L1" s="1139"/>
      <c r="M1" s="1139"/>
      <c r="N1" s="1139"/>
      <c r="O1" s="1139"/>
      <c r="P1" s="1139"/>
    </row>
    <row r="2" spans="1:16" ht="15">
      <c r="A2" s="3575" t="s">
        <v>1130</v>
      </c>
      <c r="B2" s="3575"/>
      <c r="C2" s="3575"/>
      <c r="D2" s="796" t="s">
        <v>1106</v>
      </c>
      <c r="E2" s="1638" t="s">
        <v>1107</v>
      </c>
      <c r="F2" s="2653"/>
      <c r="G2" s="2644"/>
      <c r="H2" s="2645"/>
      <c r="I2" s="2321" t="s">
        <v>1131</v>
      </c>
      <c r="J2" s="2653"/>
      <c r="K2" s="2653"/>
      <c r="L2" s="2653"/>
      <c r="M2" s="2653"/>
      <c r="N2" s="2655"/>
      <c r="O2" s="2653"/>
      <c r="P2" s="2653"/>
    </row>
    <row r="3" spans="1:16" ht="15.75" thickBot="1">
      <c r="A3" s="3576" t="s">
        <v>1104</v>
      </c>
      <c r="B3" s="3576"/>
      <c r="C3" s="3576"/>
      <c r="D3" s="43">
        <f>'数据-基础表'!AY6</f>
        <v>15906.02</v>
      </c>
      <c r="E3" s="43">
        <f>'数据-基础表'!AZ5</f>
        <v>57457.869999999995</v>
      </c>
      <c r="F3" s="2653"/>
      <c r="G3" s="1145"/>
      <c r="H3" s="1026" t="s">
        <v>1105</v>
      </c>
      <c r="I3" s="855">
        <f>ROUND('数据-基础表'!B3/'数据-基础表'!A3,2)</f>
        <v>3.61</v>
      </c>
      <c r="J3" s="2653"/>
      <c r="K3" s="2653"/>
      <c r="L3" s="2653"/>
      <c r="M3" s="2653"/>
      <c r="N3" s="2655"/>
      <c r="O3" s="2653"/>
      <c r="P3" s="2653"/>
    </row>
    <row r="4" spans="1:16" ht="15">
      <c r="A4" s="3577"/>
      <c r="B4" s="3578"/>
      <c r="C4" s="3579"/>
      <c r="D4" s="1640" t="s">
        <v>1106</v>
      </c>
      <c r="E4" s="1641" t="s">
        <v>1107</v>
      </c>
      <c r="F4" s="2653"/>
      <c r="G4" s="2646" t="s">
        <v>1132</v>
      </c>
      <c r="H4" s="1026" t="s">
        <v>1112</v>
      </c>
      <c r="I4" s="855">
        <f>ROUND(SUMIF('数据-基础表'!I9:AS9,"地上",'数据-基础表'!I5:AS5)/'数据-基础表'!A3,2)</f>
        <v>2.21</v>
      </c>
      <c r="J4" s="2653"/>
      <c r="K4" s="2653"/>
      <c r="L4" s="2653"/>
      <c r="M4" s="2653"/>
      <c r="N4" s="2655"/>
      <c r="O4" s="2653"/>
      <c r="P4" s="2653"/>
    </row>
    <row r="5" spans="1:16">
      <c r="A5" s="44" t="s">
        <v>1108</v>
      </c>
      <c r="B5" s="3580" t="s">
        <v>1109</v>
      </c>
      <c r="C5" s="3580"/>
      <c r="D5" s="45">
        <f>ROUND($D$3*E5/$E$3,2)</f>
        <v>4146.24</v>
      </c>
      <c r="E5" s="46">
        <f>SUMIF('数据-基础表'!$11:$11,"住宅",'数据-基础表'!$5:$5)</f>
        <v>14977.599999999997</v>
      </c>
      <c r="F5" s="2653"/>
      <c r="G5" s="1145"/>
      <c r="H5" s="1026" t="s">
        <v>1105</v>
      </c>
      <c r="I5" s="855">
        <f>ROUND(E31/D31,2)</f>
        <v>3.61</v>
      </c>
      <c r="J5" s="2653"/>
      <c r="K5" s="2653"/>
      <c r="L5" s="2653"/>
      <c r="M5" s="2653"/>
      <c r="N5" s="2653"/>
      <c r="O5" s="2653"/>
      <c r="P5" s="2653"/>
    </row>
    <row r="6" spans="1:16" ht="15" thickBot="1">
      <c r="A6" s="1643"/>
      <c r="B6" s="3580" t="s">
        <v>1110</v>
      </c>
      <c r="C6" s="3580"/>
      <c r="D6" s="45">
        <f>ROUND($D$3*E6/$E$3,2)</f>
        <v>11759.78</v>
      </c>
      <c r="E6" s="46">
        <f>E3-E5</f>
        <v>42480.27</v>
      </c>
      <c r="F6" s="2653"/>
      <c r="G6" s="2647" t="s">
        <v>1111</v>
      </c>
      <c r="H6" s="1146" t="s">
        <v>1112</v>
      </c>
      <c r="I6" s="2648">
        <f>ROUND(F31/D31,2)</f>
        <v>0.94</v>
      </c>
      <c r="J6" s="2653"/>
      <c r="K6" s="2653"/>
      <c r="L6" s="2653"/>
      <c r="M6" s="2653"/>
      <c r="N6" s="2653"/>
      <c r="O6" s="2653"/>
      <c r="P6" s="2653"/>
    </row>
    <row r="7" spans="1:16" ht="15.75" thickBot="1">
      <c r="A7" s="3572"/>
      <c r="B7" s="3573"/>
      <c r="C7" s="3574"/>
      <c r="D7" s="1640" t="s">
        <v>1106</v>
      </c>
      <c r="E7" s="1644" t="s">
        <v>1113</v>
      </c>
      <c r="F7" s="2653"/>
      <c r="G7" s="2649" t="s">
        <v>1114</v>
      </c>
      <c r="H7" s="2650"/>
      <c r="I7" s="2651"/>
      <c r="J7" s="2653"/>
      <c r="K7" s="2653"/>
      <c r="L7" s="2653"/>
      <c r="M7" s="2653"/>
      <c r="N7" s="2653"/>
      <c r="O7" s="2653"/>
      <c r="P7" s="2653"/>
    </row>
    <row r="8" spans="1:16">
      <c r="A8" s="44" t="s">
        <v>1115</v>
      </c>
      <c r="B8" s="47" t="s">
        <v>1116</v>
      </c>
      <c r="C8" s="45" t="s">
        <v>1117</v>
      </c>
      <c r="D8" s="45">
        <f t="shared" ref="D8:D15" si="0">ROUND($D$3*E8/$E$3,2)</f>
        <v>4146.24</v>
      </c>
      <c r="E8" s="48">
        <f>SUMIF('数据-基础表'!BB10:BK10,"地上",'数据-基础表'!BB5:BK5)</f>
        <v>14977.599999999997</v>
      </c>
      <c r="F8" s="2653"/>
      <c r="G8" s="2654"/>
      <c r="H8" s="2654"/>
      <c r="I8" s="2653"/>
      <c r="J8" s="2653"/>
      <c r="K8" s="2653"/>
      <c r="L8" s="2653"/>
      <c r="M8" s="2653"/>
      <c r="N8" s="2653"/>
      <c r="O8" s="2653"/>
      <c r="P8" s="2653"/>
    </row>
    <row r="9" spans="1:16">
      <c r="A9" s="1645"/>
      <c r="B9" s="1646"/>
      <c r="C9" s="45" t="s">
        <v>1118</v>
      </c>
      <c r="D9" s="45">
        <f t="shared" si="0"/>
        <v>0</v>
      </c>
      <c r="E9" s="49">
        <v>0</v>
      </c>
      <c r="F9" s="2653"/>
      <c r="G9" s="2654"/>
      <c r="H9" s="2654"/>
      <c r="I9" s="2653"/>
      <c r="J9" s="2653"/>
      <c r="K9" s="2653"/>
      <c r="L9" s="2653"/>
      <c r="M9" s="2653"/>
      <c r="N9" s="2653"/>
      <c r="O9" s="2653"/>
      <c r="P9" s="2653"/>
    </row>
    <row r="10" spans="1:16">
      <c r="A10" s="1645"/>
      <c r="B10" s="1646"/>
      <c r="C10" s="45" t="s">
        <v>1127</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5"/>
      <c r="B11" s="1646"/>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5"/>
      <c r="B12" s="1646"/>
      <c r="C12" s="45" t="s">
        <v>1120</v>
      </c>
      <c r="D12" s="45">
        <f t="shared" si="0"/>
        <v>1487.43</v>
      </c>
      <c r="E12" s="48">
        <f>SUMPRODUCT(('数据-基础表'!BB10:BK10="地下")*('数据-基础表'!BB11:BK11="仓储")*('数据-基础表'!BB5:BK5))</f>
        <v>5373.0999999999995</v>
      </c>
      <c r="F12" s="2653"/>
      <c r="G12" s="2654"/>
      <c r="H12" s="2654"/>
      <c r="I12" s="2653"/>
      <c r="J12" s="2653"/>
      <c r="K12" s="2653"/>
      <c r="L12" s="2653"/>
      <c r="M12" s="2653"/>
      <c r="N12" s="2653"/>
      <c r="O12" s="2653"/>
      <c r="P12" s="2653"/>
    </row>
    <row r="13" spans="1:16">
      <c r="A13" s="1645"/>
      <c r="B13" s="1646"/>
      <c r="C13" s="45" t="s">
        <v>1121</v>
      </c>
      <c r="D13" s="45">
        <f t="shared" si="0"/>
        <v>10272.35</v>
      </c>
      <c r="E13" s="48">
        <f>SUMPRODUCT(('数据-基础表'!BB10:BK10="地下")*('数据-基础表'!BB11:BK11="车库")*('数据-基础表'!BB5:BK5))</f>
        <v>37107.17</v>
      </c>
      <c r="F13" s="2653"/>
      <c r="G13" s="2654"/>
      <c r="H13" s="2654"/>
      <c r="I13" s="2653"/>
      <c r="J13" s="2653"/>
      <c r="K13" s="2653"/>
      <c r="L13" s="2653"/>
      <c r="M13" s="2653"/>
      <c r="N13" s="2653"/>
      <c r="O13" s="2653"/>
      <c r="P13" s="2653"/>
    </row>
    <row r="14" spans="1:16">
      <c r="A14" s="1645"/>
      <c r="B14" s="1646"/>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5"/>
      <c r="B15" s="1646"/>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3"/>
      <c r="B16" s="1646"/>
      <c r="C16" s="47" t="s">
        <v>1122</v>
      </c>
      <c r="D16" s="47">
        <f>SUM(D8:D15)</f>
        <v>15906.02</v>
      </c>
      <c r="E16" s="50">
        <f>SUM(E8:E15)</f>
        <v>57457.869999999995</v>
      </c>
      <c r="F16" s="2653"/>
      <c r="G16" s="2654"/>
      <c r="H16" s="1647" t="s">
        <v>1134</v>
      </c>
      <c r="I16" s="1648"/>
      <c r="J16" s="1139"/>
      <c r="K16" s="3569" t="s">
        <v>1134</v>
      </c>
      <c r="L16" s="3570"/>
      <c r="M16" s="3570"/>
      <c r="N16" s="3570"/>
      <c r="O16" s="3570"/>
      <c r="P16" s="3571"/>
    </row>
    <row r="17" spans="1:19" ht="15">
      <c r="A17" s="1649" t="s">
        <v>1135</v>
      </c>
      <c r="B17" s="1650" t="s">
        <v>1136</v>
      </c>
      <c r="C17" s="1651" t="s">
        <v>1137</v>
      </c>
      <c r="D17" s="1652" t="s">
        <v>1125</v>
      </c>
      <c r="E17" s="1653" t="s">
        <v>1126</v>
      </c>
      <c r="F17" s="1654"/>
      <c r="G17" s="1655"/>
      <c r="H17" s="1656" t="s">
        <v>1138</v>
      </c>
      <c r="I17" s="1657" t="s">
        <v>1123</v>
      </c>
      <c r="J17" s="1139"/>
      <c r="K17" s="3566" t="s">
        <v>1139</v>
      </c>
      <c r="L17" s="3567"/>
      <c r="M17" s="3568"/>
      <c r="N17" s="3566" t="s">
        <v>1140</v>
      </c>
      <c r="O17" s="3567"/>
      <c r="P17" s="3568"/>
      <c r="R17" s="1639" t="s">
        <v>1141</v>
      </c>
      <c r="S17" s="56"/>
    </row>
    <row r="18" spans="1:19" ht="15">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c r="A19" s="1666"/>
      <c r="B19" s="47" t="s">
        <v>1124</v>
      </c>
      <c r="C19" s="3411" t="s">
        <v>3438</v>
      </c>
      <c r="D19" s="45">
        <f>ROUND($D$3*E19/$E$3,2)</f>
        <v>4146.24</v>
      </c>
      <c r="E19" s="53">
        <f t="shared" ref="E19:E26" si="1">SUM(F19:G19)</f>
        <v>14977.60000000002</v>
      </c>
      <c r="F19" s="3473">
        <f>'数据-基础表'!I5-'数据-基础表'!J5</f>
        <v>14977.60000000002</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4146.24</v>
      </c>
      <c r="S19" s="1027">
        <f t="shared" si="5"/>
        <v>14977.60000000002</v>
      </c>
    </row>
    <row r="20" spans="1:19">
      <c r="A20" s="1669"/>
      <c r="B20" s="47" t="s">
        <v>1152</v>
      </c>
      <c r="C20" s="3411" t="s">
        <v>3439</v>
      </c>
      <c r="D20" s="45">
        <f t="shared" ref="D20:D26" si="6">ROUND($D$3*E20/$E$3,2)</f>
        <v>1487.43</v>
      </c>
      <c r="E20" s="53">
        <f t="shared" si="1"/>
        <v>5373.0999999999995</v>
      </c>
      <c r="F20" s="2789"/>
      <c r="G20" s="3474">
        <f>'数据-基础表'!K5</f>
        <v>5373.0999999999995</v>
      </c>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1487.43</v>
      </c>
      <c r="S20" s="1027">
        <f t="shared" si="5"/>
        <v>5373.0999999999995</v>
      </c>
    </row>
    <row r="21" spans="1:19">
      <c r="A21" s="1669"/>
      <c r="B21" s="47" t="s">
        <v>1152</v>
      </c>
      <c r="C21" s="3411" t="s">
        <v>3440</v>
      </c>
      <c r="D21" s="45">
        <f t="shared" si="6"/>
        <v>10272.35</v>
      </c>
      <c r="E21" s="53">
        <f t="shared" si="1"/>
        <v>37107.17</v>
      </c>
      <c r="F21" s="2789"/>
      <c r="G21" s="3474">
        <f>'数据-基础表'!M5</f>
        <v>37107.17</v>
      </c>
      <c r="H21" s="670">
        <f t="shared" si="7"/>
        <v>0</v>
      </c>
      <c r="I21" s="48">
        <f t="shared" si="2"/>
        <v>0</v>
      </c>
      <c r="J21" s="1139"/>
      <c r="K21" s="1138">
        <f t="shared" si="3"/>
        <v>0</v>
      </c>
      <c r="L21" s="1026">
        <f t="shared" si="4"/>
        <v>0</v>
      </c>
      <c r="M21" s="1150">
        <f t="shared" si="8"/>
        <v>0</v>
      </c>
      <c r="N21" s="1667"/>
      <c r="O21" s="1668"/>
      <c r="P21" s="1150">
        <f t="shared" si="9"/>
        <v>0</v>
      </c>
      <c r="R21" s="1026">
        <f t="shared" si="5"/>
        <v>10272.35</v>
      </c>
      <c r="S21" s="1027">
        <f t="shared" si="5"/>
        <v>37107.17</v>
      </c>
    </row>
    <row r="22" spans="1:19">
      <c r="A22" s="1669"/>
      <c r="B22" s="47" t="s">
        <v>1152</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1152</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1152</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1152</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1152</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29.25" thickBot="1">
      <c r="A27" s="1669"/>
      <c r="B27" s="45"/>
      <c r="C27" s="1672" t="s">
        <v>1153</v>
      </c>
      <c r="D27" s="1140">
        <f>SUM(D19:D26)</f>
        <v>15906.02</v>
      </c>
      <c r="E27" s="1141">
        <f>IF(SUM(E19:E26)='数据-基础表'!BA5,SUM(E19:E26),IF(F27="地上面积有误","面积有误","地下面积有误"))</f>
        <v>57457.870000000017</v>
      </c>
      <c r="F27" s="3475">
        <f>SUM(F19:F26)</f>
        <v>14977.60000000002</v>
      </c>
      <c r="G27" s="1142">
        <f>SUM(G19:G26)</f>
        <v>42480.27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15906.02</v>
      </c>
      <c r="S27" s="1026">
        <f>IF(SUM(S19:S26)=$E$3,SUM(S19:S26),SUM(S19:S26)&amp;"误差"&amp;ROUND(SUM(S19:S26)-E3,2))</f>
        <v>57457.870000000017</v>
      </c>
    </row>
    <row r="28" spans="1:19">
      <c r="A28" s="1669"/>
      <c r="B28" s="47" t="s">
        <v>1154</v>
      </c>
      <c r="C28" s="1038"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9"/>
      <c r="B29" s="47" t="s">
        <v>1154</v>
      </c>
      <c r="C29" s="1673"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9"/>
      <c r="B30" s="47"/>
      <c r="C30" s="1674" t="s">
        <v>1153</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5"/>
      <c r="B31" s="1676"/>
      <c r="C31" s="835" t="s">
        <v>1157</v>
      </c>
      <c r="D31" s="676">
        <f>D27+D30</f>
        <v>15906.02</v>
      </c>
      <c r="E31" s="676">
        <f>E27+E30</f>
        <v>57457.870000000017</v>
      </c>
      <c r="F31" s="677">
        <f>F27+F30</f>
        <v>14977.60000000002</v>
      </c>
      <c r="G31" s="678">
        <f>G27+G30</f>
        <v>42480.27</v>
      </c>
      <c r="H31" s="2653"/>
      <c r="I31" s="2653"/>
      <c r="J31" s="2653"/>
      <c r="K31" s="2653"/>
      <c r="L31" s="2653"/>
      <c r="M31" s="2653"/>
      <c r="N31" s="2653"/>
      <c r="O31" s="2653"/>
      <c r="P31" s="2653"/>
    </row>
    <row r="32" spans="1:19">
      <c r="A32" s="1642"/>
      <c r="B32" s="1642" t="s">
        <v>1158</v>
      </c>
      <c r="C32" s="1642"/>
      <c r="D32" s="1642"/>
      <c r="E32" s="1053">
        <f>SUMIF(C19:C26,"*住宅*",E19:E26)</f>
        <v>14977.60000000002</v>
      </c>
      <c r="F32" s="1642"/>
      <c r="G32" s="1642"/>
      <c r="H32" s="2653"/>
      <c r="I32" s="2653"/>
      <c r="J32" s="2653"/>
      <c r="K32" s="2653"/>
      <c r="L32" s="2653"/>
      <c r="M32" s="2653"/>
      <c r="N32" s="2653"/>
      <c r="O32" s="2653"/>
      <c r="P32" s="2653"/>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G16" sqref="G1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24" width="6.75" style="1681" customWidth="1"/>
    <col min="25" max="25" width="8.375" style="1681" customWidth="1"/>
    <col min="26"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5"/>
      <c r="AO1" s="2665"/>
      <c r="AP1" s="2665"/>
      <c r="AQ1" s="2665"/>
      <c r="AR1" s="2665"/>
    </row>
    <row r="2" spans="1:67" s="1558" customFormat="1" ht="15.75" thickBot="1">
      <c r="A2" s="1682" t="s">
        <v>1160</v>
      </c>
      <c r="B2" s="1045">
        <f>项目基本情况!D3</f>
        <v>45035</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7"/>
      <c r="AO2" s="2667"/>
      <c r="AP2" s="2667"/>
      <c r="AQ2" s="2667"/>
      <c r="AR2" s="2667"/>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7"/>
      <c r="AO3" s="2667"/>
      <c r="AP3" s="2667"/>
      <c r="AQ3" s="2667"/>
      <c r="AR3" s="2667"/>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2"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7"/>
      <c r="AO4" s="2667"/>
      <c r="AP4" s="2667"/>
      <c r="AQ4" s="2667"/>
      <c r="AR4" s="2667"/>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3442</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1" t="s">
        <v>1200</v>
      </c>
      <c r="AP5" s="1028"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3386</v>
      </c>
      <c r="D6" s="858">
        <f>SUMIF(项目基本情况!C$12:I$12,C6,项目基本情况!C$14:I$14)</f>
        <v>70</v>
      </c>
      <c r="E6" s="857">
        <f>IF(B6="","",SUMIF(项目基本情况!C$12:I$12,C6,项目基本情况!C$13:I$13))</f>
        <v>69336</v>
      </c>
      <c r="F6" s="64">
        <f>SUMIF(项目基本情况!C$12:I$12,C6,项目基本情况!C$15:I$15)</f>
        <v>66.569999999999993</v>
      </c>
      <c r="G6" s="65">
        <f>IF(ISERROR(ROUND(POWER(1+H6,D6-F6)*(POWER(1+H6,F6)-1)/(POWER(1+H6,D6)-1),3)),0,ROUND(POWER(1+H6,D6-F6)*(POWER(1+H6,F6)-1)/(POWER(1+H6,D6)-1),3))</f>
        <v>0.99</v>
      </c>
      <c r="H6" s="732">
        <v>0.04</v>
      </c>
      <c r="I6" s="732">
        <v>4.4999999999999998E-2</v>
      </c>
      <c r="J6" s="66">
        <v>7.4999999999999997E-2</v>
      </c>
      <c r="K6" s="1030">
        <f>SUMIF('数据-汇总表'!C$19:C$33,A6,'数据-汇总表'!E$19:E$33)</f>
        <v>14977.60000000002</v>
      </c>
      <c r="L6" s="733">
        <v>5200</v>
      </c>
      <c r="M6" s="67">
        <f t="shared" ref="M6:M14" si="0">ROUND(K6*L6/10000,0)</f>
        <v>7788</v>
      </c>
      <c r="N6" s="731">
        <v>0.99</v>
      </c>
      <c r="O6" s="67">
        <f>IF($N$5="成新度","——",ROUND(M6*N6,0))</f>
        <v>7710</v>
      </c>
      <c r="P6" s="68">
        <f>IF($N$5="成新度","——",M6-O6)</f>
        <v>78</v>
      </c>
      <c r="Q6" s="734">
        <v>0.2</v>
      </c>
      <c r="R6" s="69">
        <f ca="1">SUMIF('数据-汇总表'!C$19:C$33,A6,'数据-汇总表'!R$19:R$27)</f>
        <v>4146.24</v>
      </c>
      <c r="S6" s="51">
        <f>IF('数据-汇总表'!$I$17="按面积比例",SUMIF('数据-汇总表'!C$19:C$33,A6,'数据-汇总表'!K$19:K$33),SUMIF('数据-汇总表'!C$19:C$33,A6,'数据-汇总表'!N$19:N$33))</f>
        <v>0</v>
      </c>
      <c r="T6" s="1172">
        <f>ROUND($L$14*S6/10000,0)</f>
        <v>0</v>
      </c>
      <c r="U6" s="3422"/>
      <c r="V6" s="70"/>
      <c r="W6" s="70"/>
      <c r="X6" s="1040"/>
      <c r="Y6" s="71"/>
      <c r="Z6" s="72"/>
      <c r="AA6" s="66"/>
      <c r="AB6" s="66"/>
      <c r="AC6" s="1040"/>
      <c r="AD6" s="73"/>
      <c r="AE6" s="1041">
        <f ca="1">IF(AN6="",0,SUMIF(INDIRECT("'"&amp;AN6&amp;"'"&amp;"!E:E"),$AE$5,INDIRECT("'"&amp;AN6&amp;"'"&amp;"!F:F")))</f>
        <v>0</v>
      </c>
      <c r="AF6" s="1347"/>
      <c r="AG6" s="138">
        <f>IF(AF6="",0,AE6-AF6)</f>
        <v>0</v>
      </c>
      <c r="AH6" s="74"/>
      <c r="AI6" s="76"/>
      <c r="AJ6" s="77"/>
      <c r="AK6" s="78"/>
      <c r="AL6" s="79"/>
      <c r="AM6" s="80"/>
      <c r="AN6" s="1714"/>
      <c r="AO6" s="52" t="e">
        <f ca="1">SUMIF(INDIRECT("'"&amp;AN6&amp;"'"&amp;"!A:A"),"总价",INDIRECT("'"&amp;AN6&amp;"'"&amp;"!B:B"))</f>
        <v>#REF!</v>
      </c>
      <c r="AP6" s="1715">
        <f>IF(C6="住宅",K6*L6,0)</f>
        <v>77883520.000000104</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仓储</v>
      </c>
      <c r="B7" s="1712" t="str">
        <f t="shared" ref="B7:B13" si="1">IF(A7=0,"","经营性")</f>
        <v>经营性</v>
      </c>
      <c r="C7" s="1713" t="s">
        <v>3339</v>
      </c>
      <c r="D7" s="858">
        <f>SUMIF(项目基本情况!C$12:I$12,C7,项目基本情况!C$14:I$14)</f>
        <v>50</v>
      </c>
      <c r="E7" s="857">
        <f>IF(B7="","",SUMIF(项目基本情况!C$12:I$12,C7,项目基本情况!C$13:I$13))</f>
        <v>62031</v>
      </c>
      <c r="F7" s="64">
        <f>SUMIF(项目基本情况!C$12:I$12,C7,项目基本情况!C$15:I$15)</f>
        <v>46.56</v>
      </c>
      <c r="G7" s="65">
        <f t="shared" ref="G7:G11" si="2">IF(ISERROR(ROUND(POWER(1+H7,D7-F7)*(POWER(1+H7,F7)-1)/(POWER(1+H7,D7)-1),3)),0,ROUND(POWER(1+H7,D7-F7)*(POWER(1+H7,F7)-1)/(POWER(1+H7,D7)-1),3))</f>
        <v>0.98</v>
      </c>
      <c r="H7" s="732">
        <v>4.4999999999999998E-2</v>
      </c>
      <c r="I7" s="732">
        <v>0.05</v>
      </c>
      <c r="J7" s="66">
        <v>7.4999999999999997E-2</v>
      </c>
      <c r="K7" s="1030">
        <f>SUMIF('数据-汇总表'!C$19:C$33,A7,'数据-汇总表'!E$19:E$33)</f>
        <v>5373.0999999999995</v>
      </c>
      <c r="L7" s="733">
        <v>4400</v>
      </c>
      <c r="M7" s="67">
        <f t="shared" si="0"/>
        <v>2364</v>
      </c>
      <c r="N7" s="731">
        <f>N6</f>
        <v>0.99</v>
      </c>
      <c r="O7" s="67">
        <f t="shared" ref="O7:O14" si="3">IF($N$5="成新度","——",ROUND(M7*N7,0))</f>
        <v>2340</v>
      </c>
      <c r="P7" s="68">
        <f t="shared" ref="P7:P14" si="4">IF($N$5="成新度","——",M7-O7)</f>
        <v>24</v>
      </c>
      <c r="Q7" s="734">
        <v>0.05</v>
      </c>
      <c r="R7" s="69">
        <f ca="1">SUMIF('数据-汇总表'!C$19:C$33,A7,'数据-汇总表'!R$19:R$27)</f>
        <v>1487.43</v>
      </c>
      <c r="S7" s="51">
        <f>IF('数据-汇总表'!$I$17="按面积比例",SUMIF('数据-汇总表'!C$19:C$33,A7,'数据-汇总表'!K$19:K$33),SUMIF('数据-汇总表'!C$19:C$33,A7,'数据-汇总表'!N$19:N$33))</f>
        <v>0</v>
      </c>
      <c r="T7" s="1172">
        <f t="shared" ref="T7:T13" si="5">ROUND($L$14*S7/10000,0)</f>
        <v>0</v>
      </c>
      <c r="U7" s="3422">
        <v>1.2</v>
      </c>
      <c r="V7" s="70">
        <v>0.02</v>
      </c>
      <c r="W7" s="70">
        <v>0.1</v>
      </c>
      <c r="X7" s="1040"/>
      <c r="Y7" s="71">
        <v>1</v>
      </c>
      <c r="Z7" s="72"/>
      <c r="AA7" s="66"/>
      <c r="AB7" s="66"/>
      <c r="AC7" s="1040"/>
      <c r="AD7" s="73"/>
      <c r="AE7" s="1041">
        <f t="shared" ref="AE7:AE13" ca="1" si="6">IF(AN7="",0,SUMIF(INDIRECT("'"&amp;AN7&amp;"'"&amp;"!E:E"),$AE$5,INDIRECT("'"&amp;AN7&amp;"'"&amp;"!F:F")))</f>
        <v>46.53</v>
      </c>
      <c r="AF7" s="1347"/>
      <c r="AG7" s="138">
        <f t="shared" ref="AG7:AG13" si="7">IF(AF7="",0,AE7-AF7)</f>
        <v>0</v>
      </c>
      <c r="AH7" s="74"/>
      <c r="AI7" s="76">
        <v>365</v>
      </c>
      <c r="AJ7" s="77"/>
      <c r="AK7" s="78">
        <v>0.01</v>
      </c>
      <c r="AL7" s="79">
        <v>1E-3</v>
      </c>
      <c r="AM7" s="80">
        <v>0.01</v>
      </c>
      <c r="AN7" s="1714" t="s">
        <v>4733</v>
      </c>
      <c r="AO7" s="52">
        <f t="shared" ref="AO7:AO13" ca="1" si="8">SUMIF(INDIRECT("'"&amp;AN7&amp;"'"&amp;"!A:A"),"总价",INDIRECT("'"&amp;AN7&amp;"'"&amp;"!B:B"))</f>
        <v>3455</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地下车库</v>
      </c>
      <c r="B8" s="1712" t="str">
        <f t="shared" si="1"/>
        <v>经营性</v>
      </c>
      <c r="C8" s="1713" t="s">
        <v>3338</v>
      </c>
      <c r="D8" s="858">
        <f>SUMIF(项目基本情况!C$12:I$12,C8,项目基本情况!C$14:I$14)</f>
        <v>50</v>
      </c>
      <c r="E8" s="857">
        <f>IF(B8="","",SUMIF(项目基本情况!C$12:I$12,C8,项目基本情况!C$13:I$13))</f>
        <v>62031</v>
      </c>
      <c r="F8" s="64">
        <f>SUMIF(项目基本情况!C$12:I$12,C8,项目基本情况!C$15:I$15)</f>
        <v>46.56</v>
      </c>
      <c r="G8" s="65">
        <f t="shared" si="2"/>
        <v>0.98</v>
      </c>
      <c r="H8" s="732">
        <v>4.4999999999999998E-2</v>
      </c>
      <c r="I8" s="732">
        <v>0.05</v>
      </c>
      <c r="J8" s="66">
        <v>7.4999999999999997E-2</v>
      </c>
      <c r="K8" s="1030">
        <f>SUMIF('数据-汇总表'!C$19:C$33,A8,'数据-汇总表'!E$19:E$33)</f>
        <v>37107.17</v>
      </c>
      <c r="L8" s="733">
        <v>4400</v>
      </c>
      <c r="M8" s="67">
        <f>ROUND(K8*L8/10000,0)</f>
        <v>16327</v>
      </c>
      <c r="N8" s="731">
        <f>N6</f>
        <v>0.99</v>
      </c>
      <c r="O8" s="67">
        <f t="shared" si="3"/>
        <v>16164</v>
      </c>
      <c r="P8" s="68">
        <f t="shared" si="4"/>
        <v>163</v>
      </c>
      <c r="Q8" s="734">
        <v>0.05</v>
      </c>
      <c r="R8" s="69">
        <f ca="1">SUMIF('数据-汇总表'!C$19:C$33,A8,'数据-汇总表'!R$19:R$27)</f>
        <v>10272.35</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7"/>
      <c r="AG8" s="138">
        <f t="shared" si="7"/>
        <v>0</v>
      </c>
      <c r="AH8" s="736">
        <f>抵押物清单!K21</f>
        <v>1066</v>
      </c>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8"/>
      <c r="E14" s="857"/>
      <c r="F14" s="64"/>
      <c r="G14" s="65"/>
      <c r="H14" s="1029"/>
      <c r="I14" s="1029"/>
      <c r="J14" s="1029"/>
      <c r="K14" s="1030">
        <f>SUMIF('数据-汇总表'!C$19:C$33,A14,'数据-汇总表'!E$19:E$33)</f>
        <v>0</v>
      </c>
      <c r="L14" s="82">
        <v>4400</v>
      </c>
      <c r="M14" s="67">
        <f t="shared" si="0"/>
        <v>0</v>
      </c>
      <c r="N14" s="83">
        <f>N6</f>
        <v>0.99</v>
      </c>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5"/>
      <c r="AO14" s="2667"/>
      <c r="AP14" s="2667"/>
      <c r="AQ14" s="2667"/>
      <c r="AR14" s="2667"/>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5"/>
      <c r="AO15" s="2667"/>
      <c r="AP15" s="2667"/>
      <c r="AQ15" s="2667"/>
      <c r="AR15" s="2667"/>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3"/>
      <c r="D16" s="1719"/>
      <c r="E16" s="88"/>
      <c r="F16" s="88"/>
      <c r="G16" s="89">
        <f>ROUND(SUMPRODUCT(G6:G13,K6:K13)/SUMPRODUCT((G6:G13&gt;0)*(K6:K13)),3)</f>
        <v>0.98299999999999998</v>
      </c>
      <c r="H16" s="90">
        <f>ROUND(SUMPRODUCT(H6:H13,K6:K13)/SUMPRODUCT((H6:H13&gt;0)*(K6:K13)),3)</f>
        <v>4.3999999999999997E-2</v>
      </c>
      <c r="I16" s="91"/>
      <c r="J16" s="91"/>
      <c r="K16" s="92">
        <f>SUM(K6:K15)</f>
        <v>57457.870000000017</v>
      </c>
      <c r="L16" s="93">
        <f>ROUND(M16*10000/SUM(K6:K14),0)</f>
        <v>4608</v>
      </c>
      <c r="M16" s="93">
        <f>SUM(M6:M14)</f>
        <v>26479</v>
      </c>
      <c r="N16" s="94">
        <f>ROUND(SUMPRODUCT(M6:M14,N6:N14)/M16,3)</f>
        <v>0.99</v>
      </c>
      <c r="O16" s="93">
        <f>SUM(O6:O14)</f>
        <v>26214</v>
      </c>
      <c r="P16" s="93">
        <f>SUM(P6:P14)</f>
        <v>265</v>
      </c>
      <c r="Q16" s="95">
        <f>ROUND(SUMPRODUCT(Q6:Q13,K6:K13)/SUMPRODUCT((Q6:Q13&gt;0)*(K6:K13)),2)</f>
        <v>0.09</v>
      </c>
      <c r="R16" s="1034">
        <f ca="1">SUM(R6:R13)</f>
        <v>15906.02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1209</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1" t="s">
        <v>1210</v>
      </c>
      <c r="B19" s="103">
        <v>0</v>
      </c>
      <c r="C19" s="2793" t="s">
        <v>2303</v>
      </c>
      <c r="D19" s="2670"/>
      <c r="E19" s="2667"/>
      <c r="F19" s="2667"/>
      <c r="G19" s="2667"/>
      <c r="H19" s="2667"/>
      <c r="I19" s="2667"/>
      <c r="J19" s="2667"/>
      <c r="K19" s="2666"/>
      <c r="L19" s="2666"/>
      <c r="M19" s="2665"/>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2" t="s">
        <v>1211</v>
      </c>
      <c r="B20" s="104">
        <v>3</v>
      </c>
      <c r="C20" s="2794" t="s">
        <v>2301</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3" t="s">
        <v>1212</v>
      </c>
      <c r="B21" s="104">
        <f>B20*N16</f>
        <v>2.9699999999999998</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2" t="s">
        <v>1213</v>
      </c>
      <c r="B22" s="105">
        <f>B19+B20</f>
        <v>3</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3" t="s">
        <v>1214</v>
      </c>
      <c r="B23" s="105">
        <f>B19+B21</f>
        <v>2.9699999999999998</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4" t="s">
        <v>1215</v>
      </c>
      <c r="B24" s="106">
        <f>B20-B21</f>
        <v>3.0000000000000249E-2</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6"/>
      <c r="B25" s="1686"/>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2" t="s">
        <v>1216</v>
      </c>
      <c r="B26" s="1725" t="s">
        <v>1217</v>
      </c>
      <c r="C26" s="2671" t="s">
        <v>1218</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7" customFormat="1" ht="27.75">
      <c r="A27" s="1726" t="s">
        <v>1219</v>
      </c>
      <c r="B27" s="107">
        <v>140</v>
      </c>
      <c r="C27" s="2795" t="s">
        <v>2305</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1220</v>
      </c>
      <c r="B28" s="110">
        <v>170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1221</v>
      </c>
      <c r="B29" s="112">
        <f ca="1">成本法!C9+成本法!C10</f>
        <v>932</v>
      </c>
      <c r="C29" s="2796" t="s">
        <v>2292</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1222</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1223</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1224</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1225</v>
      </c>
      <c r="B33" s="673">
        <v>0.03</v>
      </c>
      <c r="C33" s="2797" t="s">
        <v>2293</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1226</v>
      </c>
      <c r="B34" s="113">
        <v>0.05</v>
      </c>
      <c r="C34" s="2797" t="s">
        <v>2294</v>
      </c>
      <c r="D34" s="2678" t="s">
        <v>2302</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1227</v>
      </c>
      <c r="B35" s="110">
        <v>200</v>
      </c>
      <c r="C35" s="2797" t="s">
        <v>2295</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797" t="s">
        <v>2296</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0" t="s">
        <v>1229</v>
      </c>
      <c r="B37" s="115">
        <v>0.02</v>
      </c>
      <c r="C37" s="2797" t="s">
        <v>2297</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8" t="s">
        <v>1230</v>
      </c>
      <c r="B38" s="113">
        <v>0.02</v>
      </c>
      <c r="C38" s="2797" t="s">
        <v>2297</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1" t="s">
        <v>1231</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3441</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6" t="s">
        <v>1232</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2" t="s">
        <v>1233</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2" t="s">
        <v>1234</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3" t="s">
        <v>1235</v>
      </c>
      <c r="B44" s="119">
        <v>0.05</v>
      </c>
      <c r="C44" s="2797" t="s">
        <v>2306</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3" t="s">
        <v>1236</v>
      </c>
      <c r="B45" s="117">
        <v>0.03</v>
      </c>
      <c r="C45" s="2796" t="s">
        <v>2298</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3" t="s">
        <v>1237</v>
      </c>
      <c r="B46" s="117">
        <v>0.02</v>
      </c>
      <c r="C46" s="2796" t="s">
        <v>2299</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4" t="s">
        <v>1238</v>
      </c>
      <c r="B47" s="120">
        <v>0</v>
      </c>
      <c r="C47" s="2799" t="s">
        <v>2307</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5" t="s">
        <v>1239</v>
      </c>
      <c r="B48" s="121">
        <v>0.03</v>
      </c>
      <c r="C48" s="2796" t="s">
        <v>2298</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1" t="s">
        <v>1240</v>
      </c>
      <c r="B49" s="117">
        <v>5.0000000000000001E-4</v>
      </c>
      <c r="C49" s="2796" t="s">
        <v>2300</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6" t="s">
        <v>1241</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9" t="s">
        <v>1242</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6" t="s">
        <v>1243</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8" t="s">
        <v>1244</v>
      </c>
      <c r="B53" s="1737" t="s">
        <v>29</v>
      </c>
      <c r="C53" s="2655" t="s">
        <v>1245</v>
      </c>
      <c r="D53" s="2798" t="s">
        <v>2304</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8" t="s">
        <v>1246</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8" t="s">
        <v>1247</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8" t="s">
        <v>1248</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8" t="s">
        <v>1249</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8" t="s">
        <v>1250</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8" t="s">
        <v>1251</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8" t="s">
        <v>1252</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8" t="s">
        <v>1253</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8" t="s">
        <v>1254</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9" t="s">
        <v>1255</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4" customWidth="1"/>
    <col min="4" max="4" width="2.625" style="2504" customWidth="1"/>
    <col min="5" max="5" width="5.875" style="2504" customWidth="1"/>
    <col min="6" max="6" width="27" style="1571"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5"/>
  </cols>
  <sheetData>
    <row r="1" spans="1:29" s="2451" customFormat="1" ht="18.75" thickBot="1">
      <c r="A1" s="3581" t="s">
        <v>2284</v>
      </c>
      <c r="B1" s="3582"/>
      <c r="C1" s="3582"/>
      <c r="D1" s="3582"/>
      <c r="E1" s="3582"/>
      <c r="F1" s="3582"/>
      <c r="G1" s="3582"/>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2279</v>
      </c>
      <c r="D2" s="2455"/>
      <c r="E2" s="2452"/>
      <c r="F2" s="2456"/>
      <c r="G2" s="2454" t="s">
        <v>2280</v>
      </c>
      <c r="H2" s="799"/>
      <c r="I2" s="799"/>
      <c r="J2" s="799"/>
      <c r="K2" s="799"/>
      <c r="L2" s="799"/>
      <c r="M2" s="799"/>
      <c r="N2" s="799"/>
      <c r="O2" s="799"/>
      <c r="P2" s="799"/>
      <c r="Q2" s="799"/>
      <c r="R2" s="799"/>
    </row>
    <row r="3" spans="1:29" ht="48">
      <c r="A3" s="2435" t="s">
        <v>2281</v>
      </c>
      <c r="B3" s="2457" t="s">
        <v>2250</v>
      </c>
      <c r="C3" s="2458" t="s">
        <v>2282</v>
      </c>
      <c r="D3" s="2459"/>
      <c r="E3" s="2436" t="s">
        <v>2281</v>
      </c>
      <c r="F3" s="2460" t="s">
        <v>2251</v>
      </c>
      <c r="G3" s="2461" t="s">
        <v>2283</v>
      </c>
      <c r="H3" s="799"/>
      <c r="I3" s="799"/>
      <c r="J3" s="799"/>
      <c r="K3" s="799"/>
      <c r="L3" s="799"/>
      <c r="M3" s="799"/>
      <c r="N3" s="799"/>
      <c r="O3" s="799"/>
      <c r="P3" s="799"/>
      <c r="Q3" s="799"/>
      <c r="R3" s="799"/>
    </row>
    <row r="4" spans="1:29" ht="36.75">
      <c r="A4" s="2436"/>
      <c r="B4" s="323" t="s">
        <v>2252</v>
      </c>
      <c r="C4" s="2462" t="s">
        <v>2253</v>
      </c>
      <c r="D4" s="2459"/>
      <c r="E4" s="2463"/>
      <c r="F4" s="1372" t="s">
        <v>2254</v>
      </c>
      <c r="G4" s="2464" t="s">
        <v>2255</v>
      </c>
      <c r="H4" s="799"/>
      <c r="I4" s="799"/>
      <c r="J4" s="799"/>
      <c r="K4" s="799"/>
      <c r="L4" s="799"/>
      <c r="M4" s="799"/>
      <c r="N4" s="799"/>
      <c r="O4" s="799"/>
      <c r="P4" s="799"/>
      <c r="Q4" s="799"/>
      <c r="R4" s="799"/>
    </row>
    <row r="5" spans="1:29" ht="36.75">
      <c r="A5" s="2436"/>
      <c r="B5" s="323" t="s">
        <v>2256</v>
      </c>
      <c r="C5" s="2462" t="s">
        <v>2257</v>
      </c>
      <c r="D5" s="2459"/>
      <c r="E5" s="2463"/>
      <c r="F5" s="323" t="s">
        <v>2258</v>
      </c>
      <c r="G5" s="2464" t="s">
        <v>2259</v>
      </c>
      <c r="H5" s="799"/>
      <c r="I5" s="799"/>
      <c r="J5" s="799"/>
      <c r="K5" s="799"/>
      <c r="L5" s="799"/>
      <c r="M5" s="799"/>
      <c r="N5" s="799"/>
      <c r="O5" s="799"/>
      <c r="P5" s="799"/>
      <c r="Q5" s="799"/>
      <c r="R5" s="799"/>
    </row>
    <row r="6" spans="1:29" ht="36">
      <c r="A6" s="2436"/>
      <c r="B6" s="323" t="s">
        <v>2260</v>
      </c>
      <c r="C6" s="2464" t="s">
        <v>2255</v>
      </c>
      <c r="D6" s="2459"/>
      <c r="E6" s="2463"/>
      <c r="F6" s="323" t="s">
        <v>2261</v>
      </c>
      <c r="G6" s="2464" t="s">
        <v>2262</v>
      </c>
      <c r="H6" s="799"/>
      <c r="I6" s="799"/>
      <c r="J6" s="799"/>
      <c r="K6" s="799"/>
      <c r="L6" s="799"/>
      <c r="M6" s="799"/>
      <c r="N6" s="799"/>
      <c r="O6" s="799"/>
      <c r="P6" s="799"/>
      <c r="Q6" s="799"/>
      <c r="R6" s="799"/>
    </row>
    <row r="7" spans="1:29" ht="24.75" thickBot="1">
      <c r="A7" s="2436"/>
      <c r="B7" s="323" t="s">
        <v>2258</v>
      </c>
      <c r="C7" s="2464" t="s">
        <v>2259</v>
      </c>
      <c r="D7" s="2465"/>
      <c r="E7" s="2466"/>
      <c r="F7" s="2467" t="s">
        <v>2263</v>
      </c>
      <c r="G7" s="2468" t="s">
        <v>2264</v>
      </c>
      <c r="H7" s="799"/>
      <c r="I7" s="799"/>
      <c r="J7" s="799"/>
      <c r="K7" s="799"/>
      <c r="L7" s="799"/>
      <c r="M7" s="799"/>
      <c r="N7" s="799"/>
      <c r="O7" s="799"/>
      <c r="P7" s="799"/>
      <c r="Q7" s="799"/>
      <c r="R7" s="799"/>
    </row>
    <row r="8" spans="1:29">
      <c r="A8" s="2436"/>
      <c r="B8" s="323" t="s">
        <v>2261</v>
      </c>
      <c r="C8" s="2464" t="s">
        <v>2262</v>
      </c>
      <c r="D8" s="2465"/>
      <c r="E8" s="2465"/>
      <c r="F8" s="2469"/>
      <c r="G8" s="2469"/>
      <c r="H8" s="799"/>
      <c r="I8" s="799"/>
      <c r="J8" s="799"/>
      <c r="K8" s="799"/>
      <c r="L8" s="799"/>
      <c r="M8" s="799"/>
      <c r="N8" s="799"/>
      <c r="O8" s="799"/>
      <c r="P8" s="799"/>
      <c r="Q8" s="799"/>
      <c r="R8" s="799"/>
    </row>
    <row r="9" spans="1:29" ht="24">
      <c r="A9" s="2436"/>
      <c r="B9" s="323" t="s">
        <v>2265</v>
      </c>
      <c r="C9" s="2462" t="s">
        <v>2266</v>
      </c>
      <c r="D9" s="2459"/>
      <c r="E9" s="2465"/>
      <c r="F9" s="2469"/>
      <c r="G9" s="2469"/>
      <c r="H9" s="799"/>
      <c r="I9" s="799"/>
      <c r="J9" s="799"/>
      <c r="K9" s="799"/>
      <c r="L9" s="799"/>
      <c r="M9" s="799"/>
      <c r="N9" s="799"/>
      <c r="O9" s="799"/>
      <c r="P9" s="799"/>
      <c r="Q9" s="799"/>
      <c r="R9" s="799"/>
    </row>
    <row r="10" spans="1:29" s="2475" customFormat="1" ht="15" thickBot="1">
      <c r="A10" s="2437"/>
      <c r="B10" s="2470" t="s">
        <v>2267</v>
      </c>
      <c r="C10" s="2471"/>
      <c r="D10" s="2459"/>
      <c r="E10" s="2459"/>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2285</v>
      </c>
      <c r="B13" s="2478"/>
      <c r="C13" s="2478"/>
      <c r="D13" s="2476"/>
      <c r="E13" s="2478"/>
      <c r="F13" s="2478"/>
      <c r="G13" s="2478"/>
    </row>
    <row r="14" spans="1:29" ht="15" thickBot="1">
      <c r="A14" s="2488"/>
      <c r="B14" s="2488"/>
      <c r="C14" s="2489" t="s">
        <v>2268</v>
      </c>
      <c r="D14" s="2459"/>
      <c r="E14" s="2490"/>
      <c r="F14" s="2490"/>
      <c r="G14" s="2454" t="s">
        <v>2269</v>
      </c>
    </row>
    <row r="15" spans="1:29" ht="51">
      <c r="A15" s="2438" t="s">
        <v>2270</v>
      </c>
      <c r="B15" s="2491" t="s">
        <v>2250</v>
      </c>
      <c r="C15" s="2492" t="str">
        <f>C3</f>
        <v>估价对象周边居住用地比例、居住小区规模和社区发展完善程度，综合评价居住社区成熟度一般</v>
      </c>
      <c r="D15" s="2459"/>
      <c r="E15" s="2439" t="s">
        <v>2271</v>
      </c>
      <c r="F15" s="2491" t="s">
        <v>2272</v>
      </c>
      <c r="G15" s="2493" t="str">
        <f>G3</f>
        <v>估价对象位于XX开发区，园区建设成熟度XX，产业集聚程度XX</v>
      </c>
    </row>
    <row r="16" spans="1:29" ht="38.25">
      <c r="A16" s="2440"/>
      <c r="B16" s="2494" t="s">
        <v>2252</v>
      </c>
      <c r="C16" s="2495" t="str">
        <f>C4</f>
        <v>估价对象位于XX商圈，周边商业氛围成熟，人流量大，商业繁华度好</v>
      </c>
      <c r="D16" s="2459"/>
      <c r="E16" s="2441"/>
      <c r="F16" s="2496" t="s">
        <v>2254</v>
      </c>
      <c r="G16" s="2497" t="str">
        <f>G4</f>
        <v>估价对象周边道路状况、公共交通通达情况、停车便捷程度，综合评价交通便捷度较好</v>
      </c>
    </row>
    <row r="17" spans="1:18" ht="38.25">
      <c r="A17" s="2440"/>
      <c r="B17" s="2494" t="s">
        <v>2256</v>
      </c>
      <c r="C17" s="2495" t="str">
        <f>C5</f>
        <v>估价对象位于XX商圈，周边办公楼项目较多，入驻率高，办公集聚程度较好</v>
      </c>
      <c r="D17" s="2465"/>
      <c r="E17" s="2441"/>
      <c r="F17" s="2496" t="s">
        <v>2273</v>
      </c>
      <c r="G17" s="2498"/>
    </row>
    <row r="18" spans="1:18" ht="38.25">
      <c r="A18" s="2440"/>
      <c r="B18" s="2496" t="s">
        <v>2260</v>
      </c>
      <c r="C18" s="2497" t="str">
        <f>C6</f>
        <v>估价对象周边道路状况、公共交通通达情况、停车便捷程度，综合评价交通便捷度较好</v>
      </c>
      <c r="D18" s="2465"/>
      <c r="E18" s="2441"/>
      <c r="F18" s="2496" t="s">
        <v>2263</v>
      </c>
      <c r="G18" s="2497" t="str">
        <f>G7</f>
        <v>该园区内是否有污染型企业，绿化情况，卫生条件，整体环境状况判断</v>
      </c>
    </row>
    <row r="19" spans="1:18" ht="25.5">
      <c r="A19" s="2440"/>
      <c r="B19" s="2496" t="s">
        <v>2274</v>
      </c>
      <c r="C19" s="2498"/>
      <c r="D19" s="2459"/>
      <c r="E19" s="2441"/>
      <c r="F19" s="323" t="s">
        <v>2258</v>
      </c>
      <c r="G19" s="2497" t="str">
        <f>G5</f>
        <v>估价对象所在区域公共配套设施齐备情况</v>
      </c>
    </row>
    <row r="20" spans="1:18" ht="25.5">
      <c r="A20" s="2440"/>
      <c r="B20" s="2496" t="s">
        <v>2275</v>
      </c>
      <c r="C20" s="2495" t="str">
        <f>C9</f>
        <v>区域自然环境：；人文环境；综合评价环境状况一般</v>
      </c>
      <c r="D20" s="2465"/>
      <c r="E20" s="2441"/>
      <c r="F20" s="323" t="s">
        <v>2261</v>
      </c>
      <c r="G20" s="2497" t="str">
        <f>G6</f>
        <v>估价对象所在区域基础设施水平</v>
      </c>
    </row>
    <row r="21" spans="1:18" ht="25.5">
      <c r="A21" s="2440"/>
      <c r="B21" s="323" t="s">
        <v>2258</v>
      </c>
      <c r="C21" s="2497" t="str">
        <f>C7</f>
        <v>估价对象所在区域公共配套设施齐备情况</v>
      </c>
      <c r="D21" s="2459"/>
      <c r="E21" s="2441"/>
      <c r="F21" s="2496" t="s">
        <v>2276</v>
      </c>
      <c r="G21" s="2499"/>
    </row>
    <row r="22" spans="1:18" ht="13.5" customHeight="1">
      <c r="A22" s="2440"/>
      <c r="B22" s="323" t="s">
        <v>2261</v>
      </c>
      <c r="C22" s="2497" t="str">
        <f>C8</f>
        <v>估价对象所在区域基础设施水平</v>
      </c>
      <c r="D22" s="2459"/>
      <c r="E22" s="2441"/>
      <c r="F22" s="2496" t="s">
        <v>2267</v>
      </c>
      <c r="G22" s="2498"/>
    </row>
    <row r="23" spans="1:18" s="799" customFormat="1" ht="15" thickBot="1">
      <c r="A23" s="2440"/>
      <c r="B23" s="2496" t="s">
        <v>2276</v>
      </c>
      <c r="C23" s="2499"/>
      <c r="D23" s="1740"/>
      <c r="E23" s="2442"/>
      <c r="F23" s="2500" t="s">
        <v>2277</v>
      </c>
      <c r="G23" s="2501"/>
      <c r="H23" s="2485"/>
      <c r="I23" s="2486"/>
      <c r="J23" s="2485"/>
      <c r="K23" s="2485"/>
      <c r="L23" s="2486"/>
      <c r="M23" s="2485"/>
      <c r="N23" s="2485"/>
      <c r="O23" s="2486"/>
      <c r="P23" s="2485"/>
      <c r="Q23" s="2485"/>
      <c r="R23" s="2487"/>
    </row>
    <row r="24" spans="1:18" s="799" customFormat="1" ht="15" thickBot="1">
      <c r="A24" s="2443"/>
      <c r="B24" s="2500" t="s">
        <v>2278</v>
      </c>
      <c r="C24" s="2502">
        <f>C10</f>
        <v>0</v>
      </c>
      <c r="D24" s="1740"/>
      <c r="E24" s="2433"/>
      <c r="F24" s="2433"/>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5" sqref="B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92431.45</v>
      </c>
      <c r="C1" s="2680"/>
      <c r="D1" s="2680"/>
      <c r="E1" s="2680"/>
      <c r="F1" s="2680"/>
      <c r="G1" s="2681"/>
      <c r="H1" s="2682"/>
      <c r="I1" s="2682"/>
      <c r="J1" s="2682"/>
      <c r="K1" s="2682"/>
    </row>
    <row r="2" spans="1:11" ht="16.5">
      <c r="A2" s="2506" t="s">
        <v>653</v>
      </c>
      <c r="B2" s="2506">
        <f>SUM(C14:C23)</f>
        <v>25389.65</v>
      </c>
      <c r="C2" s="2680"/>
      <c r="D2" s="2680"/>
      <c r="E2" s="2680"/>
      <c r="F2" s="2680"/>
      <c r="G2" s="2681"/>
      <c r="H2" s="2682"/>
      <c r="I2" s="2682"/>
      <c r="J2" s="2682"/>
      <c r="K2" s="2682"/>
    </row>
    <row r="3" spans="1:11" ht="16.5">
      <c r="A3" s="2506" t="s">
        <v>662</v>
      </c>
      <c r="B3" s="2508">
        <f>项目基本情况!D3</f>
        <v>45035</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102563</v>
      </c>
      <c r="C5" s="2506">
        <f ca="1">IF(B5=D14,结果表!H102,ROUND(B5*10000/$B$1,0))</f>
        <v>11096</v>
      </c>
      <c r="D5" s="2506">
        <f ca="1">ROUND(B5*10000/$B$2,0)</f>
        <v>40396</v>
      </c>
      <c r="E5" s="2680"/>
      <c r="F5" s="2681"/>
      <c r="G5" s="2681"/>
      <c r="H5" s="2682"/>
      <c r="I5" s="2682"/>
      <c r="J5" s="2682"/>
      <c r="K5" s="2682"/>
    </row>
    <row r="6" spans="1:11" ht="16.5">
      <c r="A6" s="2506" t="s">
        <v>656</v>
      </c>
      <c r="B6" s="2506">
        <f ca="1">SUM(G14:G23)</f>
        <v>102563</v>
      </c>
      <c r="C6" s="2506">
        <f ca="1">IF(B6=G14,结果表!H108,ROUND(B6*10000/$B$1,0))</f>
        <v>11096</v>
      </c>
      <c r="D6" s="2506">
        <f ca="1">ROUND(B6*10000/$B$2,0)</f>
        <v>40396</v>
      </c>
      <c r="E6" s="2680"/>
      <c r="F6" s="2681"/>
      <c r="G6" s="2681"/>
      <c r="H6" s="2682"/>
      <c r="I6" s="2682"/>
      <c r="J6" s="2682"/>
      <c r="K6" s="2682"/>
    </row>
    <row r="7" spans="1:11" ht="16.5">
      <c r="A7" s="2506" t="s">
        <v>664</v>
      </c>
      <c r="B7" s="2506">
        <f>SUM(H14:H23)</f>
        <v>0</v>
      </c>
      <c r="C7" s="2506" t="str">
        <f>IF(B7=H14,结果表!H110,ROUND(B7*10000/$B$1,0))</f>
        <v>——</v>
      </c>
      <c r="D7" s="2506">
        <f>ROUND(B7*10000/$B$2,0)</f>
        <v>0</v>
      </c>
      <c r="E7" s="2680"/>
      <c r="F7" s="2681"/>
      <c r="G7" s="2681"/>
      <c r="H7" s="2682"/>
      <c r="I7" s="2682"/>
      <c r="J7" s="2682"/>
      <c r="K7" s="2682"/>
    </row>
    <row r="8" spans="1:11" ht="16.5">
      <c r="A8" s="2506" t="s">
        <v>587</v>
      </c>
      <c r="B8" s="2506">
        <f>SUM(I14:I23)</f>
        <v>0</v>
      </c>
      <c r="C8" s="2506" t="str">
        <f>IF(B8=I14,结果表!H112,ROUND(B8*10000/$B$1,0))</f>
        <v>——</v>
      </c>
      <c r="D8" s="2506">
        <f>ROUND(B8*10000/$B$2,0)</f>
        <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3360</v>
      </c>
      <c r="D10" s="2506" t="s">
        <v>3361</v>
      </c>
      <c r="E10" s="3435"/>
      <c r="F10" s="3439" t="s">
        <v>3362</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57457.869999999995</v>
      </c>
      <c r="C14" s="2512">
        <f>结果表!C118</f>
        <v>15906.02</v>
      </c>
      <c r="D14" s="2512">
        <f ca="1">结果表!H118</f>
        <v>84893</v>
      </c>
      <c r="E14" s="2512">
        <f ca="1">ROUND(D14*10000/B14,0)</f>
        <v>14775</v>
      </c>
      <c r="F14" s="2512">
        <f ca="1">ROUND(D14*10000/C14,0)</f>
        <v>53372</v>
      </c>
      <c r="G14" s="2512">
        <f ca="1">结果表!D122</f>
        <v>84893</v>
      </c>
      <c r="H14" s="2512"/>
      <c r="I14" s="2512"/>
      <c r="J14" s="2681"/>
      <c r="K14" s="2682"/>
    </row>
    <row r="15" spans="1:11" ht="16.5">
      <c r="A15" s="2511" t="s">
        <v>649</v>
      </c>
      <c r="B15" s="2513">
        <f>[2]系统读取表!$B$14</f>
        <v>34973.58</v>
      </c>
      <c r="C15" s="2513">
        <f>[2]系统读取表!$C$14</f>
        <v>9483.6299999999992</v>
      </c>
      <c r="D15" s="2513">
        <f ca="1">[2]系统读取表!$D$14</f>
        <v>17670</v>
      </c>
      <c r="E15" s="2512">
        <f t="shared" ref="E15:E23" ca="1" si="0">ROUND(D15*10000/B15,0)</f>
        <v>5052</v>
      </c>
      <c r="F15" s="2512">
        <f t="shared" ref="F15:F23" ca="1" si="1">ROUND(D15*10000/C15,0)</f>
        <v>18632</v>
      </c>
      <c r="G15" s="1330">
        <f ca="1">[2]系统读取表!$G$14</f>
        <v>17670</v>
      </c>
      <c r="H15" s="1330"/>
      <c r="I15" s="2513"/>
      <c r="J15" s="2681"/>
      <c r="K15" s="2682"/>
    </row>
    <row r="16" spans="1:11" ht="16.5">
      <c r="A16" s="2511" t="s">
        <v>648</v>
      </c>
      <c r="B16" s="2513"/>
      <c r="C16" s="2513"/>
      <c r="D16" s="2513"/>
      <c r="E16" s="2512" t="e">
        <f t="shared" si="0"/>
        <v>#DIV/0!</v>
      </c>
      <c r="F16" s="2512" t="e">
        <f t="shared" si="1"/>
        <v>#DIV/0!</v>
      </c>
      <c r="G16" s="1330"/>
      <c r="H16" s="1330"/>
      <c r="I16" s="2513"/>
      <c r="J16" s="2682"/>
      <c r="K16" s="2682"/>
    </row>
    <row r="17" spans="1:11" ht="16.5">
      <c r="A17" s="2511" t="s">
        <v>647</v>
      </c>
      <c r="B17" s="2513"/>
      <c r="C17" s="2513"/>
      <c r="D17" s="2513"/>
      <c r="E17" s="2512" t="e">
        <f t="shared" si="0"/>
        <v>#DIV/0!</v>
      </c>
      <c r="F17" s="2512" t="e">
        <f t="shared" si="1"/>
        <v>#DIV/0!</v>
      </c>
      <c r="G17" s="1330"/>
      <c r="H17" s="1330"/>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6" t="str">
        <f>项目基本情况!B1</f>
        <v>北京市通州区马驹桥镇国家环保产业园区YZ00-073-6004、6006地块R2二类居住用地房地产抵押价值预评估</v>
      </c>
      <c r="C37" s="3476"/>
      <c r="D37" s="3476"/>
      <c r="E37" s="3476"/>
      <c r="F37" s="3476"/>
      <c r="G37" s="3476"/>
      <c r="H37" s="3476"/>
      <c r="I37" s="3476"/>
    </row>
    <row r="38" spans="1:9">
      <c r="A38" s="844"/>
      <c r="B38" s="844"/>
    </row>
    <row r="39" spans="1:9">
      <c r="A39" s="842" t="s">
        <v>371</v>
      </c>
      <c r="B39" s="842" t="s">
        <v>373</v>
      </c>
    </row>
    <row r="40" spans="1:9">
      <c r="A40" s="842"/>
      <c r="B40" s="1473" t="str">
        <f>项目基本情况!B5</f>
        <v>北京融泰房地产开发有限公司</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E103" zoomScaleNormal="100" zoomScaleSheetLayoutView="100" zoomScalePageLayoutView="80" workbookViewId="0">
      <selection activeCell="D118" sqref="D118:I118"/>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1261</v>
      </c>
      <c r="B1" s="1746"/>
      <c r="C1" s="1747"/>
      <c r="D1" s="1746"/>
      <c r="E1" s="1746"/>
      <c r="F1" s="1748" t="s">
        <v>1262</v>
      </c>
      <c r="G1" s="1560"/>
      <c r="H1" s="1749" t="str">
        <f>IF(G1="现房","——","估价对象范围")</f>
        <v>估价对象范围</v>
      </c>
      <c r="I1" s="1750"/>
    </row>
    <row r="2" spans="1:12" ht="21.75" customHeight="1" thickBot="1">
      <c r="A2" s="3650" t="str">
        <f>项目基本情况!S2</f>
        <v>北京市通州区马驹桥镇国家环保产业园区YZ00-073-6004、6006地块R2二类居住用地房地产</v>
      </c>
      <c r="B2" s="3651"/>
      <c r="C2" s="3651"/>
      <c r="D2" s="3651"/>
      <c r="E2" s="3651"/>
      <c r="F2" s="3651"/>
      <c r="G2" s="3651"/>
      <c r="H2" s="3651"/>
      <c r="I2" s="3652"/>
    </row>
    <row r="3" spans="1:12" ht="12.75">
      <c r="A3" s="3654" t="s">
        <v>1263</v>
      </c>
      <c r="B3" s="3655"/>
      <c r="C3" s="3655"/>
      <c r="D3" s="3655"/>
      <c r="E3" s="3655"/>
      <c r="F3" s="3655"/>
      <c r="G3" s="3655"/>
      <c r="H3" s="3655"/>
      <c r="I3" s="3655"/>
    </row>
    <row r="4" spans="1:12" ht="14.25">
      <c r="A4" s="1753" t="s">
        <v>1264</v>
      </c>
      <c r="B4" s="1754" t="s">
        <v>1265</v>
      </c>
      <c r="C4" s="1755" t="s">
        <v>3446</v>
      </c>
      <c r="D4" s="1755" t="s">
        <v>3447</v>
      </c>
      <c r="E4" s="3659" t="s">
        <v>1266</v>
      </c>
      <c r="F4" s="3660"/>
      <c r="G4" s="3660"/>
      <c r="H4" s="3660"/>
      <c r="I4" s="366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98" t="s">
        <v>1267</v>
      </c>
      <c r="B5" s="3653">
        <v>25</v>
      </c>
      <c r="C5" s="3656"/>
      <c r="D5" s="3644"/>
      <c r="E5" s="131" t="s">
        <v>1268</v>
      </c>
      <c r="F5" s="1756"/>
      <c r="G5" s="1756"/>
      <c r="H5" s="1756"/>
      <c r="I5" s="1372"/>
    </row>
    <row r="6" spans="1:12" ht="12.75">
      <c r="A6" s="3598"/>
      <c r="B6" s="3653"/>
      <c r="C6" s="3658"/>
      <c r="D6" s="3644"/>
      <c r="E6" s="131" t="s">
        <v>1269</v>
      </c>
      <c r="F6" s="1756"/>
      <c r="G6" s="1756"/>
      <c r="H6" s="1756"/>
      <c r="I6" s="1372"/>
    </row>
    <row r="7" spans="1:12" ht="12.75">
      <c r="A7" s="3598"/>
      <c r="B7" s="3653"/>
      <c r="C7" s="3657"/>
      <c r="D7" s="3644"/>
      <c r="E7" s="131" t="s">
        <v>1270</v>
      </c>
      <c r="F7" s="1756"/>
      <c r="G7" s="1756"/>
      <c r="H7" s="1756"/>
      <c r="I7" s="1372"/>
    </row>
    <row r="8" spans="1:12" ht="12.75">
      <c r="A8" s="3598" t="s">
        <v>1271</v>
      </c>
      <c r="B8" s="3653">
        <v>15</v>
      </c>
      <c r="C8" s="3656"/>
      <c r="D8" s="3644"/>
      <c r="E8" s="131" t="s">
        <v>1272</v>
      </c>
      <c r="F8" s="1756"/>
      <c r="G8" s="1756"/>
      <c r="H8" s="1756"/>
      <c r="I8" s="1372"/>
    </row>
    <row r="9" spans="1:12" ht="12.75">
      <c r="A9" s="3598"/>
      <c r="B9" s="3653"/>
      <c r="C9" s="3657"/>
      <c r="D9" s="3644"/>
      <c r="E9" s="131" t="s">
        <v>1273</v>
      </c>
      <c r="F9" s="1756"/>
      <c r="G9" s="1756"/>
      <c r="H9" s="1756"/>
      <c r="I9" s="1372"/>
    </row>
    <row r="10" spans="1:12" ht="12.75">
      <c r="A10" s="3598" t="s">
        <v>1274</v>
      </c>
      <c r="B10" s="3653">
        <v>15</v>
      </c>
      <c r="C10" s="3656"/>
      <c r="D10" s="3644"/>
      <c r="E10" s="131" t="s">
        <v>1275</v>
      </c>
      <c r="F10" s="1756"/>
      <c r="G10" s="1756"/>
      <c r="H10" s="1756"/>
      <c r="I10" s="1372"/>
    </row>
    <row r="11" spans="1:12" ht="12.75">
      <c r="A11" s="3598"/>
      <c r="B11" s="3653"/>
      <c r="C11" s="3657"/>
      <c r="D11" s="3644"/>
      <c r="E11" s="131" t="s">
        <v>1276</v>
      </c>
      <c r="F11" s="1756"/>
      <c r="G11" s="1756"/>
      <c r="H11" s="1756"/>
      <c r="I11" s="1372"/>
    </row>
    <row r="12" spans="1:12" ht="12.75">
      <c r="A12" s="3598" t="s">
        <v>1277</v>
      </c>
      <c r="B12" s="3653">
        <v>15</v>
      </c>
      <c r="C12" s="3656"/>
      <c r="D12" s="3644"/>
      <c r="E12" s="131" t="s">
        <v>1278</v>
      </c>
      <c r="F12" s="1756"/>
      <c r="G12" s="1756"/>
      <c r="H12" s="1756"/>
      <c r="I12" s="1372"/>
    </row>
    <row r="13" spans="1:12" ht="12.75">
      <c r="A13" s="3598"/>
      <c r="B13" s="3653"/>
      <c r="C13" s="3657"/>
      <c r="D13" s="3644"/>
      <c r="E13" s="131" t="s">
        <v>1279</v>
      </c>
      <c r="F13" s="1756"/>
      <c r="G13" s="1756"/>
      <c r="H13" s="1756"/>
      <c r="I13" s="1372"/>
    </row>
    <row r="14" spans="1:12" ht="12.75">
      <c r="A14" s="3598" t="s">
        <v>1280</v>
      </c>
      <c r="B14" s="3653">
        <v>30</v>
      </c>
      <c r="C14" s="3656">
        <v>5</v>
      </c>
      <c r="D14" s="3644">
        <v>5</v>
      </c>
      <c r="E14" s="131" t="s">
        <v>1281</v>
      </c>
      <c r="F14" s="1756"/>
      <c r="G14" s="1756"/>
      <c r="H14" s="1756"/>
      <c r="I14" s="1372"/>
    </row>
    <row r="15" spans="1:12" ht="12.75">
      <c r="A15" s="3598"/>
      <c r="B15" s="3653"/>
      <c r="C15" s="3658"/>
      <c r="D15" s="3644"/>
      <c r="E15" s="131" t="s">
        <v>1282</v>
      </c>
      <c r="F15" s="1756"/>
      <c r="G15" s="1756"/>
      <c r="H15" s="1756"/>
      <c r="I15" s="1372"/>
    </row>
    <row r="16" spans="1:12" ht="12.75">
      <c r="A16" s="3598"/>
      <c r="B16" s="3653"/>
      <c r="C16" s="3657"/>
      <c r="D16" s="3644"/>
      <c r="E16" s="131" t="s">
        <v>1283</v>
      </c>
      <c r="F16" s="1756"/>
      <c r="G16" s="1756"/>
      <c r="H16" s="1756"/>
      <c r="I16" s="1372"/>
    </row>
    <row r="17" spans="1:36" ht="15">
      <c r="A17" s="1757" t="s">
        <v>1284</v>
      </c>
      <c r="B17" s="56"/>
      <c r="C17" s="132">
        <f>SUM(C5:C16)</f>
        <v>5</v>
      </c>
      <c r="D17" s="132">
        <f>SUM(D5:D16)</f>
        <v>5</v>
      </c>
      <c r="E17" s="129"/>
      <c r="F17" s="129"/>
      <c r="G17" s="129"/>
      <c r="H17" s="129"/>
      <c r="I17" s="129"/>
      <c r="K17" s="302"/>
      <c r="L17" s="302" t="s">
        <v>1285</v>
      </c>
      <c r="M17" s="302" t="s">
        <v>1286</v>
      </c>
    </row>
    <row r="18" spans="1:36" ht="31.9" customHeight="1" thickBot="1">
      <c r="A18" s="1758" t="s">
        <v>1287</v>
      </c>
      <c r="B18" s="1759"/>
      <c r="C18" s="133">
        <f>ROUND(C17/SUM(C17:D17),2)</f>
        <v>0.5</v>
      </c>
      <c r="D18" s="133">
        <f>1-C18</f>
        <v>0.5</v>
      </c>
      <c r="E18" s="3675" t="s">
        <v>2129</v>
      </c>
      <c r="F18" s="3676"/>
      <c r="G18" s="3676"/>
      <c r="H18" s="3676"/>
      <c r="I18" s="3676"/>
      <c r="K18" s="302" t="s">
        <v>1288</v>
      </c>
      <c r="L18" s="302">
        <f>IF(C1="",'数据-汇总表'!E3,SUMIF(项目类型,C1,'数据-汇总表'!E17:E26)+SUMIF(项目类型,C1,'数据-汇总表'!I17:I26))</f>
        <v>57457.869999999995</v>
      </c>
      <c r="M18" s="302">
        <f>IF(C1="",'数据-汇总表'!E3,SUMIF(项目类型,C1,'数据-汇总表'!E17:E26))</f>
        <v>57457.869999999995</v>
      </c>
    </row>
    <row r="19" spans="1:36" ht="15">
      <c r="A19" s="1760" t="s">
        <v>1289</v>
      </c>
      <c r="B19" s="1761" t="s">
        <v>1290</v>
      </c>
      <c r="C19" s="134">
        <f ca="1">SUMIF(INDIRECT("'"&amp;C4&amp;"'"&amp;"!A:A"),结果表!B19,INDIRECT("'"&amp;C4&amp;"'"&amp;"!B:B"))</f>
        <v>92594</v>
      </c>
      <c r="D19" s="135">
        <f ca="1">SUMIF(INDIRECT("'"&amp;D4&amp;"'"&amp;"!A:A"),结果表!B19,INDIRECT("'"&amp;D4&amp;"'"&amp;"!B:B"))</f>
        <v>77191</v>
      </c>
      <c r="E19" s="1760" t="s">
        <v>1291</v>
      </c>
      <c r="F19" s="1761" t="s">
        <v>1290</v>
      </c>
      <c r="G19" s="136">
        <f ca="1">ROUND(C19*$C$18+D19*$D$18,0)</f>
        <v>84893</v>
      </c>
      <c r="H19" s="1762" t="s">
        <v>1292</v>
      </c>
      <c r="I19" s="129"/>
      <c r="K19" s="302" t="s">
        <v>1293</v>
      </c>
      <c r="L19" s="302">
        <f>IF(C1="",'数据-汇总表'!D3,SUMIF(项目类型,C1,'数据-汇总表'!D17:D26)+SUMIF(项目类型,C1,'数据-汇总表'!H17:H27))</f>
        <v>15906.02</v>
      </c>
      <c r="M19" s="302">
        <f>IF(C1="",'数据-汇总表'!D3,SUMIF(项目类型,C1,'数据-汇总表'!D17:D26))</f>
        <v>15906.02</v>
      </c>
    </row>
    <row r="20" spans="1:36" ht="15">
      <c r="A20" s="1763"/>
      <c r="B20" s="1026" t="s">
        <v>1294</v>
      </c>
      <c r="C20" s="137">
        <f ca="1">SUMIF(INDIRECT("'"&amp;C4&amp;"'"&amp;"!A:A"),结果表!B20,INDIRECT("'"&amp;C4&amp;"'"&amp;"!B:B"))</f>
        <v>16115</v>
      </c>
      <c r="D20" s="138">
        <f ca="1">SUMIF(INDIRECT("'"&amp;D4&amp;"'"&amp;"!A:A"),结果表!B20,INDIRECT("'"&amp;D4&amp;"'"&amp;"!B:B"))</f>
        <v>13434</v>
      </c>
      <c r="E20" s="1763"/>
      <c r="F20" s="1026" t="s">
        <v>1294</v>
      </c>
      <c r="G20" s="139">
        <f ca="1">ROUND(C20*$C$18+D20*$D$18,0)</f>
        <v>14775</v>
      </c>
      <c r="H20" s="808" t="s">
        <v>1295</v>
      </c>
      <c r="I20" s="129"/>
    </row>
    <row r="21" spans="1:36" ht="15" customHeight="1" thickBot="1">
      <c r="A21" s="828"/>
      <c r="B21" s="1764" t="s">
        <v>1296</v>
      </c>
      <c r="C21" s="719">
        <f ca="1">ROUND(C19*10000/L19,0)</f>
        <v>58213</v>
      </c>
      <c r="D21" s="720">
        <f ca="1">ROUND(D19*10000/L19,0)</f>
        <v>48529</v>
      </c>
      <c r="E21" s="828"/>
      <c r="F21" s="1764" t="s">
        <v>1296</v>
      </c>
      <c r="G21" s="140">
        <f ca="1">ROUND(G19*10000/L19,0)</f>
        <v>53372</v>
      </c>
      <c r="H21" s="1765" t="s">
        <v>1295</v>
      </c>
      <c r="I21" s="129"/>
    </row>
    <row r="22" spans="1:36" ht="15" thickBot="1">
      <c r="A22" s="1687" t="s">
        <v>1297</v>
      </c>
      <c r="B22" s="1766"/>
      <c r="C22" s="1767"/>
      <c r="D22" s="721">
        <f ca="1">IF(C19&lt;D19,D19/C19-1,C19/D19-1)</f>
        <v>0.19954398828879016</v>
      </c>
      <c r="E22" s="129"/>
      <c r="F22" s="129"/>
      <c r="G22" s="129"/>
      <c r="H22" s="129"/>
      <c r="I22" s="129"/>
    </row>
    <row r="23" spans="1:36" ht="13.5" thickBot="1">
      <c r="A23" s="1746"/>
      <c r="B23" s="1746"/>
      <c r="C23" s="1746"/>
      <c r="D23" s="1746"/>
      <c r="E23" s="129"/>
      <c r="F23" s="129"/>
      <c r="G23" s="129"/>
      <c r="H23" s="129"/>
      <c r="I23" s="129"/>
    </row>
    <row r="24" spans="1:36" ht="14.25">
      <c r="A24" s="3668" t="s">
        <v>1298</v>
      </c>
      <c r="B24" s="1761" t="s">
        <v>1290</v>
      </c>
      <c r="C24" s="136">
        <f>IF(B30=0,0,D30)</f>
        <v>0</v>
      </c>
      <c r="D24" s="1768"/>
      <c r="E24" s="129"/>
      <c r="F24" s="129"/>
      <c r="G24" s="129"/>
      <c r="H24" s="129"/>
      <c r="I24" s="129"/>
    </row>
    <row r="25" spans="1:36" ht="14.25">
      <c r="A25" s="3669"/>
      <c r="B25" s="1026"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3"/>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1304</v>
      </c>
      <c r="B32" s="1773"/>
      <c r="C32" s="144">
        <f ca="1">IF(D32="总价",G19-C24,G20-C25)</f>
        <v>84893</v>
      </c>
      <c r="D32" s="1774" t="s">
        <v>3470</v>
      </c>
      <c r="E32" s="129"/>
      <c r="F32" s="129"/>
      <c r="G32" s="129"/>
      <c r="H32" s="129"/>
      <c r="I32" s="129"/>
    </row>
    <row r="33" spans="1:15" ht="15">
      <c r="A33" s="786" t="s">
        <v>1305</v>
      </c>
      <c r="B33" s="1775"/>
      <c r="C33" s="1776" t="s">
        <v>3471</v>
      </c>
      <c r="D33" s="1777" t="s">
        <v>3446</v>
      </c>
      <c r="E33" s="1778" t="s">
        <v>1306</v>
      </c>
      <c r="F33" s="1779" t="str">
        <f>IF(D32="楼面单价","取值（单价）","取值（总价）")</f>
        <v>取值（总价）</v>
      </c>
      <c r="G33" s="129"/>
      <c r="H33" s="129"/>
      <c r="I33" s="129"/>
    </row>
    <row r="34" spans="1:15" ht="15">
      <c r="A34" s="1780"/>
      <c r="B34" s="1781" t="s">
        <v>1307</v>
      </c>
      <c r="C34" s="148">
        <f ca="1">IF(C33="自定义",F34,C32-C35)</f>
        <v>51190</v>
      </c>
      <c r="D34" s="861">
        <f ca="1">IF(C33="自定义",ROUND(C34/C32,3),IF(C33="收益比率",SUMIF(INDIRECT("'"&amp;D33&amp;"'"&amp;"!b:b"),"土地收益比率",INDIRECT("'"&amp;D33&amp;"'"&amp;"!c:c")),SUMIF(INDIRECT("'"&amp;D33&amp;"'"&amp;"!b:b"),"土地成本比率",INDIRECT("'"&amp;D33&amp;"'"&amp;"!c:c"))))</f>
        <v>0.60299999999999998</v>
      </c>
      <c r="E34" s="1782" t="s">
        <v>1308</v>
      </c>
      <c r="F34" s="1329"/>
      <c r="G34" s="129"/>
      <c r="H34" s="129"/>
      <c r="I34" s="129"/>
    </row>
    <row r="35" spans="1:15" ht="15.75" thickBot="1">
      <c r="A35" s="1783"/>
      <c r="B35" s="1784" t="s">
        <v>1309</v>
      </c>
      <c r="C35" s="1170">
        <f ca="1">IF(C33="自定义",F35,ROUND(C32*D35,0))</f>
        <v>33703</v>
      </c>
      <c r="D35" s="1171">
        <f ca="1">IF(C33="自定义",ROUND(C35/C32,3),IF(C33="收益比率",SUMIF(INDIRECT("'"&amp;D33&amp;"'"&amp;"!b:b"),"建筑物收益比率",INDIRECT("'"&amp;D33&amp;"'"&amp;"!c:c")),SUMIF(INDIRECT("'"&amp;D33&amp;"'"&amp;"!b:b"),"建筑物成本比率",INDIRECT("'"&amp;D33&amp;"'"&amp;"!c:c"))))</f>
        <v>0.39700000000000002</v>
      </c>
      <c r="E35" s="1785" t="s">
        <v>1310</v>
      </c>
      <c r="F35" s="154"/>
      <c r="G35" s="129"/>
      <c r="H35" s="129"/>
      <c r="I35" s="129"/>
    </row>
    <row r="36" spans="1:15" ht="15.75" thickBot="1">
      <c r="A36" s="3645" t="s">
        <v>1311</v>
      </c>
      <c r="B36" s="1786" t="s">
        <v>1312</v>
      </c>
      <c r="C36" s="145"/>
      <c r="D36" s="1787"/>
      <c r="E36" s="1788"/>
      <c r="F36" s="1789"/>
      <c r="G36" s="129"/>
      <c r="H36" s="129"/>
      <c r="I36" s="129"/>
    </row>
    <row r="37" spans="1:15" ht="15.75" thickBot="1">
      <c r="A37" s="3646"/>
      <c r="B37" s="1673" t="s">
        <v>1313</v>
      </c>
      <c r="C37" s="147"/>
      <c r="D37" s="1139"/>
      <c r="E37" s="1139"/>
      <c r="F37" s="1789"/>
      <c r="G37" s="129"/>
      <c r="H37" s="129"/>
      <c r="I37" s="129"/>
    </row>
    <row r="38" spans="1:15" ht="15.75" thickBot="1">
      <c r="A38" s="3647"/>
      <c r="B38" s="1790" t="s">
        <v>1314</v>
      </c>
      <c r="C38" s="674"/>
      <c r="D38" s="1791" t="s">
        <v>1315</v>
      </c>
      <c r="E38" s="1139"/>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665" t="s">
        <v>1325</v>
      </c>
      <c r="B45" s="3666"/>
      <c r="C45" s="3667"/>
      <c r="D45" s="155">
        <f ca="1">ROUND(H101*F45,0)</f>
        <v>84893</v>
      </c>
      <c r="E45" s="156" t="s">
        <v>1326</v>
      </c>
      <c r="F45" s="157">
        <v>1</v>
      </c>
      <c r="G45" s="158" t="s">
        <v>1327</v>
      </c>
      <c r="H45" s="129"/>
      <c r="I45" s="129"/>
      <c r="J45" s="3585" t="s">
        <v>1328</v>
      </c>
      <c r="K45" s="3585"/>
      <c r="L45" s="3585"/>
      <c r="M45" s="3585"/>
      <c r="N45" s="3585"/>
      <c r="O45" s="3585"/>
    </row>
    <row r="46" spans="1:15" ht="14.25" customHeight="1">
      <c r="A46" s="3662" t="s">
        <v>1329</v>
      </c>
      <c r="B46" s="3663"/>
      <c r="C46" s="3663"/>
      <c r="D46" s="3663"/>
      <c r="E46" s="3663"/>
      <c r="F46" s="3663"/>
      <c r="G46" s="3664"/>
      <c r="H46" s="1805"/>
      <c r="I46" s="159"/>
      <c r="J46" s="2517">
        <v>1</v>
      </c>
      <c r="K46" s="3586" t="s">
        <v>1330</v>
      </c>
      <c r="L46" s="3586"/>
      <c r="M46" s="3587"/>
      <c r="N46" s="3587"/>
      <c r="O46" s="3587"/>
    </row>
    <row r="47" spans="1:15" ht="12" customHeight="1">
      <c r="A47" s="160" t="s">
        <v>1331</v>
      </c>
      <c r="B47" s="161"/>
      <c r="C47" s="162"/>
      <c r="D47" s="1087" t="s">
        <v>1332</v>
      </c>
      <c r="E47" s="302" t="s">
        <v>1333</v>
      </c>
      <c r="F47" s="163" t="s">
        <v>1334</v>
      </c>
      <c r="G47" s="2540" t="s">
        <v>1335</v>
      </c>
      <c r="H47" s="2541"/>
      <c r="I47" s="159"/>
      <c r="J47" s="2517">
        <v>2</v>
      </c>
      <c r="K47" s="3586" t="s">
        <v>1336</v>
      </c>
      <c r="L47" s="3586"/>
      <c r="M47" s="3588">
        <f>'数据-取费表'!B2</f>
        <v>45035</v>
      </c>
      <c r="N47" s="3588"/>
      <c r="O47" s="3588"/>
    </row>
    <row r="48" spans="1:15" ht="25.5">
      <c r="A48" s="3648" t="s">
        <v>1337</v>
      </c>
      <c r="B48" s="3649"/>
      <c r="C48" s="3649"/>
      <c r="D48" s="2320" t="b">
        <f>IF(H48="情况1",0,IF(H48="情况2",D52,IF(H48="情况3",D53,IF(H48="情况4",D54))))</f>
        <v>0</v>
      </c>
      <c r="E48" s="2330" t="str">
        <f>IF(H48="情况4","(销售额-原购置价)×税（费）率","销售额×税（费）率")</f>
        <v>销售额×税（费）率</v>
      </c>
      <c r="F48" s="2542">
        <f>IF(H48="情况1","免征",'数据-取费表'!B41)</f>
        <v>5.5000000000000007E-2</v>
      </c>
      <c r="G48" s="2543" t="s">
        <v>1338</v>
      </c>
      <c r="H48" s="2544"/>
      <c r="I48" s="1805"/>
      <c r="J48" s="2517">
        <v>3</v>
      </c>
      <c r="K48" s="3586" t="s">
        <v>1339</v>
      </c>
      <c r="L48" s="3586"/>
      <c r="M48" s="3589">
        <f ca="1">H101</f>
        <v>84893</v>
      </c>
      <c r="N48" s="3589"/>
      <c r="O48" s="3589"/>
    </row>
    <row r="49" spans="1:35" ht="25.5" customHeight="1">
      <c r="A49" s="2329" t="s">
        <v>1340</v>
      </c>
      <c r="B49" s="3634" t="s">
        <v>1341</v>
      </c>
      <c r="C49" s="3634"/>
      <c r="D49" s="1589">
        <v>0</v>
      </c>
      <c r="E49" s="324" t="s">
        <v>1342</v>
      </c>
      <c r="F49" s="2418" t="s">
        <v>28</v>
      </c>
      <c r="G49" s="3617"/>
      <c r="H49" s="2306" t="s">
        <v>2132</v>
      </c>
      <c r="I49" s="2307"/>
      <c r="J49" s="2517">
        <v>4</v>
      </c>
      <c r="K49" s="3586" t="str">
        <f>IF(项目基本情况!E8="房地产抵押价值","房地产抵押价值","抵押担保权已注销时的房地产抵押价值")</f>
        <v>房地产抵押价值</v>
      </c>
      <c r="L49" s="3586"/>
      <c r="M49" s="3589">
        <f ca="1">IF(项目基本情况!E8="房地产抵押价值",H107,H109)</f>
        <v>84893</v>
      </c>
      <c r="N49" s="3589"/>
      <c r="O49" s="3589"/>
    </row>
    <row r="50" spans="1:35" ht="25.5" customHeight="1">
      <c r="A50" s="2545"/>
      <c r="B50" s="3634" t="s">
        <v>1343</v>
      </c>
      <c r="C50" s="3634"/>
      <c r="D50" s="2546"/>
      <c r="E50" s="332"/>
      <c r="F50" s="2418"/>
      <c r="G50" s="3618"/>
      <c r="H50" s="2308" t="s">
        <v>2133</v>
      </c>
      <c r="I50" s="2307"/>
      <c r="J50" s="3585" t="s">
        <v>1344</v>
      </c>
      <c r="K50" s="3585"/>
      <c r="L50" s="3585"/>
      <c r="M50" s="3585"/>
      <c r="N50" s="3585"/>
      <c r="O50" s="3585"/>
    </row>
    <row r="51" spans="1:35" ht="20.45" customHeight="1">
      <c r="A51" s="2547"/>
      <c r="B51" s="3634" t="s">
        <v>1345</v>
      </c>
      <c r="C51" s="3634"/>
      <c r="D51" s="1087"/>
      <c r="E51" s="327"/>
      <c r="F51" s="2418"/>
      <c r="G51" s="3619"/>
      <c r="H51" s="2308" t="s">
        <v>2134</v>
      </c>
      <c r="I51" s="2307"/>
      <c r="J51" s="2518" t="s">
        <v>1346</v>
      </c>
      <c r="K51" s="3586" t="s">
        <v>1347</v>
      </c>
      <c r="L51" s="3586"/>
      <c r="M51" s="2518" t="s">
        <v>1348</v>
      </c>
      <c r="N51" s="2518" t="s">
        <v>1349</v>
      </c>
      <c r="O51" s="2518" t="s">
        <v>1350</v>
      </c>
    </row>
    <row r="52" spans="1:35" ht="24" customHeight="1">
      <c r="A52" s="2331" t="s">
        <v>1351</v>
      </c>
      <c r="B52" s="3634" t="s">
        <v>1352</v>
      </c>
      <c r="C52" s="3634"/>
      <c r="D52" s="1087">
        <f ca="1">ROUND(D45*'数据-取费表'!B41/(1+'数据-取费表'!C42),0)</f>
        <v>4447</v>
      </c>
      <c r="E52" s="2330" t="s">
        <v>1353</v>
      </c>
      <c r="F52" s="2548">
        <f>'数据-取费表'!B41</f>
        <v>5.5000000000000007E-2</v>
      </c>
      <c r="G52" s="2549"/>
      <c r="H52" s="2538"/>
      <c r="I52" s="1806"/>
      <c r="J52" s="2517">
        <v>1</v>
      </c>
      <c r="K52" s="3611" t="s">
        <v>1354</v>
      </c>
      <c r="L52" s="3611"/>
      <c r="M52" s="2519" t="b">
        <f>D48</f>
        <v>0</v>
      </c>
      <c r="N52" s="2517" t="str">
        <f>E48</f>
        <v>销售额×税（费）率</v>
      </c>
      <c r="O52" s="2520">
        <f>F48</f>
        <v>5.5000000000000007E-2</v>
      </c>
    </row>
    <row r="53" spans="1:35" ht="12" customHeight="1">
      <c r="A53" s="2331" t="s">
        <v>1355</v>
      </c>
      <c r="B53" s="3635" t="s">
        <v>2289</v>
      </c>
      <c r="C53" s="3636"/>
      <c r="D53" s="1087">
        <f ca="1">ROUND(D45*'数据-取费表'!B41/(1+'数据-取费表'!C42),0)</f>
        <v>4447</v>
      </c>
      <c r="E53" s="2330" t="s">
        <v>1353</v>
      </c>
      <c r="F53" s="2548">
        <f>'数据-取费表'!B41</f>
        <v>5.5000000000000007E-2</v>
      </c>
      <c r="G53" s="2549"/>
      <c r="H53" s="2538"/>
      <c r="I53" s="1806"/>
      <c r="J53" s="2517">
        <v>2</v>
      </c>
      <c r="K53" s="3611" t="s">
        <v>1356</v>
      </c>
      <c r="L53" s="3611"/>
      <c r="M53" s="2519">
        <f t="shared" ref="M53:O54" ca="1" si="0">D55</f>
        <v>42</v>
      </c>
      <c r="N53" s="2517" t="str">
        <f t="shared" si="0"/>
        <v>销售额×税（费）率</v>
      </c>
      <c r="O53" s="2520" t="str">
        <f t="shared" si="0"/>
        <v>免征</v>
      </c>
    </row>
    <row r="54" spans="1:35" ht="12" customHeight="1">
      <c r="A54" s="2331" t="s">
        <v>1357</v>
      </c>
      <c r="B54" s="3635" t="s">
        <v>2290</v>
      </c>
      <c r="C54" s="3636"/>
      <c r="D54" s="1087">
        <f ca="1">C68</f>
        <v>4447</v>
      </c>
      <c r="E54" s="327" t="s">
        <v>1358</v>
      </c>
      <c r="F54" s="2548">
        <f>'数据-取费表'!B41</f>
        <v>5.5000000000000007E-2</v>
      </c>
      <c r="G54" s="2549"/>
      <c r="H54" s="2550"/>
      <c r="I54" s="1806"/>
      <c r="J54" s="2517">
        <v>3</v>
      </c>
      <c r="K54" s="3611" t="s">
        <v>1359</v>
      </c>
      <c r="L54" s="3611"/>
      <c r="M54" s="2519">
        <f t="shared" ca="1" si="0"/>
        <v>48126</v>
      </c>
      <c r="N54" s="2517" t="str">
        <f t="shared" si="0"/>
        <v>增值额×税（费）率</v>
      </c>
      <c r="O54" s="2521" t="str">
        <f t="shared" si="0"/>
        <v>免征</v>
      </c>
    </row>
    <row r="55" spans="1:35" ht="24" customHeight="1">
      <c r="A55" s="3671" t="s">
        <v>1360</v>
      </c>
      <c r="B55" s="3649"/>
      <c r="C55" s="3649"/>
      <c r="D55" s="2320">
        <f ca="1">IF(H55="个人住宅",0,ROUND(D45*I55,0))</f>
        <v>42</v>
      </c>
      <c r="E55" s="2330" t="s">
        <v>1361</v>
      </c>
      <c r="F55" s="2548" t="str">
        <f>IF(H55="正常",I55,"免征")</f>
        <v>免征</v>
      </c>
      <c r="G55" s="2549"/>
      <c r="H55" s="2544"/>
      <c r="I55" s="165">
        <f>'数据-取费表'!B49</f>
        <v>5.0000000000000001E-4</v>
      </c>
      <c r="J55" s="2517">
        <f>IF(H59="非个人房产","",4)</f>
        <v>4</v>
      </c>
      <c r="K55" s="3611" t="str">
        <f>IF(H59="非个人房产","——","个人所得税")</f>
        <v>个人所得税</v>
      </c>
      <c r="L55" s="3611"/>
      <c r="M55" s="2522">
        <f ca="1">D59</f>
        <v>809</v>
      </c>
      <c r="N55" s="2036" t="str">
        <f>E59</f>
        <v>差额计税</v>
      </c>
      <c r="O55" s="2523">
        <f>F59</f>
        <v>0.01</v>
      </c>
    </row>
    <row r="56" spans="1:35" ht="24.75">
      <c r="A56" s="3671" t="s">
        <v>1362</v>
      </c>
      <c r="B56" s="3649"/>
      <c r="C56" s="3649"/>
      <c r="D56" s="2320">
        <f ca="1">IF(H56="个人住宅",D57,D58)</f>
        <v>48126</v>
      </c>
      <c r="E56" s="2330" t="s">
        <v>1363</v>
      </c>
      <c r="F56" s="2548" t="str">
        <f>IF(H56="正常",F58,"免征")</f>
        <v>免征</v>
      </c>
      <c r="G56" s="2551" t="s">
        <v>1364</v>
      </c>
      <c r="H56" s="2552"/>
      <c r="I56" s="1807"/>
      <c r="J56" s="2517" t="str">
        <f>IF(项目基本情况!K6="上海银行",IF(J55="",4,J55+1),"")</f>
        <v/>
      </c>
      <c r="K56" s="3592" t="str">
        <f>IF(项目基本情况!K6="上海银行","其他处置费用","")</f>
        <v/>
      </c>
      <c r="L56" s="3593"/>
      <c r="M56" s="2519" t="str">
        <f>IF(项目基本情况!K6="上海银行",M69,"")</f>
        <v/>
      </c>
      <c r="N56" s="3592" t="str">
        <f>IF(项目基本情况!K6="上海银行","包含处置中涉及的律师、诉讼、拍卖、评估等费用","")</f>
        <v/>
      </c>
      <c r="O56" s="3595"/>
    </row>
    <row r="57" spans="1:35" ht="12.75">
      <c r="A57" s="2331" t="s">
        <v>1340</v>
      </c>
      <c r="B57" s="3635" t="s">
        <v>1365</v>
      </c>
      <c r="C57" s="3636"/>
      <c r="D57" s="1589">
        <v>0</v>
      </c>
      <c r="E57" s="324" t="s">
        <v>1342</v>
      </c>
      <c r="F57" s="302"/>
      <c r="G57" s="2549"/>
      <c r="H57" s="2553"/>
      <c r="I57" s="1807"/>
      <c r="J57" s="3611">
        <f>IF(AND(J55="",J56=""),4,IF(项目基本情况!K6="上海银行",结果表!J56+1,结果表!J55+1))</f>
        <v>5</v>
      </c>
      <c r="K57" s="3611" t="s">
        <v>1366</v>
      </c>
      <c r="L57" s="2524" t="s">
        <v>1367</v>
      </c>
      <c r="M57" s="2525"/>
      <c r="N57" s="2526">
        <f ca="1">SUMIF(M52:M56,"&lt;9e307")</f>
        <v>48977</v>
      </c>
      <c r="O57" s="2527"/>
      <c r="P57" s="2684">
        <f ca="1">N57/M49</f>
        <v>0.57692624833614081</v>
      </c>
    </row>
    <row r="58" spans="1:35" ht="24.75">
      <c r="A58" s="2331" t="s">
        <v>1351</v>
      </c>
      <c r="B58" s="3635" t="s">
        <v>1368</v>
      </c>
      <c r="C58" s="3634"/>
      <c r="D58" s="2320">
        <f ca="1">IF(H58="转让取得",C81,C97)</f>
        <v>48126</v>
      </c>
      <c r="E58" s="2330" t="s">
        <v>1363</v>
      </c>
      <c r="F58" s="302" t="s">
        <v>28</v>
      </c>
      <c r="G58" s="2549"/>
      <c r="H58" s="2552"/>
      <c r="I58" s="1807"/>
      <c r="J58" s="3611"/>
      <c r="K58" s="3611"/>
      <c r="L58" s="2524" t="s">
        <v>1369</v>
      </c>
      <c r="M58" s="2528"/>
      <c r="N58" s="2529" t="str">
        <f ca="1">NUMBERSTRING(INT(N57*10000),2)&amp;"元整"</f>
        <v>肆亿捌仟玖佰柒拾柒万元整</v>
      </c>
      <c r="O58" s="2530"/>
    </row>
    <row r="59" spans="1:35" ht="24.75" thickBot="1">
      <c r="A59" s="3615" t="s">
        <v>1370</v>
      </c>
      <c r="B59" s="3616"/>
      <c r="C59" s="3616"/>
      <c r="D59" s="2554">
        <f ca="1">IF(H59="非个人房产","——",IF(H59="个人住宅（满五唯一有凭证）",0,IF(H59="个人其他（无凭证）",ROUND(D45*F59,0),ROUND(C67*F59,0))))</f>
        <v>809</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1364</v>
      </c>
      <c r="H59" s="2310"/>
      <c r="I59" s="2309" t="s">
        <v>2135</v>
      </c>
      <c r="J59" s="3613">
        <f>J57+1</f>
        <v>6</v>
      </c>
      <c r="K59" s="3611" t="s">
        <v>1371</v>
      </c>
      <c r="L59" s="2517" t="s">
        <v>1367</v>
      </c>
      <c r="M59" s="2531"/>
      <c r="N59" s="2532">
        <f ca="1">M49-N57</f>
        <v>35916</v>
      </c>
      <c r="O59" s="2533"/>
    </row>
    <row r="60" spans="1:35" ht="12" customHeight="1">
      <c r="A60" s="1808"/>
      <c r="B60" s="1746"/>
      <c r="C60" s="1746"/>
      <c r="D60" s="1746"/>
      <c r="E60" s="1577"/>
      <c r="F60" s="1807"/>
      <c r="G60" s="1807"/>
      <c r="H60" s="1809"/>
      <c r="I60" s="129"/>
      <c r="J60" s="3614"/>
      <c r="K60" s="3611"/>
      <c r="L60" s="2524" t="s">
        <v>1369</v>
      </c>
      <c r="M60" s="2528"/>
      <c r="N60" s="2529" t="str">
        <f ca="1">NUMBERSTRING(INT(N59*10000),2)&amp;"元整"</f>
        <v>叁亿伍仟玖佰壹拾陆万元整</v>
      </c>
      <c r="O60" s="2530"/>
    </row>
    <row r="61" spans="1:35" ht="13.5" thickBot="1">
      <c r="A61" s="3670" t="s">
        <v>1372</v>
      </c>
      <c r="B61" s="3670"/>
      <c r="C61" s="3670"/>
      <c r="D61" s="3670"/>
      <c r="E61" s="3670"/>
      <c r="F61" s="1807"/>
      <c r="G61" s="1807"/>
      <c r="H61" s="1809"/>
      <c r="I61" s="129"/>
      <c r="J61" s="2517">
        <f>J59+1</f>
        <v>7</v>
      </c>
      <c r="K61" s="3611" t="s">
        <v>1373</v>
      </c>
      <c r="L61" s="3611"/>
      <c r="M61" s="2534"/>
      <c r="N61" s="2535">
        <f ca="1">ROUND(N59*10000/'数据-汇总表'!E3,0)</f>
        <v>6251</v>
      </c>
      <c r="O61" s="2536"/>
    </row>
    <row r="62" spans="1:35" ht="12.75">
      <c r="A62" s="3630" t="s">
        <v>1374</v>
      </c>
      <c r="B62" s="3631"/>
      <c r="C62" s="2017"/>
      <c r="D62" s="2017" t="s">
        <v>1375</v>
      </c>
      <c r="E62" s="166" t="s">
        <v>1376</v>
      </c>
      <c r="F62" s="1807"/>
      <c r="G62" s="1807"/>
      <c r="H62" s="1809"/>
      <c r="I62" s="129"/>
    </row>
    <row r="63" spans="1:35" ht="12.75">
      <c r="A63" s="173" t="s">
        <v>330</v>
      </c>
      <c r="B63" s="167" t="s">
        <v>1377</v>
      </c>
      <c r="C63" s="2558">
        <f ca="1">ROUND((C64+C65)/(1+'数据-取费表'!C42),0)</f>
        <v>80850</v>
      </c>
      <c r="D63" s="167"/>
      <c r="E63" s="168"/>
      <c r="F63" s="1807"/>
      <c r="G63" s="1807"/>
      <c r="H63" s="1809"/>
      <c r="I63" s="129"/>
      <c r="J63" s="3594" t="s">
        <v>1378</v>
      </c>
      <c r="K63" s="1331" t="s">
        <v>1379</v>
      </c>
      <c r="L63" s="1331">
        <f ca="1">IF(M49&gt;10000,M49*0.5%,IF(AND(M49&gt;1000,M49&lt;=10000),M49*1%,IF(AND(M49&gt;100,M49&lt;=1000),M49*3%,IF(AND(M49&gt;10,M49&lt;=100),M49*5%,M49*8%))))</f>
        <v>424.46500000000003</v>
      </c>
      <c r="M63" s="302">
        <f ca="1">ROUND(L63,1)</f>
        <v>424.5</v>
      </c>
      <c r="N63" s="2537"/>
      <c r="Z63" s="1751"/>
      <c r="AI63" s="1752"/>
    </row>
    <row r="64" spans="1:35" ht="14.25" customHeight="1">
      <c r="A64" s="169" t="s">
        <v>325</v>
      </c>
      <c r="B64" s="170" t="s">
        <v>1380</v>
      </c>
      <c r="C64" s="2559">
        <f ca="1">D45</f>
        <v>84893</v>
      </c>
      <c r="D64" s="170" t="s">
        <v>26</v>
      </c>
      <c r="E64" s="172"/>
      <c r="F64" s="1807"/>
      <c r="G64" s="1807"/>
      <c r="H64" s="1809"/>
      <c r="I64" s="129"/>
      <c r="J64" s="3594"/>
      <c r="K64" s="1331" t="s">
        <v>1381</v>
      </c>
      <c r="L64" s="1331">
        <f ca="1">IF(M49&gt;2000,M49*0.5%,IF(AND(M49&gt;1000,M49&lt;=2000),M49*0.6%,IF(AND(M49&gt;500,M49&lt;=1000),M49*0.7%,IF(AND(M49&gt;200,M49&lt;=500),M49*0.8%,IF(AND(M49&gt;100,M49&lt;=200),M49*0.9%,IF(AND(M49&gt;50,M49&lt;=100),M49*1%,IF(AND(M49&gt;20,M49&lt;=50),M49*1.5%,IF(AND(M49&gt;10,M49&lt;=20),M49*2%,IF(AND(M49&gt;1,M49&lt;=10),M49*2.5%)))))))))</f>
        <v>424.46500000000003</v>
      </c>
      <c r="M64" s="302">
        <f t="shared" ref="M64:M65" ca="1" si="1">ROUND(L64,1)</f>
        <v>424.5</v>
      </c>
      <c r="N64" s="2538" t="s">
        <v>1382</v>
      </c>
      <c r="Z64" s="1751"/>
      <c r="AI64" s="1752"/>
    </row>
    <row r="65" spans="1:35" ht="14.25" customHeight="1">
      <c r="A65" s="169" t="s">
        <v>326</v>
      </c>
      <c r="B65" s="170" t="s">
        <v>1383</v>
      </c>
      <c r="C65" s="2560"/>
      <c r="D65" s="170"/>
      <c r="E65" s="172"/>
      <c r="F65" s="1807"/>
      <c r="G65" s="1807"/>
      <c r="H65" s="1809"/>
      <c r="I65" s="129"/>
      <c r="J65" s="3594"/>
      <c r="K65" s="1331" t="s">
        <v>1384</v>
      </c>
      <c r="L65" s="1331">
        <f ca="1">IF(M49&gt;1000,M49*0.1%,IF(AND(M49&gt;500,M49&lt;=1000),M49*0.5%,IF(AND(M49&gt;50,M49&lt;=500),M49*1%,IF(AND(M49&gt;1,M49&lt;=50),M49*1.5%))))</f>
        <v>84.893000000000001</v>
      </c>
      <c r="M65" s="302">
        <f t="shared" ca="1" si="1"/>
        <v>84.9</v>
      </c>
      <c r="N65" s="2538" t="s">
        <v>1382</v>
      </c>
      <c r="Z65" s="1751"/>
      <c r="AI65" s="1752"/>
    </row>
    <row r="66" spans="1:35" ht="14.25" customHeight="1">
      <c r="A66" s="173" t="s">
        <v>327</v>
      </c>
      <c r="B66" s="174" t="s">
        <v>1385</v>
      </c>
      <c r="C66" s="2561"/>
      <c r="D66" s="174" t="s">
        <v>26</v>
      </c>
      <c r="E66" s="1337" t="s">
        <v>671</v>
      </c>
      <c r="F66" s="1807"/>
      <c r="G66" s="1807"/>
      <c r="H66" s="1809"/>
      <c r="I66" s="129"/>
      <c r="J66" s="3594"/>
      <c r="K66" s="1331" t="s">
        <v>1386</v>
      </c>
      <c r="L66" s="1331">
        <f ca="1">M49*0.5%</f>
        <v>424.46500000000003</v>
      </c>
      <c r="M66" s="302">
        <f ca="1">IF(L66&gt;0.5,0.5,ROUND(L66,0))</f>
        <v>0.5</v>
      </c>
      <c r="N66" s="2538" t="s">
        <v>1387</v>
      </c>
      <c r="Z66" s="1751"/>
      <c r="AI66" s="1752"/>
    </row>
    <row r="67" spans="1:35" ht="14.25" customHeight="1">
      <c r="A67" s="173" t="s">
        <v>328</v>
      </c>
      <c r="B67" s="174" t="s">
        <v>1388</v>
      </c>
      <c r="C67" s="2562">
        <f ca="1">C63-C66</f>
        <v>80850</v>
      </c>
      <c r="D67" s="170" t="s">
        <v>26</v>
      </c>
      <c r="E67" s="172"/>
      <c r="F67" s="1807"/>
      <c r="G67" s="1807"/>
      <c r="H67" s="1809"/>
      <c r="I67" s="129"/>
      <c r="J67" s="3594"/>
      <c r="K67" s="1331" t="s">
        <v>1389</v>
      </c>
      <c r="L67" s="1331">
        <f ca="1">IF(M49&gt;=10000,(8.25+(M49-10000)*0.01%),IF(AND(M49&gt;=8000,M49&lt;10000),(7.85+(M49-8000)*0.02%),IF(AND(M49&gt;=5000,M49&lt;8000),(6.65+(M49-5000)*0.04%),IF(AND(M49&gt;=2000,M49&lt;5000),(4.25+(PM49-2000)*0.08%),IF(AND(M49&gt;=1000,M49&lt;2000),(2.75+(M49-1000)*0.15%),IF(AND(M49&gt;=100,M49&lt;1000),(0.5+(M49-100)*0.25%),IF(AND(M49&gt;0,M49&lt;100),M49*0.5%)))))))</f>
        <v>15.7393</v>
      </c>
      <c r="M67" s="302">
        <f ca="1">ROUND(L67*0.9,1)</f>
        <v>14.2</v>
      </c>
      <c r="N67" s="2537"/>
      <c r="Z67" s="1751"/>
      <c r="AI67" s="1752"/>
    </row>
    <row r="68" spans="1:35" ht="14.25" customHeight="1" thickBot="1">
      <c r="A68" s="176" t="s">
        <v>329</v>
      </c>
      <c r="B68" s="177" t="s">
        <v>1390</v>
      </c>
      <c r="C68" s="2563">
        <f ca="1">IF(C67&lt;=0,0,ROUND(C67*D68,0))</f>
        <v>4447</v>
      </c>
      <c r="D68" s="2564">
        <f>'数据-取费表'!B41</f>
        <v>5.5000000000000007E-2</v>
      </c>
      <c r="E68" s="178"/>
      <c r="F68" s="1807"/>
      <c r="G68" s="1807"/>
      <c r="H68" s="1809"/>
      <c r="I68" s="129"/>
      <c r="J68" s="3594"/>
      <c r="K68" s="1331" t="s">
        <v>1391</v>
      </c>
      <c r="L68" s="1331">
        <f ca="1">IF(M49&gt;10000,M49*0.5%,IF(AND(M49&gt;5000,M49&lt;=10000),M49*1%,IF(AND(M49&gt;1000,M49&lt;=5000),M49*2%,IF(AND(M49&gt;200,M49&lt;=1000),M49*3%,M49*5%))))</f>
        <v>424.46500000000003</v>
      </c>
      <c r="M68" s="302">
        <f ca="1">ROUND(L68,1)</f>
        <v>424.5</v>
      </c>
      <c r="N68" s="2537"/>
      <c r="Z68" s="1751"/>
      <c r="AI68" s="1752"/>
    </row>
    <row r="69" spans="1:35" s="1771" customFormat="1" ht="16.5" customHeight="1">
      <c r="A69" s="1810"/>
      <c r="B69" s="1811"/>
      <c r="C69" s="1812"/>
      <c r="D69" s="1813"/>
      <c r="E69" s="1814"/>
      <c r="F69" s="1577"/>
      <c r="G69" s="1577"/>
      <c r="H69" s="1576"/>
      <c r="I69" s="1746"/>
      <c r="J69" s="3594"/>
      <c r="K69" s="1331" t="s">
        <v>1392</v>
      </c>
      <c r="L69" s="1331"/>
      <c r="M69" s="302">
        <f ca="1">ROUND(SUM(M63:M68),0)</f>
        <v>1373</v>
      </c>
      <c r="N69" s="2539">
        <f ca="1">M69/M49</f>
        <v>1.6173300507697927E-2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38" t="s">
        <v>1393</v>
      </c>
      <c r="B70" s="3639"/>
      <c r="C70" s="3639"/>
      <c r="D70" s="3639"/>
      <c r="E70" s="3639"/>
      <c r="F70" s="3639"/>
      <c r="G70" s="3639"/>
      <c r="H70" s="3639"/>
      <c r="I70" s="1815"/>
      <c r="J70" s="2685"/>
      <c r="K70" s="2685"/>
      <c r="L70" s="2685"/>
      <c r="M70" s="2685"/>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0" t="s">
        <v>1374</v>
      </c>
      <c r="B71" s="3631"/>
      <c r="C71" s="2017"/>
      <c r="D71" s="2017" t="s">
        <v>1375</v>
      </c>
      <c r="E71" s="179" t="s">
        <v>1376</v>
      </c>
      <c r="F71" s="180"/>
      <c r="G71" s="180"/>
      <c r="H71" s="181"/>
      <c r="I71" s="1819"/>
      <c r="J71" s="2685"/>
      <c r="K71" s="2685"/>
      <c r="L71" s="2685"/>
      <c r="M71" s="2685"/>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2">
        <f ca="1">ROUND(D45/(1+'数据-取费表'!C42),0)</f>
        <v>80850</v>
      </c>
      <c r="D72" s="170" t="s">
        <v>26</v>
      </c>
      <c r="E72" s="2327"/>
      <c r="F72" s="2326"/>
      <c r="G72" s="2326"/>
      <c r="H72" s="182"/>
      <c r="I72" s="1819"/>
      <c r="J72" s="2685"/>
      <c r="K72" s="2685"/>
      <c r="L72" s="2685"/>
      <c r="M72" s="2685"/>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2">
        <f ca="1">C74+C78</f>
        <v>404</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65"/>
      <c r="D75" s="170" t="s">
        <v>26</v>
      </c>
      <c r="E75" s="184" t="s">
        <v>1398</v>
      </c>
      <c r="F75" s="2566"/>
      <c r="G75" s="184" t="s">
        <v>1399</v>
      </c>
      <c r="H75" s="2567"/>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68">
        <v>0.05</v>
      </c>
      <c r="E76" s="3635" t="s">
        <v>1401</v>
      </c>
      <c r="F76" s="3634"/>
      <c r="G76" s="3634"/>
      <c r="H76" s="363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69">
        <f>'数据-取费表'!B48+'数据-取费表'!B49</f>
        <v>3.0499999999999999E-2</v>
      </c>
      <c r="E77" s="2320" t="s">
        <v>1403</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0">
        <f ca="1">ROUND(D45*D78/(1+'数据-取费表'!C42),0)</f>
        <v>404</v>
      </c>
      <c r="D78" s="2571">
        <f>'数据-取费表'!B43</f>
        <v>5.000000000000001E-3</v>
      </c>
      <c r="E78" s="3627" t="s">
        <v>1405</v>
      </c>
      <c r="F78" s="3628"/>
      <c r="G78" s="3628"/>
      <c r="H78" s="362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2">
        <f ca="1">C72-C73</f>
        <v>80446</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2">
        <f ca="1">IF(C79&lt;=0,0,C79/C73)</f>
        <v>199.12376237623764</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3">
        <f ca="1">ROUND(IF(C79&lt;=0,0,IF(C80&gt;=200%,C79*60%-C73*35%,IF(C80&gt;=100%,C79*50%-C73*15%,IF(C80&gt;=50%,C79*40%-C73*5%,IF(C80&lt;50%,C79*30%,0))))),0)</f>
        <v>48126</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8" t="s">
        <v>1409</v>
      </c>
      <c r="B83" s="3639"/>
      <c r="C83" s="3639"/>
      <c r="D83" s="3639"/>
      <c r="E83" s="3639"/>
      <c r="F83" s="3639"/>
      <c r="G83" s="3639"/>
      <c r="H83" s="363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0" t="s">
        <v>1374</v>
      </c>
      <c r="B84" s="3631"/>
      <c r="C84" s="2017"/>
      <c r="D84" s="2017"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2">
        <f ca="1">ROUND(D45/(1+'数据-取费表'!C42),0)</f>
        <v>80850</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2">
        <f ca="1">IF(H88="仅含出让金",C87+C90+C91+C92+C93+C94,C87+C91+C92+C93+C94)</f>
        <v>404</v>
      </c>
      <c r="D86" s="2575"/>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0">
        <f>C88+C89</f>
        <v>0</v>
      </c>
      <c r="D87" s="2571"/>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76"/>
      <c r="D88" s="2571"/>
      <c r="E88" s="193" t="s">
        <v>1412</v>
      </c>
      <c r="F88" s="2323"/>
      <c r="G88" s="194" t="s">
        <v>1413</v>
      </c>
      <c r="H88" s="1823"/>
      <c r="I88" s="1820"/>
      <c r="J88" s="2515"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0">
        <f>ROUND(C88*D89,0)</f>
        <v>0</v>
      </c>
      <c r="D89" s="2571">
        <f>'数据-取费表'!B48+'数据-取费表'!B49</f>
        <v>3.0499999999999999E-2</v>
      </c>
      <c r="E89" s="193" t="s">
        <v>1414</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76"/>
      <c r="D90" s="2571"/>
      <c r="E90" s="193" t="str">
        <f>IF(H88="-","土地取得成本中已包含该笔费用"," ")</f>
        <v xml:space="preserve"> </v>
      </c>
      <c r="F90" s="2323"/>
      <c r="G90" s="3596" t="s">
        <v>2127</v>
      </c>
      <c r="H90" s="3597"/>
      <c r="I90" s="1820"/>
      <c r="J90" s="2515"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0">
        <f>IF(H91="——",成本法!C33,I91)</f>
        <v>0</v>
      </c>
      <c r="D91" s="2571"/>
      <c r="E91" s="3627" t="s">
        <v>1418</v>
      </c>
      <c r="F91" s="3628"/>
      <c r="G91" s="362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0">
        <f>ROUND((C87+C90+C91)*D92,0)</f>
        <v>0</v>
      </c>
      <c r="D92" s="2577"/>
      <c r="E92" s="3627" t="s">
        <v>1421</v>
      </c>
      <c r="F92" s="3628"/>
      <c r="G92" s="3628"/>
      <c r="H92" s="3629"/>
      <c r="I92" s="1820"/>
      <c r="J92" s="2516"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0">
        <f ca="1">ROUND(D45*D93/(1+'数据-取费表'!C42),0)</f>
        <v>404</v>
      </c>
      <c r="D93" s="2571">
        <f>'数据-取费表'!B43</f>
        <v>5.000000000000001E-3</v>
      </c>
      <c r="E93" s="3627" t="s">
        <v>1405</v>
      </c>
      <c r="F93" s="3628"/>
      <c r="G93" s="3628"/>
      <c r="H93" s="362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76">
        <f>ROUND((C87+C90+C91)*D94,0)</f>
        <v>0</v>
      </c>
      <c r="D94" s="2571">
        <v>0.2</v>
      </c>
      <c r="E94" s="3672" t="s">
        <v>1425</v>
      </c>
      <c r="F94" s="3673"/>
      <c r="G94" s="3673"/>
      <c r="H94" s="367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2">
        <f ca="1">ROUND(C85-C86,0)</f>
        <v>80446</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2">
        <f ca="1">IF(C95&lt;=0,0,C95/C86)</f>
        <v>199.12376237623764</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3">
        <f ca="1">ROUND(IF(C95&lt;=0,0,IF(C96&gt;=200%,C95*60%-C86*35%,IF(C96&gt;=100%,C95*50%-C86*15%,IF(C96&gt;=50%,C95*40%-C86*5%,IF(C96&lt;50%,C95*30%,0))))),0)</f>
        <v>48126</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77" t="s">
        <v>1427</v>
      </c>
      <c r="B100" s="3578"/>
      <c r="C100" s="3578"/>
      <c r="D100" s="3612"/>
      <c r="E100" s="3578" t="s">
        <v>1428</v>
      </c>
      <c r="F100" s="3578"/>
      <c r="G100" s="3578"/>
      <c r="H100" s="3612"/>
      <c r="I100" s="129"/>
    </row>
    <row r="101" spans="1:35" ht="18.75" customHeight="1">
      <c r="A101" s="3620" t="s">
        <v>1429</v>
      </c>
      <c r="B101" s="3621"/>
      <c r="C101" s="2579" t="str">
        <f>C4</f>
        <v>成本法</v>
      </c>
      <c r="D101" s="2580" t="str">
        <f>D4</f>
        <v>假设开发法</v>
      </c>
      <c r="E101" s="3590" t="s">
        <v>1430</v>
      </c>
      <c r="F101" s="3591"/>
      <c r="G101" s="1826" t="s">
        <v>1431</v>
      </c>
      <c r="H101" s="2589">
        <f ca="1">H118</f>
        <v>84893</v>
      </c>
      <c r="I101" s="129"/>
    </row>
    <row r="102" spans="1:35" ht="18.75" customHeight="1">
      <c r="A102" s="3622" t="s">
        <v>1432</v>
      </c>
      <c r="B102" s="2578" t="s">
        <v>1431</v>
      </c>
      <c r="C102" s="2579">
        <f ca="1">IF(D32="楼面单价",ROUND(C19,0),C19)</f>
        <v>92594</v>
      </c>
      <c r="D102" s="2580">
        <f ca="1">IF(D32="楼面单价",ROUND(D19,0),D19)</f>
        <v>77191</v>
      </c>
      <c r="E102" s="3590"/>
      <c r="F102" s="3591"/>
      <c r="G102" s="1826" t="s">
        <v>1433</v>
      </c>
      <c r="H102" s="2549">
        <f ca="1">I118</f>
        <v>14775</v>
      </c>
      <c r="I102" s="129"/>
    </row>
    <row r="103" spans="1:35" ht="42.75" customHeight="1">
      <c r="A103" s="3622"/>
      <c r="B103" s="2578" t="s">
        <v>1433</v>
      </c>
      <c r="C103" s="2581">
        <f ca="1">C20</f>
        <v>16115</v>
      </c>
      <c r="D103" s="2582">
        <f ca="1">D20</f>
        <v>13434</v>
      </c>
      <c r="E103" s="3583" t="s">
        <v>1434</v>
      </c>
      <c r="F103" s="3584"/>
      <c r="G103" s="1827" t="s">
        <v>1435</v>
      </c>
      <c r="H103" s="2589">
        <f>IF(D36="正常操作",H104+H105+H106,H105+H106)</f>
        <v>0</v>
      </c>
      <c r="I103" s="129"/>
    </row>
    <row r="104" spans="1:35" ht="18.75" customHeight="1">
      <c r="A104" s="3622" t="s">
        <v>1436</v>
      </c>
      <c r="B104" s="2583" t="s">
        <v>1431</v>
      </c>
      <c r="C104" s="2584">
        <f ca="1">H118</f>
        <v>84893</v>
      </c>
      <c r="D104" s="2585"/>
      <c r="E104" s="1673" t="s">
        <v>1437</v>
      </c>
      <c r="F104" s="1665"/>
      <c r="G104" s="1827" t="s">
        <v>1435</v>
      </c>
      <c r="H104" s="2590">
        <f>IF(D36="同一抵押权人同一抵押物续贷",C36&amp;"（续贷，未扣减，详见特别提示）",C36)</f>
        <v>0</v>
      </c>
      <c r="I104" s="129"/>
    </row>
    <row r="105" spans="1:35" ht="18.75" customHeight="1" thickBot="1">
      <c r="A105" s="3632"/>
      <c r="B105" s="2586" t="s">
        <v>1433</v>
      </c>
      <c r="C105" s="2587">
        <f ca="1">I118</f>
        <v>14775</v>
      </c>
      <c r="D105" s="2588"/>
      <c r="E105" s="1673" t="s">
        <v>1438</v>
      </c>
      <c r="F105" s="1665"/>
      <c r="G105" s="1827" t="s">
        <v>1435</v>
      </c>
      <c r="H105" s="2591">
        <f>C37</f>
        <v>0</v>
      </c>
      <c r="I105" s="129"/>
    </row>
    <row r="106" spans="1:35" ht="18.75" customHeight="1">
      <c r="A106" s="1746" t="s">
        <v>1439</v>
      </c>
      <c r="B106" s="1746"/>
      <c r="C106" s="1746"/>
      <c r="D106" s="1746"/>
      <c r="E106" s="1828" t="s">
        <v>1440</v>
      </c>
      <c r="F106" s="1665"/>
      <c r="G106" s="1827" t="s">
        <v>1435</v>
      </c>
      <c r="H106" s="2591">
        <f>C38</f>
        <v>0</v>
      </c>
      <c r="I106" s="129"/>
    </row>
    <row r="107" spans="1:35" ht="18.75" customHeight="1">
      <c r="A107" s="129"/>
      <c r="B107" s="129"/>
      <c r="C107" s="129"/>
      <c r="D107" s="129"/>
      <c r="E107" s="3623" t="str">
        <f>IF(项目基本情况!E8="已注销","——","3.房地产抵押价值")</f>
        <v>3.房地产抵押价值</v>
      </c>
      <c r="F107" s="3591"/>
      <c r="G107" s="1826" t="s">
        <v>1431</v>
      </c>
      <c r="H107" s="2589">
        <f ca="1">IF(E107="——","——",H101-H103)</f>
        <v>84893</v>
      </c>
      <c r="I107" s="129"/>
    </row>
    <row r="108" spans="1:35" ht="18.75" customHeight="1">
      <c r="A108" s="129"/>
      <c r="B108" s="129"/>
      <c r="C108" s="129"/>
      <c r="D108" s="129"/>
      <c r="E108" s="3623"/>
      <c r="F108" s="3591"/>
      <c r="G108" s="1826" t="s">
        <v>1433</v>
      </c>
      <c r="H108" s="2549">
        <f ca="1">IF(H107=H101,H102,ROUND(H107*10000/'数据-汇总表'!E3,0))</f>
        <v>14775</v>
      </c>
      <c r="I108" s="129"/>
    </row>
    <row r="109" spans="1:35" ht="18.75" customHeight="1">
      <c r="A109" s="129"/>
      <c r="B109" s="129"/>
      <c r="C109" s="129"/>
      <c r="D109" s="129"/>
      <c r="E109" s="3623" t="str">
        <f>IF(项目基本情况!E8="已注销及未注销","4.抵押担保权已注销时的房地产抵押价值",IF(项目基本情况!E8="已注销","3.抵押担保权已注销时的房地产抵押价值","——"))</f>
        <v>——</v>
      </c>
      <c r="F109" s="3591"/>
      <c r="G109" s="1826" t="s">
        <v>1431</v>
      </c>
      <c r="H109" s="2592" t="str">
        <f>IF(E109="——","——",H101-H105-H106)</f>
        <v>——</v>
      </c>
      <c r="I109" s="129"/>
    </row>
    <row r="110" spans="1:35" ht="18.75" customHeight="1">
      <c r="A110" s="129"/>
      <c r="B110" s="129"/>
      <c r="C110" s="129"/>
      <c r="D110" s="129"/>
      <c r="E110" s="3623"/>
      <c r="F110" s="3591"/>
      <c r="G110" s="1826" t="s">
        <v>1433</v>
      </c>
      <c r="H110" s="2549"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v>
      </c>
      <c r="F111" s="3610"/>
      <c r="G111" s="1826" t="s">
        <v>1431</v>
      </c>
      <c r="H111" s="2589" t="str">
        <f>IF(E111="——","——",N59)</f>
        <v>——</v>
      </c>
      <c r="I111" s="129"/>
    </row>
    <row r="112" spans="1:35" ht="18.75" customHeight="1" thickBot="1">
      <c r="A112" s="129"/>
      <c r="B112" s="129"/>
      <c r="C112" s="129"/>
      <c r="D112" s="129"/>
      <c r="E112" s="3625"/>
      <c r="F112" s="3626"/>
      <c r="G112" s="1829" t="s">
        <v>1433</v>
      </c>
      <c r="H112" s="2593" t="str">
        <f>IF(E111="——","——",N61)</f>
        <v>——</v>
      </c>
      <c r="I112" s="129"/>
    </row>
    <row r="113" spans="1:27" ht="18.75" customHeight="1">
      <c r="A113" s="129"/>
      <c r="B113" s="129"/>
      <c r="C113" s="129"/>
      <c r="D113" s="129"/>
      <c r="E113" s="3633" t="s">
        <v>1439</v>
      </c>
      <c r="F113" s="3633"/>
      <c r="G113" s="3633"/>
      <c r="H113" s="3633"/>
      <c r="I113" s="129"/>
    </row>
    <row r="114" spans="1:27" ht="3.75" customHeight="1">
      <c r="A114" s="1746"/>
      <c r="B114" s="1746"/>
      <c r="C114" s="1746"/>
      <c r="D114" s="1746"/>
      <c r="E114" s="1808"/>
      <c r="F114" s="1808"/>
      <c r="G114" s="1808"/>
      <c r="H114" s="1808"/>
      <c r="I114" s="1746"/>
    </row>
    <row r="115" spans="1:27" ht="18.75" customHeight="1">
      <c r="A115" s="3641" t="s">
        <v>1441</v>
      </c>
      <c r="B115" s="3642"/>
      <c r="C115" s="3642"/>
      <c r="D115" s="3642"/>
      <c r="E115" s="3642"/>
      <c r="F115" s="3642"/>
      <c r="G115" s="3642"/>
      <c r="H115" s="3642"/>
      <c r="I115" s="3643"/>
    </row>
    <row r="116" spans="1:27" ht="27" customHeight="1">
      <c r="A116" s="3598" t="s">
        <v>1442</v>
      </c>
      <c r="B116" s="3602" t="s">
        <v>1443</v>
      </c>
      <c r="C116" s="3602" t="s">
        <v>1444</v>
      </c>
      <c r="D116" s="3608" t="s">
        <v>1445</v>
      </c>
      <c r="E116" s="3609"/>
      <c r="F116" s="3640" t="s">
        <v>1446</v>
      </c>
      <c r="G116" s="3640"/>
      <c r="H116" s="3598" t="s">
        <v>1447</v>
      </c>
      <c r="I116" s="3598"/>
    </row>
    <row r="117" spans="1:27" ht="18.75" customHeight="1">
      <c r="A117" s="3598"/>
      <c r="B117" s="3603"/>
      <c r="C117" s="3603"/>
      <c r="D117" s="2325" t="s">
        <v>1448</v>
      </c>
      <c r="E117" s="2325" t="s">
        <v>1449</v>
      </c>
      <c r="F117" s="2325" t="s">
        <v>1448</v>
      </c>
      <c r="G117" s="2325" t="s">
        <v>1450</v>
      </c>
      <c r="H117" s="2325" t="s">
        <v>1448</v>
      </c>
      <c r="I117" s="2325" t="s">
        <v>1450</v>
      </c>
    </row>
    <row r="118" spans="1:27" ht="24.75" customHeight="1">
      <c r="A118" s="2594" t="str">
        <f>项目基本情况!S2</f>
        <v>北京市通州区马驹桥镇国家环保产业园区YZ00-073-6004、6006地块R2二类居住用地房地产</v>
      </c>
      <c r="B118" s="2325">
        <f>M18</f>
        <v>57457.869999999995</v>
      </c>
      <c r="C118" s="2325">
        <f>M19</f>
        <v>15906.02</v>
      </c>
      <c r="D118" s="2325">
        <f ca="1">ROUND(IF(D32="总价",C34,E118*B118/10000),0)</f>
        <v>51190</v>
      </c>
      <c r="E118" s="2325">
        <f ca="1">ROUND(IF(C33="自定义",IF(D32="楼面单价",C34,D118*10000/B118),I118-G118),0)</f>
        <v>8909</v>
      </c>
      <c r="F118" s="2325">
        <f ca="1">ROUND(IF(D32="总价",C35,G118*B118/10000),0)</f>
        <v>33703</v>
      </c>
      <c r="G118" s="2325">
        <f ca="1">ROUND(IF(D32="楼面单价",C35,F118*10000/B118),0)</f>
        <v>5866</v>
      </c>
      <c r="H118" s="2325">
        <f ca="1">ROUND(IF(D32="总价",C32,I118*B118/10000),0)</f>
        <v>84893</v>
      </c>
      <c r="I118" s="2325">
        <f ca="1">ROUND(IF(D32="楼面单价",C32,H118*10000/B118),0)</f>
        <v>14775</v>
      </c>
    </row>
    <row r="119" spans="1:27" ht="18.75" customHeight="1">
      <c r="A119" s="3598" t="s">
        <v>1451</v>
      </c>
      <c r="B119" s="3598"/>
      <c r="C119" s="3598"/>
      <c r="D119" s="3604" t="str">
        <f ca="1">NUMBERSTRING(INT(D118*10000),2)&amp;"元整"</f>
        <v>伍亿壹仟壹佰玖拾万元整</v>
      </c>
      <c r="E119" s="3605"/>
      <c r="F119" s="3604" t="str">
        <f ca="1">NUMBERSTRING(INT(F118*10000),2)&amp;"元整"</f>
        <v>叁亿叁仟柒佰零叁万元整</v>
      </c>
      <c r="G119" s="3605"/>
      <c r="H119" s="3604" t="str">
        <f ca="1">NUMBERSTRING(INT(H118*10000),2)&amp;"元整"</f>
        <v>捌亿肆仟捌佰玖拾叁万元整</v>
      </c>
      <c r="I119" s="3605"/>
    </row>
    <row r="120" spans="1:27" ht="18.75" customHeight="1">
      <c r="A120" s="3599" t="str">
        <f>IF(项目基本情况!B9="房地产市场价值","",MID(E103,3,LEN(E103)-2))</f>
        <v>估价师知悉的法定优先受偿款</v>
      </c>
      <c r="B120" s="3600"/>
      <c r="C120" s="3601"/>
      <c r="D120" s="3599">
        <f>H103</f>
        <v>0</v>
      </c>
      <c r="E120" s="3600"/>
      <c r="F120" s="3600"/>
      <c r="G120" s="3600"/>
      <c r="H120" s="3600"/>
      <c r="I120" s="360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4" t="s">
        <v>1451</v>
      </c>
      <c r="B121" s="3606"/>
      <c r="C121" s="3605"/>
      <c r="D121" s="3604" t="str">
        <f>IF(D120=0,"零元整",NUMBERSTRING(INT(D120*10000),2)&amp;"元整")</f>
        <v>零元整</v>
      </c>
      <c r="E121" s="3606"/>
      <c r="F121" s="3606"/>
      <c r="G121" s="3606"/>
      <c r="H121" s="3606"/>
      <c r="I121" s="3605"/>
      <c r="AA121" s="725"/>
    </row>
    <row r="122" spans="1:27" ht="18.75" customHeight="1">
      <c r="A122" s="3610" t="str">
        <f>IF(项目基本情况!B9="房地产市场价值","",MID(E107,3,LEN(E107)-2))</f>
        <v>房地产抵押价值</v>
      </c>
      <c r="B122" s="3610"/>
      <c r="C122" s="3610"/>
      <c r="D122" s="3599">
        <f ca="1">H107</f>
        <v>84893</v>
      </c>
      <c r="E122" s="3600"/>
      <c r="F122" s="3600"/>
      <c r="G122" s="3600"/>
      <c r="H122" s="3600"/>
      <c r="I122" s="3601"/>
      <c r="AA122" s="725"/>
    </row>
    <row r="123" spans="1:27" ht="18.75" customHeight="1">
      <c r="A123" s="3598" t="s">
        <v>1451</v>
      </c>
      <c r="B123" s="3598"/>
      <c r="C123" s="3598"/>
      <c r="D123" s="3604" t="str">
        <f ca="1">NUMBERSTRING(INT(D122*10000),2)&amp;"元整"</f>
        <v>捌亿肆仟捌佰玖拾叁万元整</v>
      </c>
      <c r="E123" s="3606"/>
      <c r="F123" s="3606"/>
      <c r="G123" s="3606"/>
      <c r="H123" s="3606"/>
      <c r="I123" s="3605"/>
      <c r="AA123" s="725"/>
    </row>
    <row r="124" spans="1:27" ht="18.75" customHeight="1">
      <c r="A124" s="3610" t="str">
        <f>IF(项目基本情况!B9="房地产市场价值","",MID(E109,3,LEN(E109)-2))</f>
        <v/>
      </c>
      <c r="B124" s="3610"/>
      <c r="C124" s="3610"/>
      <c r="D124" s="3599" t="str">
        <f>H109</f>
        <v>——</v>
      </c>
      <c r="E124" s="3600"/>
      <c r="F124" s="3600"/>
      <c r="G124" s="3600"/>
      <c r="H124" s="3600"/>
      <c r="I124" s="3601"/>
      <c r="AA124" s="725"/>
    </row>
    <row r="125" spans="1:27" ht="18.75" customHeight="1">
      <c r="A125" s="3598" t="s">
        <v>1451</v>
      </c>
      <c r="B125" s="3598"/>
      <c r="C125" s="3598"/>
      <c r="D125" s="3604" t="e">
        <f>NUMBERSTRING(INT(D124*10000),2)&amp;"元整"</f>
        <v>#VALUE!</v>
      </c>
      <c r="E125" s="3606"/>
      <c r="F125" s="3606"/>
      <c r="G125" s="3606"/>
      <c r="H125" s="3606"/>
      <c r="I125" s="3605"/>
      <c r="AA125" s="725"/>
    </row>
    <row r="126" spans="1:27" ht="18.75" customHeight="1">
      <c r="A126" s="3610" t="str">
        <f>IF(项目基本情况!B9="房地产市场价值","",MID(E111,3,LEN(E111)-2))</f>
        <v/>
      </c>
      <c r="B126" s="3610"/>
      <c r="C126" s="3610"/>
      <c r="D126" s="3599" t="str">
        <f>H111</f>
        <v>——</v>
      </c>
      <c r="E126" s="3600"/>
      <c r="F126" s="3600"/>
      <c r="G126" s="3600"/>
      <c r="H126" s="3600"/>
      <c r="I126" s="3601"/>
      <c r="AA126" s="725"/>
    </row>
    <row r="127" spans="1:27" ht="18.75" customHeight="1">
      <c r="A127" s="3598" t="s">
        <v>1451</v>
      </c>
      <c r="B127" s="3598"/>
      <c r="C127" s="3598"/>
      <c r="D127" s="3604" t="e">
        <f>NUMBERSTRING(INT(D126*10000),2)&amp;"元整"</f>
        <v>#VALUE!</v>
      </c>
      <c r="E127" s="3606"/>
      <c r="F127" s="3606"/>
      <c r="G127" s="3606"/>
      <c r="H127" s="3606"/>
      <c r="I127" s="3605"/>
      <c r="AA127" s="725"/>
    </row>
    <row r="128" spans="1:27" ht="21.75" customHeight="1">
      <c r="A128" s="3607" t="s">
        <v>1452</v>
      </c>
      <c r="B128" s="3607"/>
      <c r="C128" s="3607"/>
      <c r="D128" s="3607"/>
      <c r="E128" s="3607"/>
      <c r="F128" s="3607"/>
      <c r="G128" s="3607"/>
      <c r="H128" s="3607"/>
      <c r="I128" s="3607"/>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Normal="70" zoomScaleSheetLayoutView="100" workbookViewId="0">
      <selection activeCell="C57" sqref="C5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6">
        <f>MATCH(B1,'数据-取费表'!A6:A16,0)+5</f>
        <v>9</v>
      </c>
    </row>
    <row r="2" spans="1:9" s="200" customFormat="1" ht="18" customHeight="1">
      <c r="A2" s="201" t="s">
        <v>1461</v>
      </c>
      <c r="B2" s="202">
        <f ca="1">IF(D2="——",C52,C52-E2)</f>
        <v>92594</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16115</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41618</v>
      </c>
      <c r="D5" s="211" t="s">
        <v>1468</v>
      </c>
      <c r="E5" s="212" t="s">
        <v>1469</v>
      </c>
      <c r="F5" s="212" t="s">
        <v>1470</v>
      </c>
      <c r="G5" s="213"/>
    </row>
    <row r="6" spans="1:9" s="214" customFormat="1" ht="13.5" customHeight="1">
      <c r="A6" s="778" t="s">
        <v>1471</v>
      </c>
      <c r="B6" s="215" t="s">
        <v>1472</v>
      </c>
      <c r="C6" s="216">
        <f>'土地比较法-住宅、综合'!B2</f>
        <v>39482</v>
      </c>
      <c r="D6" s="217"/>
      <c r="E6" s="218"/>
      <c r="F6" s="218"/>
      <c r="G6" s="219"/>
    </row>
    <row r="7" spans="1:9" s="214" customFormat="1" ht="13.5" customHeight="1">
      <c r="A7" s="778" t="s">
        <v>1473</v>
      </c>
      <c r="B7" s="215" t="s">
        <v>1474</v>
      </c>
      <c r="C7" s="220">
        <f>ROUND(C6*F7,0)</f>
        <v>1204</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932</v>
      </c>
      <c r="D8" s="222"/>
      <c r="E8" s="220"/>
      <c r="F8" s="221"/>
      <c r="G8" s="1855" t="s">
        <v>3443</v>
      </c>
    </row>
    <row r="9" spans="1:9" s="214" customFormat="1" ht="13.5" customHeight="1">
      <c r="A9" s="779" t="s">
        <v>355</v>
      </c>
      <c r="B9" s="224" t="s">
        <v>1477</v>
      </c>
      <c r="C9" s="225">
        <f ca="1">ROUND(D9*E9/10000,0)</f>
        <v>210</v>
      </c>
      <c r="D9" s="845">
        <f ca="1">IF(B1="",'数据-汇总表'!E5,IF(INDIRECT("'数据-取费表'!c"&amp;$G$1)="住宅",INDIRECT("'数据-取费表'!k"&amp;$G$1),0))</f>
        <v>14977.599999999997</v>
      </c>
      <c r="E9" s="225">
        <f>'数据-取费表'!B27</f>
        <v>140</v>
      </c>
      <c r="F9" s="221"/>
      <c r="G9" s="1856" t="s">
        <v>3444</v>
      </c>
      <c r="H9" s="1137"/>
      <c r="I9" s="1857" t="s">
        <v>1478</v>
      </c>
    </row>
    <row r="10" spans="1:9" s="214" customFormat="1" ht="13.5" customHeight="1">
      <c r="A10" s="779" t="s">
        <v>356</v>
      </c>
      <c r="B10" s="224" t="s">
        <v>1479</v>
      </c>
      <c r="C10" s="225">
        <f ca="1">ROUND(D10*E10/10000,0)</f>
        <v>722</v>
      </c>
      <c r="D10" s="845">
        <f ca="1">IF(B1="",'数据-汇总表'!E6,IF(INDIRECT("'数据-取费表'!c"&amp;$G$1)="住宅",INDIRECT("'数据-取费表'!s"&amp;$G$1),INDIRECT("'数据-取费表'!k"&amp;$G$1)+INDIRECT("'数据-取费表'!s"&amp;$G$1)))</f>
        <v>42480.27</v>
      </c>
      <c r="E10" s="225">
        <f>'数据-取费表'!B28</f>
        <v>170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57457.869999999995</v>
      </c>
      <c r="E19" s="211">
        <f>'数据-取费表'!B31</f>
        <v>200</v>
      </c>
      <c r="F19" s="231"/>
      <c r="G19" s="1855" t="s">
        <v>3445</v>
      </c>
    </row>
    <row r="20" spans="1:7" s="214" customFormat="1" ht="13.5" customHeight="1">
      <c r="A20" s="255" t="s">
        <v>1492</v>
      </c>
      <c r="B20" s="210" t="s">
        <v>1493</v>
      </c>
      <c r="C20" s="232">
        <f ca="1">ROUND((C5+C19)*F20,0)</f>
        <v>832</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5394</v>
      </c>
      <c r="D22" s="235">
        <f ca="1">C26</f>
        <v>1.1999999999999999E-3</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5342</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52</v>
      </c>
      <c r="D25" s="238"/>
      <c r="E25" s="241"/>
      <c r="F25" s="239"/>
      <c r="G25" s="242" t="s">
        <v>1509</v>
      </c>
    </row>
    <row r="26" spans="1:7" s="214" customFormat="1">
      <c r="A26" s="780" t="s">
        <v>350</v>
      </c>
      <c r="B26" s="215" t="s">
        <v>1510</v>
      </c>
      <c r="C26" s="238">
        <f ca="1">ROUND(IF('数据-取费表'!B22&lt;=1,F21*F22*'数据-取费表'!B23/2,F21*(POWER((1+F22),'数据-取费表'!B23/2)-1)),4)</f>
        <v>1.1999999999999999E-3</v>
      </c>
      <c r="D26" s="238"/>
      <c r="E26" s="241"/>
      <c r="F26" s="239"/>
      <c r="G26" s="243"/>
    </row>
    <row r="27" spans="1:7" s="214" customFormat="1" ht="24.75">
      <c r="A27" s="255" t="s">
        <v>1511</v>
      </c>
      <c r="B27" s="244" t="s">
        <v>1512</v>
      </c>
      <c r="C27" s="245">
        <f ca="1">C28</f>
        <v>3782</v>
      </c>
      <c r="D27" s="235">
        <f ca="1">C29</f>
        <v>1.8E-3</v>
      </c>
      <c r="E27" s="236" t="s">
        <v>1513</v>
      </c>
      <c r="F27" s="246">
        <f ca="1">IF(B1="",'数据-取费表'!Q16,INDIRECT("'数据-取费表'!q"&amp;$G$1))</f>
        <v>0.09</v>
      </c>
      <c r="G27" s="247" t="s">
        <v>1514</v>
      </c>
    </row>
    <row r="28" spans="1:7" s="214" customFormat="1" ht="13.5" customHeight="1">
      <c r="A28" s="780" t="s">
        <v>346</v>
      </c>
      <c r="B28" s="248" t="s">
        <v>1515</v>
      </c>
      <c r="C28" s="249">
        <f ca="1">ROUND((C5+C19+C20)*F27*'数据-取费表'!B21/'数据-取费表'!B20,0)</f>
        <v>3782</v>
      </c>
      <c r="D28" s="235"/>
      <c r="E28" s="236"/>
      <c r="F28" s="246"/>
      <c r="G28" s="247"/>
    </row>
    <row r="29" spans="1:7" s="214" customFormat="1" ht="13.5" customHeight="1">
      <c r="A29" s="780" t="s">
        <v>347</v>
      </c>
      <c r="B29" s="248" t="s">
        <v>1516</v>
      </c>
      <c r="C29" s="238">
        <f ca="1">ROUND(C21*F27*'数据-取费表'!B21/'数据-取费表'!B20,4)</f>
        <v>1.8E-3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55836</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28917</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26214</v>
      </c>
      <c r="D34" s="217"/>
      <c r="E34" s="220"/>
      <c r="F34" s="257">
        <f ca="1">IF('数据-取费表'!B24=0,1,IF(B1="",'数据-取费表'!N16,INDIRECT("'数据-取费表'!n"&amp;$G$1)))</f>
        <v>0.99</v>
      </c>
      <c r="G34" s="219" t="s">
        <v>1525</v>
      </c>
    </row>
    <row r="35" spans="1:7" ht="13.5" customHeight="1">
      <c r="A35" s="780" t="s">
        <v>351</v>
      </c>
      <c r="B35" s="215" t="s">
        <v>1526</v>
      </c>
      <c r="C35" s="220">
        <f ca="1">ROUND(C34*F35,0)</f>
        <v>786</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386</v>
      </c>
      <c r="D36" s="220"/>
      <c r="E36" s="220"/>
      <c r="F36" s="259">
        <f>'数据-取费表'!B34</f>
        <v>0.05</v>
      </c>
      <c r="G36" s="260" t="s">
        <v>1529</v>
      </c>
    </row>
    <row r="37" spans="1:7" s="258" customFormat="1" ht="13.5" customHeight="1">
      <c r="A37" s="780" t="s">
        <v>353</v>
      </c>
      <c r="B37" s="215" t="s">
        <v>1530</v>
      </c>
      <c r="C37" s="249">
        <f ca="1">ROUND(E37*D37*F34/10000,0)</f>
        <v>1138</v>
      </c>
      <c r="D37" s="217">
        <f ca="1">D19</f>
        <v>57457.869999999995</v>
      </c>
      <c r="E37" s="249">
        <f>'数据-取费表'!B35</f>
        <v>200</v>
      </c>
      <c r="F37" s="259"/>
      <c r="G37" s="261" t="s">
        <v>1531</v>
      </c>
    </row>
    <row r="38" spans="1:7" ht="13.5" customHeight="1">
      <c r="A38" s="780" t="s">
        <v>354</v>
      </c>
      <c r="B38" s="215" t="s">
        <v>1532</v>
      </c>
      <c r="C38" s="220">
        <f ca="1">ROUND(C34*F38,0)</f>
        <v>393</v>
      </c>
      <c r="D38" s="220"/>
      <c r="E38" s="220"/>
      <c r="F38" s="259">
        <f>'数据-取费表'!B36</f>
        <v>1.4999999999999999E-2</v>
      </c>
      <c r="G38" s="219" t="s">
        <v>1527</v>
      </c>
    </row>
    <row r="39" spans="1:7" s="214" customFormat="1" ht="13.5" customHeight="1">
      <c r="A39" s="255" t="s">
        <v>1533</v>
      </c>
      <c r="B39" s="210" t="s">
        <v>1534</v>
      </c>
      <c r="C39" s="232">
        <f ca="1">ROUND(C33*F20,0)</f>
        <v>578</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1836</v>
      </c>
      <c r="D41" s="235">
        <f ca="1">C44</f>
        <v>1.1999999999999999E-3</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1800</v>
      </c>
      <c r="D42" s="238"/>
      <c r="E42" s="238"/>
      <c r="F42" s="239"/>
      <c r="G42" s="3677" t="s">
        <v>1543</v>
      </c>
    </row>
    <row r="43" spans="1:7" ht="13.5" customHeight="1">
      <c r="A43" s="780" t="s">
        <v>347</v>
      </c>
      <c r="B43" s="215" t="s">
        <v>1544</v>
      </c>
      <c r="C43" s="238">
        <f ca="1">ROUND(IF('数据-取费表'!B22&lt;=1,C39*F22*'数据-取费表'!B21/2,C39*(POWER((1+F22),'数据-取费表'!B21/2)-1)),0)</f>
        <v>36</v>
      </c>
      <c r="D43" s="238"/>
      <c r="E43" s="238"/>
      <c r="F43" s="239"/>
      <c r="G43" s="3678"/>
    </row>
    <row r="44" spans="1:7" ht="13.5" customHeight="1">
      <c r="A44" s="780" t="s">
        <v>348</v>
      </c>
      <c r="B44" s="215" t="s">
        <v>1545</v>
      </c>
      <c r="C44" s="238">
        <f ca="1">ROUND(IF('数据-取费表'!B22&lt;=1,C40*F22*'数据-取费表'!B21/2,C40*(POWER((1+F22),'数据-取费表'!B21/2)-1)),4)</f>
        <v>1.1999999999999999E-3</v>
      </c>
      <c r="D44" s="238"/>
      <c r="E44" s="238"/>
      <c r="F44" s="239"/>
      <c r="G44" s="3679"/>
    </row>
    <row r="45" spans="1:7" s="214" customFormat="1" ht="13.5" customHeight="1">
      <c r="A45" s="255" t="s">
        <v>1546</v>
      </c>
      <c r="B45" s="244" t="s">
        <v>1512</v>
      </c>
      <c r="C45" s="245">
        <f ca="1">C46</f>
        <v>2655</v>
      </c>
      <c r="D45" s="235">
        <f ca="1">C47</f>
        <v>1.8E-3</v>
      </c>
      <c r="E45" s="236" t="s">
        <v>1538</v>
      </c>
      <c r="F45" s="246">
        <f ca="1">F27</f>
        <v>0.09</v>
      </c>
      <c r="G45" s="247" t="s">
        <v>1547</v>
      </c>
    </row>
    <row r="46" spans="1:7" s="214" customFormat="1" ht="13.5" customHeight="1">
      <c r="A46" s="780" t="s">
        <v>346</v>
      </c>
      <c r="B46" s="248" t="s">
        <v>1548</v>
      </c>
      <c r="C46" s="249">
        <f ca="1">ROUND((C33+C39)*F27,0)</f>
        <v>2655</v>
      </c>
      <c r="D46" s="263"/>
      <c r="E46" s="236"/>
      <c r="F46" s="246"/>
      <c r="G46" s="247"/>
    </row>
    <row r="47" spans="1:7" s="214" customFormat="1" ht="13.5" customHeight="1">
      <c r="A47" s="780" t="s">
        <v>347</v>
      </c>
      <c r="B47" s="248" t="s">
        <v>1549</v>
      </c>
      <c r="C47" s="238">
        <f ca="1">ROUND(C40*F27,4)</f>
        <v>1.8E-3</v>
      </c>
      <c r="D47" s="263"/>
      <c r="E47" s="236"/>
      <c r="F47" s="246"/>
      <c r="G47" s="247"/>
    </row>
    <row r="48" spans="1:7" s="214" customFormat="1" ht="13.5" customHeight="1">
      <c r="A48" s="255" t="s">
        <v>1511</v>
      </c>
      <c r="B48" s="210" t="s">
        <v>1550</v>
      </c>
      <c r="C48" s="1326">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36758</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36758</v>
      </c>
      <c r="D51" s="232"/>
      <c r="E51" s="232"/>
      <c r="F51" s="264"/>
      <c r="G51" s="234" t="s">
        <v>1559</v>
      </c>
    </row>
    <row r="52" spans="1:7" s="208" customFormat="1" ht="16.5" thickBot="1">
      <c r="A52" s="265" t="s">
        <v>1560</v>
      </c>
      <c r="B52" s="266"/>
      <c r="C52" s="267">
        <f ca="1">C31+C51</f>
        <v>92594</v>
      </c>
      <c r="D52" s="266"/>
      <c r="E52" s="266"/>
      <c r="F52" s="266"/>
      <c r="G52" s="268"/>
    </row>
    <row r="55" spans="1:7" ht="15">
      <c r="B55" s="270" t="s">
        <v>1561</v>
      </c>
      <c r="C55" s="271"/>
    </row>
    <row r="56" spans="1:7">
      <c r="B56" s="273" t="s">
        <v>802</v>
      </c>
      <c r="C56" s="275">
        <f ca="1">1-C57</f>
        <v>0.60299999999999998</v>
      </c>
    </row>
    <row r="57" spans="1:7">
      <c r="B57" s="273" t="s">
        <v>803</v>
      </c>
      <c r="C57" s="274">
        <f ca="1">ROUND(C51/C52,3)</f>
        <v>0.39700000000000002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8" t="s">
        <v>1562</v>
      </c>
      <c r="D1" s="198"/>
      <c r="E1" s="198"/>
      <c r="F1" s="198"/>
      <c r="G1" s="1126">
        <f>MATCH(B1,'数据-取费表'!A6:A16,0)+5</f>
        <v>9</v>
      </c>
      <c r="H1" s="1061" t="str">
        <f>IF(ISERROR(FIND("住宅",B1)),"非住宅","住宅")</f>
        <v>非住宅</v>
      </c>
    </row>
    <row r="2" spans="1:8" s="200" customFormat="1" ht="18" customHeight="1">
      <c r="A2" s="201" t="s">
        <v>1461</v>
      </c>
      <c r="B2" s="3418">
        <f ca="1">ROUND(IF(D2="——",C52/10000,C52/10000-E2),4)</f>
        <v>39951.9185</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6953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9318510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9318510</v>
      </c>
      <c r="D8" s="222"/>
      <c r="E8" s="220"/>
      <c r="F8" s="221"/>
      <c r="G8" s="1855"/>
    </row>
    <row r="9" spans="1:8" s="214" customFormat="1" ht="13.5" customHeight="1">
      <c r="A9" s="779" t="s">
        <v>355</v>
      </c>
      <c r="B9" s="224" t="s">
        <v>1477</v>
      </c>
      <c r="C9" s="225">
        <f ca="1">ROUND(D9*E9,0)</f>
        <v>2096864</v>
      </c>
      <c r="D9" s="845">
        <f ca="1">IF(B1="",'数据-汇总表'!E5,IF(INDIRECT("'数据-取费表'!c"&amp;$G$1)="住宅",INDIRECT("'数据-取费表'!k"&amp;$G$1),0))</f>
        <v>14977.599999999997</v>
      </c>
      <c r="E9" s="225">
        <f>'数据-取费表'!B27</f>
        <v>140</v>
      </c>
      <c r="F9" s="221"/>
      <c r="G9" s="226"/>
    </row>
    <row r="10" spans="1:8" s="214" customFormat="1" ht="13.5" customHeight="1">
      <c r="A10" s="779" t="s">
        <v>356</v>
      </c>
      <c r="B10" s="224" t="s">
        <v>1479</v>
      </c>
      <c r="C10" s="225">
        <f ca="1">ROUND(D10*E10,0)</f>
        <v>7221646</v>
      </c>
      <c r="D10" s="845">
        <f ca="1">IF(B1="",'数据-汇总表'!E6,IF(INDIRECT("'数据-取费表'!c"&amp;$G$1)="住宅",INDIRECT("'数据-取费表'!s"&amp;$G$1),INDIRECT("'数据-取费表'!k"&amp;$G$1)+INDIRECT("'数据-取费表'!s"&amp;$G$1)))</f>
        <v>42480.27</v>
      </c>
      <c r="E10" s="225">
        <f>'数据-取费表'!B28</f>
        <v>170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11491574</v>
      </c>
      <c r="D19" s="849">
        <f ca="1">D9+D10</f>
        <v>57457.869999999995</v>
      </c>
      <c r="E19" s="211">
        <f>'数据-取费表'!B31</f>
        <v>200</v>
      </c>
      <c r="F19" s="231"/>
      <c r="G19" s="1855"/>
    </row>
    <row r="20" spans="1:7" s="214" customFormat="1" ht="13.5" customHeight="1">
      <c r="A20" s="255" t="s">
        <v>1573</v>
      </c>
      <c r="B20" s="210" t="s">
        <v>1574</v>
      </c>
      <c r="C20" s="232">
        <f ca="1">ROUND((C5+C19)*F20,0)</f>
        <v>416202</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2726039</v>
      </c>
      <c r="D22" s="235">
        <f ca="1">C26</f>
        <v>1.2999999999999999E-3</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1208967</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1490896</v>
      </c>
      <c r="D24" s="238"/>
      <c r="E24" s="238"/>
      <c r="F24" s="239"/>
      <c r="G24" s="240" t="s">
        <v>1585</v>
      </c>
    </row>
    <row r="25" spans="1:7" s="214" customFormat="1" ht="24">
      <c r="A25" s="780" t="s">
        <v>1475</v>
      </c>
      <c r="B25" s="215" t="s">
        <v>1586</v>
      </c>
      <c r="C25" s="1128">
        <f ca="1">ROUND(IF('数据-取费表'!B22&lt;=1,C20*F22*'数据-取费表'!B22/2,C20*(POWER((1+F22),'数据-取费表'!B22/2)-1)),0)</f>
        <v>26176</v>
      </c>
      <c r="D25" s="238"/>
      <c r="E25" s="241"/>
      <c r="F25" s="239"/>
      <c r="G25" s="242" t="s">
        <v>1587</v>
      </c>
    </row>
    <row r="26" spans="1:7" s="214" customFormat="1">
      <c r="A26" s="780" t="s">
        <v>350</v>
      </c>
      <c r="B26" s="215" t="s">
        <v>1510</v>
      </c>
      <c r="C26" s="238">
        <f ca="1">ROUND(IF('数据-取费表'!B22&lt;=1,F21*F22*'数据-取费表'!B22/2,F21*(POWER((1+F22),'数据-取费表'!B22/2)-1)),4)</f>
        <v>1.2999999999999999E-3</v>
      </c>
      <c r="D26" s="238"/>
      <c r="E26" s="241"/>
      <c r="F26" s="239"/>
      <c r="G26" s="243"/>
    </row>
    <row r="27" spans="1:7" s="214" customFormat="1" ht="24.75">
      <c r="A27" s="255" t="s">
        <v>1511</v>
      </c>
      <c r="B27" s="244" t="s">
        <v>1512</v>
      </c>
      <c r="C27" s="245">
        <f ca="1">C28</f>
        <v>1910366</v>
      </c>
      <c r="D27" s="235">
        <f ca="1">C29</f>
        <v>1.8E-3</v>
      </c>
      <c r="E27" s="236" t="s">
        <v>1513</v>
      </c>
      <c r="F27" s="246">
        <f ca="1">IF(B1="",'数据-取费表'!Q16,INDIRECT("'数据-取费表'!q"&amp;$G$1))</f>
        <v>0.09</v>
      </c>
      <c r="G27" s="247" t="s">
        <v>1514</v>
      </c>
    </row>
    <row r="28" spans="1:7" s="214" customFormat="1" ht="13.5" customHeight="1">
      <c r="A28" s="780" t="s">
        <v>346</v>
      </c>
      <c r="B28" s="248" t="s">
        <v>1515</v>
      </c>
      <c r="C28" s="249">
        <f ca="1">ROUND((C5+C19+C20)*F27,0)</f>
        <v>1910366</v>
      </c>
      <c r="D28" s="235"/>
      <c r="E28" s="236"/>
      <c r="F28" s="246"/>
      <c r="G28" s="247"/>
    </row>
    <row r="29" spans="1:7" s="214" customFormat="1" ht="13.5" customHeight="1">
      <c r="A29" s="780" t="s">
        <v>347</v>
      </c>
      <c r="B29" s="248" t="s">
        <v>1516</v>
      </c>
      <c r="C29" s="238">
        <f ca="1">ROUND(C21*F27,4)</f>
        <v>1.8E-3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27974787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292098310</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264796708</v>
      </c>
      <c r="D34" s="217"/>
      <c r="E34" s="220"/>
      <c r="F34" s="257"/>
      <c r="G34" s="219"/>
    </row>
    <row r="35" spans="1:7" ht="13.5" customHeight="1">
      <c r="A35" s="780" t="s">
        <v>351</v>
      </c>
      <c r="B35" s="215" t="s">
        <v>1526</v>
      </c>
      <c r="C35" s="220">
        <f ca="1">ROUND(C34*F35,0)</f>
        <v>7943901</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3894176</v>
      </c>
      <c r="D36" s="220"/>
      <c r="E36" s="220"/>
      <c r="F36" s="259">
        <f>'数据-取费表'!B34</f>
        <v>0.05</v>
      </c>
      <c r="G36" s="260" t="s">
        <v>1529</v>
      </c>
    </row>
    <row r="37" spans="1:7" s="258" customFormat="1" ht="13.5" customHeight="1">
      <c r="A37" s="780" t="s">
        <v>353</v>
      </c>
      <c r="B37" s="215" t="s">
        <v>1530</v>
      </c>
      <c r="C37" s="249">
        <f ca="1">ROUND(E37*D37,0)</f>
        <v>11491574</v>
      </c>
      <c r="D37" s="217">
        <f ca="1">D19</f>
        <v>57457.869999999995</v>
      </c>
      <c r="E37" s="249">
        <f>'数据-取费表'!B35</f>
        <v>200</v>
      </c>
      <c r="F37" s="259"/>
      <c r="G37" s="261"/>
    </row>
    <row r="38" spans="1:7" ht="13.5" customHeight="1">
      <c r="A38" s="780" t="s">
        <v>354</v>
      </c>
      <c r="B38" s="215" t="s">
        <v>1532</v>
      </c>
      <c r="C38" s="220">
        <f ca="1">ROUND(C34*F38,0)</f>
        <v>3971951</v>
      </c>
      <c r="D38" s="220"/>
      <c r="E38" s="220"/>
      <c r="F38" s="259">
        <f>'数据-取费表'!B36</f>
        <v>1.4999999999999999E-2</v>
      </c>
      <c r="G38" s="219" t="s">
        <v>1527</v>
      </c>
    </row>
    <row r="39" spans="1:7" s="214" customFormat="1" ht="13.5" customHeight="1">
      <c r="A39" s="255" t="s">
        <v>1533</v>
      </c>
      <c r="B39" s="210" t="s">
        <v>1534</v>
      </c>
      <c r="C39" s="232">
        <f ca="1">ROUND(C33*F20,0)</f>
        <v>5841966</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18737895</v>
      </c>
      <c r="D41" s="235">
        <f ca="1">C44</f>
        <v>1.2999999999999999E-3</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18370485</v>
      </c>
      <c r="D42" s="238"/>
      <c r="E42" s="238"/>
      <c r="F42" s="239"/>
      <c r="G42" s="3677" t="s">
        <v>1590</v>
      </c>
    </row>
    <row r="43" spans="1:7" ht="13.5" customHeight="1">
      <c r="A43" s="780" t="s">
        <v>347</v>
      </c>
      <c r="B43" s="215" t="s">
        <v>1544</v>
      </c>
      <c r="C43" s="238">
        <f ca="1">ROUND(IF('数据-取费表'!B22&lt;=1,C39*F22*'数据-取费表'!B20/2,C39*(POWER((1+F22),'数据-取费表'!B20/2)-1)),0)</f>
        <v>367410</v>
      </c>
      <c r="D43" s="238"/>
      <c r="E43" s="238"/>
      <c r="F43" s="239"/>
      <c r="G43" s="3678"/>
    </row>
    <row r="44" spans="1:7" ht="13.5" customHeight="1">
      <c r="A44" s="780" t="s">
        <v>348</v>
      </c>
      <c r="B44" s="215" t="s">
        <v>1545</v>
      </c>
      <c r="C44" s="238">
        <f ca="1">ROUND(IF('数据-取费表'!B22&lt;=1,C40*F22*'数据-取费表'!B20/2,C40*(POWER((1+F22),'数据-取费表'!B20/2)-1)),4)</f>
        <v>1.2999999999999999E-3</v>
      </c>
      <c r="D44" s="238"/>
      <c r="E44" s="238"/>
      <c r="F44" s="239"/>
      <c r="G44" s="3679"/>
    </row>
    <row r="45" spans="1:7" s="214" customFormat="1" ht="13.5" customHeight="1">
      <c r="A45" s="255" t="s">
        <v>1546</v>
      </c>
      <c r="B45" s="244" t="s">
        <v>1512</v>
      </c>
      <c r="C45" s="245">
        <f ca="1">C46</f>
        <v>26814625</v>
      </c>
      <c r="D45" s="235">
        <f ca="1">C47</f>
        <v>1.8E-3</v>
      </c>
      <c r="E45" s="236" t="s">
        <v>1538</v>
      </c>
      <c r="F45" s="246">
        <f ca="1">F27</f>
        <v>0.09</v>
      </c>
      <c r="G45" s="247" t="s">
        <v>1547</v>
      </c>
    </row>
    <row r="46" spans="1:7" s="214" customFormat="1" ht="13.5" customHeight="1">
      <c r="A46" s="780" t="s">
        <v>346</v>
      </c>
      <c r="B46" s="248" t="s">
        <v>1548</v>
      </c>
      <c r="C46" s="249">
        <f ca="1">ROUND((C33+C39)*F27,0)</f>
        <v>26814625</v>
      </c>
      <c r="D46" s="263"/>
      <c r="E46" s="236"/>
      <c r="F46" s="246"/>
      <c r="G46" s="247"/>
    </row>
    <row r="47" spans="1:7" s="214" customFormat="1" ht="13.5" customHeight="1">
      <c r="A47" s="780" t="s">
        <v>347</v>
      </c>
      <c r="B47" s="248" t="s">
        <v>1549</v>
      </c>
      <c r="C47" s="238">
        <f ca="1">ROUND(C40*F27,4)</f>
        <v>1.8E-3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371544398</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371544398</v>
      </c>
      <c r="D51" s="232"/>
      <c r="E51" s="232"/>
      <c r="F51" s="264"/>
      <c r="G51" s="234" t="s">
        <v>1559</v>
      </c>
    </row>
    <row r="52" spans="1:7" s="208" customFormat="1" ht="16.5" thickBot="1">
      <c r="A52" s="265" t="s">
        <v>1560</v>
      </c>
      <c r="B52" s="266"/>
      <c r="C52" s="267">
        <f ca="1">C31+C51</f>
        <v>399519185</v>
      </c>
      <c r="D52" s="266"/>
      <c r="E52" s="266"/>
      <c r="F52" s="266"/>
      <c r="G52" s="268"/>
    </row>
    <row r="55" spans="1:7" ht="15">
      <c r="B55" s="270" t="s">
        <v>1561</v>
      </c>
      <c r="C55" s="271"/>
    </row>
    <row r="56" spans="1:7">
      <c r="B56" s="273" t="s">
        <v>802</v>
      </c>
      <c r="C56" s="275">
        <f ca="1">1-C57</f>
        <v>6.9999999999999951E-2</v>
      </c>
    </row>
    <row r="57" spans="1:7">
      <c r="B57" s="273" t="s">
        <v>803</v>
      </c>
      <c r="C57" s="274">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B1" zoomScale="85" zoomScaleNormal="60" zoomScaleSheetLayoutView="85" workbookViewId="0">
      <selection activeCell="B2" sqref="B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f>F65</f>
        <v>39482</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1463</v>
      </c>
      <c r="B3" s="558">
        <f>ROUND(IF(D3="",B2*10000/'数据-汇总表'!E3,B2*10000/D3),0)</f>
        <v>6871</v>
      </c>
      <c r="C3" s="203" t="s">
        <v>1868</v>
      </c>
      <c r="D3" s="1192"/>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1768</v>
      </c>
      <c r="B4" s="356"/>
      <c r="C4" s="3724" t="s">
        <v>1769</v>
      </c>
      <c r="D4" s="3725"/>
      <c r="E4" s="3726" t="s">
        <v>1770</v>
      </c>
      <c r="F4" s="3727"/>
      <c r="G4" s="3724" t="s">
        <v>1771</v>
      </c>
      <c r="H4" s="3725"/>
      <c r="I4" s="3724" t="s">
        <v>1772</v>
      </c>
      <c r="J4" s="3725"/>
      <c r="K4" s="559" t="s">
        <v>1773</v>
      </c>
      <c r="L4" s="2709"/>
      <c r="M4" s="2710"/>
      <c r="N4" s="2710"/>
      <c r="O4" s="2710"/>
      <c r="P4" s="3728" t="s">
        <v>1774</v>
      </c>
      <c r="Q4" s="3729"/>
      <c r="R4" s="3711" t="s">
        <v>1770</v>
      </c>
      <c r="S4" s="3712"/>
      <c r="T4" s="3711" t="s">
        <v>1771</v>
      </c>
      <c r="U4" s="3712"/>
      <c r="V4" s="3736" t="s">
        <v>1772</v>
      </c>
      <c r="W4" s="3736"/>
      <c r="X4" s="1354"/>
      <c r="Y4" s="3711" t="s">
        <v>1774</v>
      </c>
      <c r="Z4" s="3712"/>
      <c r="AA4" s="3706" t="s">
        <v>1770</v>
      </c>
      <c r="AB4" s="3707" t="s">
        <v>1771</v>
      </c>
      <c r="AC4" s="3706" t="s">
        <v>1772</v>
      </c>
    </row>
    <row r="5" spans="1:30" ht="63" customHeight="1">
      <c r="A5" s="358"/>
      <c r="B5" s="359"/>
      <c r="C5" s="3717" t="s">
        <v>1672</v>
      </c>
      <c r="D5" s="3718"/>
      <c r="E5" s="3715" t="str">
        <f>土地案例!A9</f>
        <v>北京城市副中心0302街区FZX-0302-6004、6002地块F1住宅混合公建用地、A334托幼用地</v>
      </c>
      <c r="F5" s="3716"/>
      <c r="G5" s="3717" t="str">
        <f>土地案例!A11</f>
        <v>北京市通州区台湖镇亦庄新城站前区YZ00-0401-0056、YZ00-0401-L0055-02地块R2二类居住用地、A334托幼用地</v>
      </c>
      <c r="H5" s="3718"/>
      <c r="I5" s="3717" t="str">
        <f>土地案例!A12</f>
        <v>北京市通州区马驹桥镇亦庄新城0500街区YZ00-0500-6007等地块R2二类居住用地、A334托幼用地</v>
      </c>
      <c r="J5" s="3718"/>
      <c r="K5" s="559"/>
      <c r="L5" s="2709"/>
      <c r="M5" s="2710"/>
      <c r="N5" s="2710"/>
      <c r="O5" s="2710"/>
      <c r="P5" s="3730"/>
      <c r="Q5" s="3731"/>
      <c r="R5" s="3713"/>
      <c r="S5" s="3714"/>
      <c r="T5" s="3713"/>
      <c r="U5" s="3714"/>
      <c r="V5" s="3736"/>
      <c r="W5" s="3736"/>
      <c r="X5" s="1354"/>
      <c r="Y5" s="3713"/>
      <c r="Z5" s="3714"/>
      <c r="AA5" s="3707"/>
      <c r="AB5" s="3707"/>
      <c r="AC5" s="3707"/>
    </row>
    <row r="6" spans="1:30" ht="15.75" thickBot="1">
      <c r="A6" s="360"/>
      <c r="B6" s="361"/>
      <c r="C6" s="3719" t="s">
        <v>1676</v>
      </c>
      <c r="D6" s="3720"/>
      <c r="E6" s="3721" t="s">
        <v>1676</v>
      </c>
      <c r="F6" s="3722"/>
      <c r="G6" s="3719" t="s">
        <v>1676</v>
      </c>
      <c r="H6" s="3720"/>
      <c r="I6" s="3719" t="s">
        <v>1676</v>
      </c>
      <c r="J6" s="3720"/>
      <c r="K6" s="559" t="s">
        <v>1677</v>
      </c>
      <c r="L6" s="2709"/>
      <c r="M6" s="2710"/>
      <c r="N6" s="2710"/>
      <c r="O6" s="2710"/>
      <c r="P6" s="3732"/>
      <c r="Q6" s="3733"/>
      <c r="R6" s="3713"/>
      <c r="S6" s="3714"/>
      <c r="T6" s="3734"/>
      <c r="U6" s="3735"/>
      <c r="V6" s="3736"/>
      <c r="W6" s="3736"/>
      <c r="X6" s="1354"/>
      <c r="Y6" s="3734"/>
      <c r="Z6" s="3735"/>
      <c r="AA6" s="3708"/>
      <c r="AB6" s="3708"/>
      <c r="AC6" s="3708"/>
    </row>
    <row r="7" spans="1:30" s="108" customFormat="1" ht="15.75" thickBot="1">
      <c r="A7" s="362" t="s">
        <v>1678</v>
      </c>
      <c r="B7" s="363"/>
      <c r="C7" s="364">
        <f>'数据-取费表'!B2</f>
        <v>45035</v>
      </c>
      <c r="D7" s="365">
        <v>100</v>
      </c>
      <c r="E7" s="366">
        <f>土地案例!L9</f>
        <v>44343.000497685185</v>
      </c>
      <c r="F7" s="367">
        <f>SUMIF(69:69,YEAR(E7)&amp;"-"&amp;INT((MONTH(E7)+2)/3),70:70)</f>
        <v>96</v>
      </c>
      <c r="G7" s="1970">
        <f>土地案例!L11</f>
        <v>43879.000497685185</v>
      </c>
      <c r="H7" s="365">
        <f>SUMIF(69:69,YEAR(G7)&amp;"-"&amp;INT((MONTH(G7)+2)/3),70:70)</f>
        <v>93.5</v>
      </c>
      <c r="I7" s="1970">
        <f>土地案例!L12</f>
        <v>43872.000497685185</v>
      </c>
      <c r="J7" s="365">
        <f>SUMIF(69:69,YEAR(I7)&amp;"-"&amp;INT((MONTH(I7)+2)/3),70:70)</f>
        <v>93.5</v>
      </c>
      <c r="K7" s="560"/>
      <c r="L7" s="2711"/>
      <c r="M7" s="2712"/>
      <c r="N7" s="2712"/>
      <c r="O7" s="2712"/>
      <c r="P7" s="3709" t="s">
        <v>1679</v>
      </c>
      <c r="Q7" s="3737"/>
      <c r="R7" s="701" t="s">
        <v>14</v>
      </c>
      <c r="S7" s="702">
        <f t="shared" ref="S7:S15" si="0">F7</f>
        <v>96</v>
      </c>
      <c r="T7" s="701" t="s">
        <v>14</v>
      </c>
      <c r="U7" s="702">
        <f t="shared" ref="U7:U15" si="1">H7</f>
        <v>93.5</v>
      </c>
      <c r="V7" s="701" t="s">
        <v>14</v>
      </c>
      <c r="W7" s="702">
        <f t="shared" ref="W7:W15" si="2">J7</f>
        <v>93.5</v>
      </c>
      <c r="X7" s="703"/>
      <c r="Y7" s="3709" t="s">
        <v>1679</v>
      </c>
      <c r="Z7" s="3710"/>
      <c r="AA7" s="704">
        <f>D7/F7</f>
        <v>1.0416666666666667</v>
      </c>
      <c r="AB7" s="704">
        <f>D7/H7</f>
        <v>1.0695187165775402</v>
      </c>
      <c r="AC7" s="704">
        <f>D7/J7</f>
        <v>1.0695187165775402</v>
      </c>
    </row>
    <row r="8" spans="1:30" s="108" customFormat="1" ht="15.75" thickBot="1">
      <c r="A8" s="362" t="s">
        <v>1680</v>
      </c>
      <c r="B8" s="363"/>
      <c r="C8" s="368" t="s">
        <v>1681</v>
      </c>
      <c r="D8" s="365">
        <v>100</v>
      </c>
      <c r="E8" s="368" t="s">
        <v>1681</v>
      </c>
      <c r="F8" s="367">
        <f>SUMIF(72:72,E8,73:73)-SUMIF(72:72,C8,73:73)+100</f>
        <v>100</v>
      </c>
      <c r="G8" s="368" t="s">
        <v>1681</v>
      </c>
      <c r="H8" s="365">
        <f>SUMIF(72:72,G8,73:73)-SUMIF(72:72,C8,73:73)+100</f>
        <v>100</v>
      </c>
      <c r="I8" s="368" t="s">
        <v>1681</v>
      </c>
      <c r="J8" s="365">
        <f>SUMIF(72:72,I8,73:73)-SUMIF(72:72,C8,73:73)+100</f>
        <v>100</v>
      </c>
      <c r="K8" s="560"/>
      <c r="L8" s="2711"/>
      <c r="M8" s="2712"/>
      <c r="N8" s="2712"/>
      <c r="O8" s="2712"/>
      <c r="P8" s="3709" t="s">
        <v>1682</v>
      </c>
      <c r="Q8" s="3710"/>
      <c r="R8" s="701" t="s">
        <v>14</v>
      </c>
      <c r="S8" s="702">
        <f t="shared" si="0"/>
        <v>100</v>
      </c>
      <c r="T8" s="701" t="s">
        <v>14</v>
      </c>
      <c r="U8" s="702">
        <f t="shared" si="1"/>
        <v>100</v>
      </c>
      <c r="V8" s="701" t="s">
        <v>14</v>
      </c>
      <c r="W8" s="702">
        <f t="shared" si="2"/>
        <v>100</v>
      </c>
      <c r="X8" s="703"/>
      <c r="Y8" s="3709" t="s">
        <v>1682</v>
      </c>
      <c r="Z8" s="3710"/>
      <c r="AA8" s="704">
        <f t="shared" ref="AA8:AA45" si="3">D8/F8</f>
        <v>1</v>
      </c>
      <c r="AB8" s="704">
        <f t="shared" ref="AB8:AB45" si="4">D8/H8</f>
        <v>1</v>
      </c>
      <c r="AC8" s="704">
        <f t="shared" ref="AC8:AC45" si="5">D8/J8</f>
        <v>1</v>
      </c>
    </row>
    <row r="9" spans="1:30" s="108" customFormat="1" ht="15">
      <c r="A9" s="369" t="s">
        <v>1683</v>
      </c>
      <c r="B9" s="63" t="s">
        <v>1684</v>
      </c>
      <c r="C9" s="1973" t="s">
        <v>3386</v>
      </c>
      <c r="D9" s="126">
        <v>100</v>
      </c>
      <c r="E9" s="1973" t="s">
        <v>3386</v>
      </c>
      <c r="F9" s="126">
        <f>SUMIF(74:74,E9,75:75)-SUMIF(74:74,C9,75:75)+100</f>
        <v>100</v>
      </c>
      <c r="G9" s="1973" t="s">
        <v>3386</v>
      </c>
      <c r="H9" s="126">
        <f>SUMIF(74:74,G9,75:75)-SUMIF(74:74,C9,75:75)+100</f>
        <v>100</v>
      </c>
      <c r="I9" s="1973" t="s">
        <v>3386</v>
      </c>
      <c r="J9" s="126">
        <f>SUMIF(74:74,I9,75:75)-SUMIF(74:74,C9,75:75)+100</f>
        <v>100</v>
      </c>
      <c r="K9" s="560"/>
      <c r="L9" s="2711"/>
      <c r="M9" s="2712"/>
      <c r="N9" s="2712"/>
      <c r="O9" s="2766"/>
      <c r="P9" s="3741" t="s">
        <v>1685</v>
      </c>
      <c r="Q9" s="1342" t="str">
        <f t="shared" ref="Q9:Q15" si="6">B9</f>
        <v>用途</v>
      </c>
      <c r="R9" s="701" t="s">
        <v>14</v>
      </c>
      <c r="S9" s="702">
        <f t="shared" si="0"/>
        <v>100</v>
      </c>
      <c r="T9" s="701" t="s">
        <v>14</v>
      </c>
      <c r="U9" s="702">
        <f t="shared" si="1"/>
        <v>100</v>
      </c>
      <c r="V9" s="701" t="s">
        <v>14</v>
      </c>
      <c r="W9" s="702">
        <f t="shared" si="2"/>
        <v>100</v>
      </c>
      <c r="X9" s="703"/>
      <c r="Y9" s="3653" t="s">
        <v>1686</v>
      </c>
      <c r="Z9" s="52" t="str">
        <f t="shared" ref="Z9:Z15" si="7">Q9</f>
        <v>用途</v>
      </c>
      <c r="AA9" s="704">
        <f t="shared" si="3"/>
        <v>1</v>
      </c>
      <c r="AB9" s="704">
        <f t="shared" si="4"/>
        <v>1</v>
      </c>
      <c r="AC9" s="704">
        <f t="shared" si="5"/>
        <v>1</v>
      </c>
    </row>
    <row r="10" spans="1:30" s="378" customFormat="1" ht="27">
      <c r="A10" s="374"/>
      <c r="B10" s="375" t="s">
        <v>1687</v>
      </c>
      <c r="C10" s="383">
        <f>项目基本情况!C15</f>
        <v>66.569999999999993</v>
      </c>
      <c r="D10" s="127">
        <v>100</v>
      </c>
      <c r="E10" s="416" t="s">
        <v>4685</v>
      </c>
      <c r="F10" s="127">
        <f>ROUND(100/'数据-取费表'!G16,0)</f>
        <v>102</v>
      </c>
      <c r="G10" s="414" t="s">
        <v>4685</v>
      </c>
      <c r="H10" s="127">
        <f>ROUND(100/'数据-取费表'!G16,0)</f>
        <v>102</v>
      </c>
      <c r="I10" s="414" t="s">
        <v>4685</v>
      </c>
      <c r="J10" s="127">
        <f>ROUND(100/'数据-取费表'!G16,0)</f>
        <v>102</v>
      </c>
      <c r="K10" s="620"/>
      <c r="L10" s="2713"/>
      <c r="M10" s="2714"/>
      <c r="N10" s="2714"/>
      <c r="O10" s="2767"/>
      <c r="P10" s="3741"/>
      <c r="Q10" s="1342" t="str">
        <f t="shared" si="6"/>
        <v>土地使用年限（年）</v>
      </c>
      <c r="R10" s="701" t="s">
        <v>14</v>
      </c>
      <c r="S10" s="702">
        <f t="shared" si="0"/>
        <v>102</v>
      </c>
      <c r="T10" s="701" t="s">
        <v>14</v>
      </c>
      <c r="U10" s="702">
        <f t="shared" si="1"/>
        <v>102</v>
      </c>
      <c r="V10" s="701" t="s">
        <v>14</v>
      </c>
      <c r="W10" s="702">
        <f t="shared" si="2"/>
        <v>102</v>
      </c>
      <c r="X10" s="703"/>
      <c r="Y10" s="3653"/>
      <c r="Z10" s="52" t="str">
        <f t="shared" si="7"/>
        <v>土地使用年限（年）</v>
      </c>
      <c r="AA10" s="704">
        <f t="shared" si="3"/>
        <v>0.98039215686274506</v>
      </c>
      <c r="AB10" s="704">
        <f t="shared" si="4"/>
        <v>0.98039215686274506</v>
      </c>
      <c r="AC10" s="704">
        <f t="shared" si="5"/>
        <v>0.98039215686274506</v>
      </c>
    </row>
    <row r="11" spans="1:30" ht="15">
      <c r="A11" s="379"/>
      <c r="B11" s="375" t="s">
        <v>1688</v>
      </c>
      <c r="C11" s="380">
        <f>'数据-汇总表'!I4</f>
        <v>2.21</v>
      </c>
      <c r="D11" s="127">
        <v>100</v>
      </c>
      <c r="E11" s="380">
        <v>2.4</v>
      </c>
      <c r="F11" s="127">
        <f>LOOKUP(E11,79:79,80:80)-LOOKUP(C11,79:79,80:80)+100</f>
        <v>100</v>
      </c>
      <c r="G11" s="381">
        <v>2</v>
      </c>
      <c r="H11" s="127">
        <f>LOOKUP(G11,79:79,80:80)-LOOKUP(C11,79:79,80:80)+100</f>
        <v>100</v>
      </c>
      <c r="I11" s="380">
        <v>2.4</v>
      </c>
      <c r="J11" s="127">
        <f>LOOKUP(I11,79:79,80:80)-LOOKUP(C11,79:79,80:80)+100</f>
        <v>100</v>
      </c>
      <c r="K11" s="621">
        <v>2</v>
      </c>
      <c r="L11" s="2715"/>
      <c r="M11" s="2710"/>
      <c r="N11" s="2710"/>
      <c r="O11" s="2768"/>
      <c r="P11" s="3741"/>
      <c r="Q11" s="1342" t="str">
        <f t="shared" si="6"/>
        <v>容积率</v>
      </c>
      <c r="R11" s="701" t="s">
        <v>14</v>
      </c>
      <c r="S11" s="702">
        <f t="shared" si="0"/>
        <v>100</v>
      </c>
      <c r="T11" s="701" t="s">
        <v>14</v>
      </c>
      <c r="U11" s="702">
        <f t="shared" si="1"/>
        <v>100</v>
      </c>
      <c r="V11" s="701" t="s">
        <v>14</v>
      </c>
      <c r="W11" s="702">
        <f t="shared" si="2"/>
        <v>100</v>
      </c>
      <c r="X11" s="703"/>
      <c r="Y11" s="3653"/>
      <c r="Z11" s="52" t="str">
        <f t="shared" si="7"/>
        <v>容积率</v>
      </c>
      <c r="AA11" s="704">
        <f t="shared" si="3"/>
        <v>1</v>
      </c>
      <c r="AB11" s="704">
        <f t="shared" si="4"/>
        <v>1</v>
      </c>
      <c r="AC11" s="704">
        <f t="shared" si="5"/>
        <v>1</v>
      </c>
    </row>
    <row r="12" spans="1:30" s="108" customFormat="1" ht="15">
      <c r="A12" s="382"/>
      <c r="B12" s="3856" t="s">
        <v>4688</v>
      </c>
      <c r="C12" s="3860" t="s">
        <v>4694</v>
      </c>
      <c r="D12" s="384">
        <v>100</v>
      </c>
      <c r="E12" s="3861" t="s">
        <v>4695</v>
      </c>
      <c r="F12" s="127">
        <f>SUMIF(81:81,E12,82:82)-SUMIF(81:81,C12,82:82)+100</f>
        <v>100</v>
      </c>
      <c r="G12" s="3862" t="s">
        <v>4696</v>
      </c>
      <c r="H12" s="127">
        <f>SUMIF(81:81,G12,82:82)-SUMIF(81:81,C12,82:82)+100</f>
        <v>95</v>
      </c>
      <c r="I12" s="3861" t="s">
        <v>4695</v>
      </c>
      <c r="J12" s="127">
        <f>SUMIF(81:81,I12,82:82)-SUMIF(81:81,C12,82:82)+100</f>
        <v>100</v>
      </c>
      <c r="K12" s="620"/>
      <c r="L12" s="2711"/>
      <c r="M12" s="2712"/>
      <c r="N12" s="2712"/>
      <c r="O12" s="2766"/>
      <c r="P12" s="3741"/>
      <c r="Q12" s="1342" t="str">
        <f t="shared" si="6"/>
        <v>是否有自持</v>
      </c>
      <c r="R12" s="701" t="s">
        <v>14</v>
      </c>
      <c r="S12" s="702">
        <f t="shared" si="0"/>
        <v>100</v>
      </c>
      <c r="T12" s="701" t="s">
        <v>14</v>
      </c>
      <c r="U12" s="702">
        <f t="shared" si="1"/>
        <v>95</v>
      </c>
      <c r="V12" s="701" t="s">
        <v>14</v>
      </c>
      <c r="W12" s="702">
        <f t="shared" si="2"/>
        <v>100</v>
      </c>
      <c r="X12" s="703"/>
      <c r="Y12" s="3653"/>
      <c r="Z12" s="52" t="str">
        <f t="shared" si="7"/>
        <v>是否有自持</v>
      </c>
      <c r="AA12" s="704">
        <f>D12/F12</f>
        <v>1</v>
      </c>
      <c r="AB12" s="704">
        <f>D12/H12</f>
        <v>1.0526315789473684</v>
      </c>
      <c r="AC12" s="704">
        <f>D12/J12</f>
        <v>1</v>
      </c>
    </row>
    <row r="13" spans="1:30" ht="28.5">
      <c r="A13" s="379"/>
      <c r="B13" s="3856" t="s">
        <v>4689</v>
      </c>
      <c r="C13" s="385" t="s">
        <v>4697</v>
      </c>
      <c r="D13" s="386">
        <v>100</v>
      </c>
      <c r="E13" s="498" t="s">
        <v>4698</v>
      </c>
      <c r="F13" s="127">
        <f>SUMIF(83:83,E13,84:84)-SUMIF(83:83,C13,84:84)+100</f>
        <v>104</v>
      </c>
      <c r="G13" s="3863" t="s">
        <v>4699</v>
      </c>
      <c r="H13" s="386">
        <f>SUMIF(83:83,G13,84:84)-SUMIF(83:83,C13,84:84)+100</f>
        <v>108</v>
      </c>
      <c r="I13" s="3863" t="s">
        <v>4699</v>
      </c>
      <c r="J13" s="386">
        <f>SUMIF(83:83,I13,84:84)-SUMIF(83:83,C13,84:84)+100</f>
        <v>108</v>
      </c>
      <c r="K13" s="620"/>
      <c r="L13" s="2716"/>
      <c r="M13" s="2710"/>
      <c r="N13" s="2710"/>
      <c r="O13" s="2768"/>
      <c r="P13" s="3741"/>
      <c r="Q13" s="1342" t="str">
        <f t="shared" si="6"/>
        <v>限价</v>
      </c>
      <c r="R13" s="701" t="s">
        <v>14</v>
      </c>
      <c r="S13" s="702">
        <f t="shared" si="0"/>
        <v>104</v>
      </c>
      <c r="T13" s="701" t="s">
        <v>14</v>
      </c>
      <c r="U13" s="702">
        <f t="shared" si="1"/>
        <v>108</v>
      </c>
      <c r="V13" s="701" t="s">
        <v>14</v>
      </c>
      <c r="W13" s="702">
        <f t="shared" si="2"/>
        <v>108</v>
      </c>
      <c r="X13" s="703"/>
      <c r="Y13" s="3653"/>
      <c r="Z13" s="52" t="str">
        <f t="shared" si="7"/>
        <v>限价</v>
      </c>
      <c r="AA13" s="704">
        <f>D13/F13</f>
        <v>0.96153846153846156</v>
      </c>
      <c r="AB13" s="704">
        <f>D13/H13</f>
        <v>0.92592592592592593</v>
      </c>
      <c r="AC13" s="704">
        <f>D13/J13</f>
        <v>0.92592592592592593</v>
      </c>
    </row>
    <row r="14" spans="1:30" ht="15.75" thickBot="1">
      <c r="A14" s="387"/>
      <c r="B14" s="3857" t="s">
        <v>4690</v>
      </c>
      <c r="C14" s="3864">
        <v>0</v>
      </c>
      <c r="D14" s="389">
        <v>100</v>
      </c>
      <c r="E14" s="3865">
        <v>0.2</v>
      </c>
      <c r="F14" s="389">
        <f>SUMIF(85:85,E14,86:86)-SUMIF(85:85,C14,86:86)+100</f>
        <v>90</v>
      </c>
      <c r="G14" s="3866">
        <v>0</v>
      </c>
      <c r="H14" s="389">
        <f>SUMIF(85:85,G14,86:86)-SUMIF(85:85,C14,86:86)+100</f>
        <v>100</v>
      </c>
      <c r="I14" s="3866">
        <v>0</v>
      </c>
      <c r="J14" s="389">
        <f>SUMIF(85:85,I14,86:86)-SUMIF(85:85,C14,86:86)+100</f>
        <v>100</v>
      </c>
      <c r="K14" s="620"/>
      <c r="L14" s="2716"/>
      <c r="M14" s="2710"/>
      <c r="N14" s="2710"/>
      <c r="O14" s="2768"/>
      <c r="P14" s="3741"/>
      <c r="Q14" s="1342" t="str">
        <f t="shared" si="6"/>
        <v>政府持有份额比例</v>
      </c>
      <c r="R14" s="701" t="s">
        <v>14</v>
      </c>
      <c r="S14" s="702">
        <f t="shared" si="0"/>
        <v>90</v>
      </c>
      <c r="T14" s="701" t="s">
        <v>14</v>
      </c>
      <c r="U14" s="702">
        <f t="shared" si="1"/>
        <v>100</v>
      </c>
      <c r="V14" s="701" t="s">
        <v>14</v>
      </c>
      <c r="W14" s="702">
        <f t="shared" si="2"/>
        <v>100</v>
      </c>
      <c r="X14" s="703"/>
      <c r="Y14" s="3653"/>
      <c r="Z14" s="52" t="str">
        <f t="shared" si="7"/>
        <v>政府持有份额比例</v>
      </c>
      <c r="AA14" s="704">
        <f>D14/F14</f>
        <v>1.1111111111111112</v>
      </c>
      <c r="AB14" s="704">
        <f>D14/H14</f>
        <v>1</v>
      </c>
      <c r="AC14" s="704">
        <f>D14/J14</f>
        <v>1</v>
      </c>
    </row>
    <row r="15" spans="1:30" ht="99.75">
      <c r="A15" s="391" t="s">
        <v>1689</v>
      </c>
      <c r="B15" s="61" t="s">
        <v>1256</v>
      </c>
      <c r="C15" s="1894" t="str">
        <f>估价对象房地状况!C15</f>
        <v>估价对象周边居住用地比例、居住小区规模和社区发展完善程度，综合评价居住社区成熟度一般</v>
      </c>
      <c r="D15" s="392">
        <v>100</v>
      </c>
      <c r="E15" s="393"/>
      <c r="F15" s="392">
        <f>SUMIF(87:87,E16,88:88)-SUMIF(87:87,C16,88:88)+100</f>
        <v>102</v>
      </c>
      <c r="G15" s="393"/>
      <c r="H15" s="392">
        <f>SUMIF(87:87,G16,88:88)-SUMIF(87:87,C16,88:88)+100</f>
        <v>100</v>
      </c>
      <c r="I15" s="395"/>
      <c r="J15" s="392">
        <f>SUMIF(87:87,I16,88:88)-SUMIF(87:87,C16,88:88)+100</f>
        <v>100</v>
      </c>
      <c r="K15" s="621">
        <v>2</v>
      </c>
      <c r="L15" s="2716"/>
      <c r="M15" s="2710"/>
      <c r="N15" s="2710"/>
      <c r="O15" s="2768"/>
      <c r="P15" s="3743" t="s">
        <v>1690</v>
      </c>
      <c r="Q15" s="1351" t="str">
        <f t="shared" si="6"/>
        <v>居住社区成熟度</v>
      </c>
      <c r="R15" s="705" t="s">
        <v>14</v>
      </c>
      <c r="S15" s="706">
        <f t="shared" si="0"/>
        <v>102</v>
      </c>
      <c r="T15" s="705" t="s">
        <v>14</v>
      </c>
      <c r="U15" s="706">
        <f t="shared" si="1"/>
        <v>100</v>
      </c>
      <c r="V15" s="705" t="s">
        <v>14</v>
      </c>
      <c r="W15" s="706">
        <f t="shared" si="2"/>
        <v>100</v>
      </c>
      <c r="X15" s="1354"/>
      <c r="Y15" s="3743" t="s">
        <v>1690</v>
      </c>
      <c r="Z15" s="1355" t="str">
        <f t="shared" si="7"/>
        <v>居住社区成熟度</v>
      </c>
      <c r="AA15" s="1352">
        <f t="shared" si="3"/>
        <v>0.98039215686274506</v>
      </c>
      <c r="AB15" s="1352">
        <f t="shared" si="4"/>
        <v>1</v>
      </c>
      <c r="AC15" s="1352">
        <f t="shared" si="5"/>
        <v>1</v>
      </c>
    </row>
    <row r="16" spans="1:30" ht="15">
      <c r="A16" s="379"/>
      <c r="B16" s="397"/>
      <c r="C16" s="398" t="s">
        <v>4700</v>
      </c>
      <c r="D16" s="399"/>
      <c r="E16" s="1896" t="s">
        <v>4701</v>
      </c>
      <c r="F16" s="399"/>
      <c r="G16" s="1896" t="s">
        <v>4700</v>
      </c>
      <c r="H16" s="401"/>
      <c r="I16" s="1896" t="s">
        <v>4700</v>
      </c>
      <c r="J16" s="399"/>
      <c r="K16" s="620"/>
      <c r="L16" s="2716"/>
      <c r="M16" s="2710"/>
      <c r="N16" s="2710"/>
      <c r="O16" s="2768"/>
      <c r="P16" s="3744"/>
      <c r="Q16" s="1351"/>
      <c r="R16" s="705"/>
      <c r="S16" s="706"/>
      <c r="T16" s="705"/>
      <c r="U16" s="706"/>
      <c r="V16" s="705"/>
      <c r="W16" s="706"/>
      <c r="X16" s="1354"/>
      <c r="Y16" s="3744"/>
      <c r="Z16" s="1355"/>
      <c r="AA16" s="1352">
        <v>1</v>
      </c>
      <c r="AB16" s="1352">
        <v>1</v>
      </c>
      <c r="AC16" s="1352">
        <v>1</v>
      </c>
    </row>
    <row r="17" spans="1:29" ht="71.25" hidden="1">
      <c r="A17" s="379"/>
      <c r="B17" s="402" t="s">
        <v>1776</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44"/>
      <c r="Q17" s="1351" t="str">
        <f>B17</f>
        <v>商业繁华度</v>
      </c>
      <c r="R17" s="705" t="s">
        <v>14</v>
      </c>
      <c r="S17" s="706">
        <f>F17</f>
        <v>100</v>
      </c>
      <c r="T17" s="705" t="s">
        <v>14</v>
      </c>
      <c r="U17" s="706">
        <f>H17</f>
        <v>100</v>
      </c>
      <c r="V17" s="705" t="s">
        <v>14</v>
      </c>
      <c r="W17" s="706">
        <f>J17</f>
        <v>100</v>
      </c>
      <c r="X17" s="1354"/>
      <c r="Y17" s="3744"/>
      <c r="Z17" s="1355" t="str">
        <f>Q17</f>
        <v>商业繁华度</v>
      </c>
      <c r="AA17" s="1352">
        <f t="shared" si="3"/>
        <v>1</v>
      </c>
      <c r="AB17" s="1352">
        <f t="shared" si="4"/>
        <v>1</v>
      </c>
      <c r="AC17" s="1352">
        <f t="shared" si="5"/>
        <v>1</v>
      </c>
    </row>
    <row r="18" spans="1:29" ht="15" hidden="1">
      <c r="A18" s="379"/>
      <c r="B18" s="407"/>
      <c r="C18" s="1899"/>
      <c r="D18" s="401"/>
      <c r="E18" s="1901"/>
      <c r="F18" s="401"/>
      <c r="G18" s="1901"/>
      <c r="H18" s="399"/>
      <c r="I18" s="1900"/>
      <c r="J18" s="399"/>
      <c r="K18" s="620"/>
      <c r="L18" s="2716"/>
      <c r="M18" s="2710"/>
      <c r="N18" s="2710"/>
      <c r="O18" s="2768"/>
      <c r="P18" s="3744"/>
      <c r="Q18" s="1351"/>
      <c r="R18" s="705"/>
      <c r="S18" s="706"/>
      <c r="T18" s="705"/>
      <c r="U18" s="706"/>
      <c r="V18" s="705"/>
      <c r="W18" s="706"/>
      <c r="X18" s="1354"/>
      <c r="Y18" s="3744"/>
      <c r="Z18" s="1355"/>
      <c r="AA18" s="1352">
        <v>1</v>
      </c>
      <c r="AB18" s="1352">
        <v>1</v>
      </c>
      <c r="AC18" s="1352">
        <v>1</v>
      </c>
    </row>
    <row r="19" spans="1:29" ht="71.25" hidden="1">
      <c r="A19" s="379"/>
      <c r="B19" s="402" t="s">
        <v>1810</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44"/>
      <c r="Q19" s="1351" t="str">
        <f>B19</f>
        <v>办公集聚程度</v>
      </c>
      <c r="R19" s="705" t="s">
        <v>14</v>
      </c>
      <c r="S19" s="706">
        <f>F19</f>
        <v>100</v>
      </c>
      <c r="T19" s="705" t="s">
        <v>14</v>
      </c>
      <c r="U19" s="706">
        <f>H19</f>
        <v>100</v>
      </c>
      <c r="V19" s="705" t="s">
        <v>14</v>
      </c>
      <c r="W19" s="706">
        <f>J19</f>
        <v>100</v>
      </c>
      <c r="X19" s="1354"/>
      <c r="Y19" s="3744"/>
      <c r="Z19" s="1355" t="str">
        <f>Q19</f>
        <v>办公集聚程度</v>
      </c>
      <c r="AA19" s="1352">
        <f t="shared" si="3"/>
        <v>1</v>
      </c>
      <c r="AB19" s="1352">
        <f t="shared" si="4"/>
        <v>1</v>
      </c>
      <c r="AC19" s="1352">
        <f t="shared" si="5"/>
        <v>1</v>
      </c>
    </row>
    <row r="20" spans="1:29" ht="15" hidden="1">
      <c r="A20" s="379"/>
      <c r="B20" s="407"/>
      <c r="C20" s="398"/>
      <c r="D20" s="399"/>
      <c r="E20" s="1896"/>
      <c r="F20" s="399"/>
      <c r="G20" s="1896"/>
      <c r="H20" s="399"/>
      <c r="I20" s="1895"/>
      <c r="J20" s="399"/>
      <c r="K20" s="620"/>
      <c r="L20" s="2716"/>
      <c r="M20" s="2710"/>
      <c r="N20" s="2710"/>
      <c r="O20" s="2768"/>
      <c r="P20" s="3744"/>
      <c r="Q20" s="1351"/>
      <c r="R20" s="705"/>
      <c r="S20" s="706"/>
      <c r="T20" s="705"/>
      <c r="U20" s="706"/>
      <c r="V20" s="705"/>
      <c r="W20" s="706"/>
      <c r="X20" s="1354"/>
      <c r="Y20" s="3744"/>
      <c r="Z20" s="1355"/>
      <c r="AA20" s="1352">
        <v>1</v>
      </c>
      <c r="AB20" s="1352">
        <v>1</v>
      </c>
      <c r="AC20" s="1352">
        <v>1</v>
      </c>
    </row>
    <row r="21" spans="1:29" ht="85.5">
      <c r="A21" s="379"/>
      <c r="B21" s="402" t="s">
        <v>1832</v>
      </c>
      <c r="C21" s="1898" t="str">
        <f>估价对象房地状况!C18</f>
        <v>估价对象周边道路状况、公共交通通达情况、停车便捷程度，综合评价交通便捷度较好</v>
      </c>
      <c r="D21" s="401">
        <v>100</v>
      </c>
      <c r="E21" s="403"/>
      <c r="F21" s="406">
        <f>SUMIF(93:93,E22,94:94)-SUMIF(93:93,C22,94:94)+100</f>
        <v>102</v>
      </c>
      <c r="G21" s="403"/>
      <c r="H21" s="401">
        <f>SUMIF(93:93,G22,94:94)-SUMIF(93:93,C22,94:94)+100</f>
        <v>102</v>
      </c>
      <c r="I21" s="405"/>
      <c r="J21" s="401">
        <f>SUMIF(93:93,I22,94:94)-SUMIF(93:93,C22,94:94)+100</f>
        <v>100</v>
      </c>
      <c r="K21" s="621">
        <v>2</v>
      </c>
      <c r="L21" s="2716"/>
      <c r="M21" s="2710"/>
      <c r="N21" s="2710"/>
      <c r="O21" s="2768"/>
      <c r="P21" s="3744"/>
      <c r="Q21" s="1351" t="str">
        <f>B21</f>
        <v>交通便捷度</v>
      </c>
      <c r="R21" s="705" t="s">
        <v>14</v>
      </c>
      <c r="S21" s="706">
        <f>F21</f>
        <v>102</v>
      </c>
      <c r="T21" s="705" t="s">
        <v>14</v>
      </c>
      <c r="U21" s="706">
        <f>H21</f>
        <v>102</v>
      </c>
      <c r="V21" s="705" t="s">
        <v>14</v>
      </c>
      <c r="W21" s="706">
        <f>J21</f>
        <v>100</v>
      </c>
      <c r="X21" s="1354"/>
      <c r="Y21" s="3744"/>
      <c r="Z21" s="1355" t="str">
        <f>Q21</f>
        <v>交通便捷度</v>
      </c>
      <c r="AA21" s="1352">
        <f t="shared" si="3"/>
        <v>0.98039215686274506</v>
      </c>
      <c r="AB21" s="1352">
        <f t="shared" si="4"/>
        <v>0.98039215686274506</v>
      </c>
      <c r="AC21" s="1352">
        <f t="shared" si="5"/>
        <v>1</v>
      </c>
    </row>
    <row r="22" spans="1:29" ht="15">
      <c r="A22" s="379"/>
      <c r="B22" s="1131"/>
      <c r="C22" s="398" t="s">
        <v>4700</v>
      </c>
      <c r="D22" s="401"/>
      <c r="E22" s="1896" t="s">
        <v>4701</v>
      </c>
      <c r="F22" s="399"/>
      <c r="G22" s="1896" t="s">
        <v>4701</v>
      </c>
      <c r="H22" s="399"/>
      <c r="I22" s="1895" t="s">
        <v>4700</v>
      </c>
      <c r="J22" s="399"/>
      <c r="K22" s="620"/>
      <c r="L22" s="2716"/>
      <c r="M22" s="2710"/>
      <c r="N22" s="2710"/>
      <c r="O22" s="2768"/>
      <c r="P22" s="3744"/>
      <c r="Q22" s="1351"/>
      <c r="R22" s="705"/>
      <c r="S22" s="706"/>
      <c r="T22" s="705"/>
      <c r="U22" s="706"/>
      <c r="V22" s="705"/>
      <c r="W22" s="706"/>
      <c r="X22" s="1354"/>
      <c r="Y22" s="3744"/>
      <c r="Z22" s="1355"/>
      <c r="AA22" s="1352">
        <v>1</v>
      </c>
      <c r="AB22" s="1352">
        <v>1</v>
      </c>
      <c r="AC22" s="1352">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6"/>
      <c r="M23" s="2710"/>
      <c r="N23" s="2710"/>
      <c r="O23" s="2768"/>
      <c r="P23" s="3744"/>
      <c r="Q23" s="1351" t="str">
        <f t="shared" ref="Q23:Q37" si="8">B23</f>
        <v>区域土地利用方向</v>
      </c>
      <c r="R23" s="705" t="s">
        <v>14</v>
      </c>
      <c r="S23" s="706">
        <f>F23</f>
        <v>100</v>
      </c>
      <c r="T23" s="705" t="s">
        <v>14</v>
      </c>
      <c r="U23" s="706">
        <f>H23</f>
        <v>100</v>
      </c>
      <c r="V23" s="705" t="s">
        <v>14</v>
      </c>
      <c r="W23" s="706">
        <f>J23</f>
        <v>100</v>
      </c>
      <c r="X23" s="1354"/>
      <c r="Y23" s="3744"/>
      <c r="Z23" s="1355" t="str">
        <f>Q23</f>
        <v>区域土地利用方向</v>
      </c>
      <c r="AA23" s="1352">
        <f t="shared" si="3"/>
        <v>1</v>
      </c>
      <c r="AB23" s="1352">
        <f t="shared" si="4"/>
        <v>1</v>
      </c>
      <c r="AC23" s="1352">
        <f t="shared" si="5"/>
        <v>1</v>
      </c>
    </row>
    <row r="24" spans="1:29" ht="15">
      <c r="A24" s="358"/>
      <c r="B24" s="407"/>
      <c r="C24" s="565" t="s">
        <v>4701</v>
      </c>
      <c r="D24" s="399"/>
      <c r="E24" s="565" t="s">
        <v>4701</v>
      </c>
      <c r="F24" s="399"/>
      <c r="G24" s="565" t="s">
        <v>4701</v>
      </c>
      <c r="H24" s="399"/>
      <c r="I24" s="565" t="s">
        <v>4701</v>
      </c>
      <c r="J24" s="399"/>
      <c r="K24" s="740"/>
      <c r="L24" s="2716"/>
      <c r="M24" s="2710"/>
      <c r="N24" s="2710"/>
      <c r="O24" s="2768"/>
      <c r="P24" s="3744"/>
      <c r="Q24" s="1351"/>
      <c r="R24" s="705"/>
      <c r="S24" s="706"/>
      <c r="T24" s="705"/>
      <c r="U24" s="706"/>
      <c r="V24" s="705"/>
      <c r="W24" s="706"/>
      <c r="X24" s="1354"/>
      <c r="Y24" s="3744"/>
      <c r="Z24" s="1355"/>
      <c r="AA24" s="1352"/>
      <c r="AB24" s="1352"/>
      <c r="AC24" s="1352"/>
    </row>
    <row r="25" spans="1:29" ht="57">
      <c r="A25" s="358"/>
      <c r="B25" s="1131" t="s">
        <v>1870</v>
      </c>
      <c r="C25" s="1951" t="str">
        <f>估价对象房地状况!C20</f>
        <v>区域自然环境：；人文环境；综合评价环境状况一般</v>
      </c>
      <c r="D25" s="401">
        <v>100</v>
      </c>
      <c r="E25" s="403"/>
      <c r="F25" s="401">
        <f>SUMIF(97:97,E26,98:98)-SUMIF(97:97,C26,98:98)+100</f>
        <v>102</v>
      </c>
      <c r="G25" s="403"/>
      <c r="H25" s="401">
        <f>SUMIF(97:97,G26,98:98)-SUMIF(97:97,C26,98:98)+100</f>
        <v>100</v>
      </c>
      <c r="I25" s="405"/>
      <c r="J25" s="401">
        <f>SUMIF(97:97,I26,98:98)-SUMIF(97:97,C26,98:98)+100</f>
        <v>100</v>
      </c>
      <c r="K25" s="621">
        <v>2</v>
      </c>
      <c r="L25" s="2716"/>
      <c r="M25" s="2710"/>
      <c r="N25" s="2710"/>
      <c r="O25" s="2768"/>
      <c r="P25" s="3744"/>
      <c r="Q25" s="1351" t="str">
        <f t="shared" si="8"/>
        <v>自然及人文环境状况</v>
      </c>
      <c r="R25" s="705" t="s">
        <v>14</v>
      </c>
      <c r="S25" s="706">
        <f>F25</f>
        <v>102</v>
      </c>
      <c r="T25" s="705" t="s">
        <v>14</v>
      </c>
      <c r="U25" s="706">
        <f>H25</f>
        <v>100</v>
      </c>
      <c r="V25" s="705" t="s">
        <v>14</v>
      </c>
      <c r="W25" s="706">
        <f>J25</f>
        <v>100</v>
      </c>
      <c r="X25" s="1354"/>
      <c r="Y25" s="3744"/>
      <c r="Z25" s="1355" t="str">
        <f>Q25</f>
        <v>自然及人文环境状况</v>
      </c>
      <c r="AA25" s="1352">
        <f t="shared" si="3"/>
        <v>0.98039215686274506</v>
      </c>
      <c r="AB25" s="1352">
        <f t="shared" si="4"/>
        <v>1</v>
      </c>
      <c r="AC25" s="1352">
        <f t="shared" si="5"/>
        <v>1</v>
      </c>
    </row>
    <row r="26" spans="1:29" ht="15">
      <c r="A26" s="358"/>
      <c r="B26" s="407"/>
      <c r="C26" s="398" t="s">
        <v>4700</v>
      </c>
      <c r="D26" s="399"/>
      <c r="E26" s="1902" t="s">
        <v>4701</v>
      </c>
      <c r="F26" s="399"/>
      <c r="G26" s="1902" t="s">
        <v>4700</v>
      </c>
      <c r="H26" s="399"/>
      <c r="I26" s="1902" t="s">
        <v>4700</v>
      </c>
      <c r="J26" s="399"/>
      <c r="K26" s="620"/>
      <c r="L26" s="2716"/>
      <c r="M26" s="2710"/>
      <c r="N26" s="2710"/>
      <c r="O26" s="2768"/>
      <c r="P26" s="3744"/>
      <c r="Q26" s="1351"/>
      <c r="R26" s="705"/>
      <c r="S26" s="706"/>
      <c r="T26" s="705"/>
      <c r="U26" s="706"/>
      <c r="V26" s="705"/>
      <c r="W26" s="706"/>
      <c r="X26" s="1354"/>
      <c r="Y26" s="3744"/>
      <c r="Z26" s="1355"/>
      <c r="AA26" s="1352">
        <v>1</v>
      </c>
      <c r="AB26" s="1352">
        <v>1</v>
      </c>
      <c r="AC26" s="1352">
        <v>1</v>
      </c>
    </row>
    <row r="27" spans="1:29" s="108" customFormat="1" ht="42.75">
      <c r="A27" s="597"/>
      <c r="B27" s="1131" t="s">
        <v>1777</v>
      </c>
      <c r="C27" s="1898" t="str">
        <f>估价对象房地状况!C21</f>
        <v>估价对象所在区域公共配套设施齐备情况</v>
      </c>
      <c r="D27" s="401">
        <v>100</v>
      </c>
      <c r="E27" s="403"/>
      <c r="F27" s="401">
        <f>SUMIF(99:99,E28,100:100)-SUMIF(99:99,C28,100:100)+100</f>
        <v>102</v>
      </c>
      <c r="G27" s="403"/>
      <c r="H27" s="401">
        <f>SUMIF(99:99,G28,100:100)-SUMIF(99:99,C28,100:100)+100</f>
        <v>100</v>
      </c>
      <c r="I27" s="405"/>
      <c r="J27" s="401">
        <f>SUMIF(99:99,I28,100:100)-SUMIF(99:99,C28,100:100)+100</f>
        <v>100</v>
      </c>
      <c r="K27" s="621">
        <v>2</v>
      </c>
      <c r="L27" s="2711"/>
      <c r="M27" s="2712"/>
      <c r="N27" s="2712"/>
      <c r="O27" s="2766"/>
      <c r="P27" s="3744"/>
      <c r="Q27" s="1342" t="str">
        <f t="shared" si="8"/>
        <v>公共配套设施</v>
      </c>
      <c r="R27" s="701" t="s">
        <v>14</v>
      </c>
      <c r="S27" s="702">
        <f>F27</f>
        <v>102</v>
      </c>
      <c r="T27" s="701" t="s">
        <v>14</v>
      </c>
      <c r="U27" s="702">
        <f>H27</f>
        <v>100</v>
      </c>
      <c r="V27" s="701" t="s">
        <v>14</v>
      </c>
      <c r="W27" s="702">
        <f>J27</f>
        <v>100</v>
      </c>
      <c r="X27" s="703"/>
      <c r="Y27" s="3744"/>
      <c r="Z27" s="52" t="str">
        <f>Q27</f>
        <v>公共配套设施</v>
      </c>
      <c r="AA27" s="1352">
        <f>D27/F27</f>
        <v>0.98039215686274506</v>
      </c>
      <c r="AB27" s="1352">
        <f>D27/H27</f>
        <v>1</v>
      </c>
      <c r="AC27" s="1352">
        <f>D27/J27</f>
        <v>1</v>
      </c>
    </row>
    <row r="28" spans="1:29" s="108" customFormat="1" ht="15">
      <c r="A28" s="597"/>
      <c r="B28" s="407"/>
      <c r="C28" s="1974" t="s">
        <v>4700</v>
      </c>
      <c r="D28" s="399"/>
      <c r="E28" s="1902" t="s">
        <v>4701</v>
      </c>
      <c r="F28" s="399"/>
      <c r="G28" s="1902" t="s">
        <v>4700</v>
      </c>
      <c r="H28" s="399"/>
      <c r="I28" s="1902" t="s">
        <v>4700</v>
      </c>
      <c r="J28" s="399"/>
      <c r="K28" s="620"/>
      <c r="L28" s="2711"/>
      <c r="M28" s="2712"/>
      <c r="N28" s="2712"/>
      <c r="O28" s="2766"/>
      <c r="P28" s="3744"/>
      <c r="Q28" s="1342"/>
      <c r="R28" s="701"/>
      <c r="S28" s="702"/>
      <c r="T28" s="701"/>
      <c r="U28" s="702"/>
      <c r="V28" s="701"/>
      <c r="W28" s="702"/>
      <c r="X28" s="703"/>
      <c r="Y28" s="3744"/>
      <c r="Z28" s="52"/>
      <c r="AA28" s="1352">
        <v>1</v>
      </c>
      <c r="AB28" s="1352">
        <v>1</v>
      </c>
      <c r="AC28" s="1352">
        <v>1</v>
      </c>
    </row>
    <row r="29" spans="1:29" s="108" customFormat="1" ht="28.5">
      <c r="A29" s="597"/>
      <c r="B29" s="1131" t="s">
        <v>1778</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1"/>
      <c r="M29" s="2712"/>
      <c r="N29" s="2712"/>
      <c r="O29" s="2766"/>
      <c r="P29" s="3744"/>
      <c r="Q29" s="1342" t="str">
        <f t="shared" ref="Q29" si="9">B29</f>
        <v>基础设施水平</v>
      </c>
      <c r="R29" s="701" t="s">
        <v>14</v>
      </c>
      <c r="S29" s="702">
        <f>F29</f>
        <v>100</v>
      </c>
      <c r="T29" s="701" t="s">
        <v>14</v>
      </c>
      <c r="U29" s="702">
        <f>H29</f>
        <v>100</v>
      </c>
      <c r="V29" s="701" t="s">
        <v>14</v>
      </c>
      <c r="W29" s="702">
        <f>J29</f>
        <v>100</v>
      </c>
      <c r="X29" s="703"/>
      <c r="Y29" s="3744"/>
      <c r="Z29" s="52" t="str">
        <f>Q29</f>
        <v>基础设施水平</v>
      </c>
      <c r="AA29" s="1352">
        <f>D29/F29</f>
        <v>1</v>
      </c>
      <c r="AB29" s="1352">
        <f>D29/H29</f>
        <v>1</v>
      </c>
      <c r="AC29" s="1352">
        <f>D29/J29</f>
        <v>1</v>
      </c>
    </row>
    <row r="30" spans="1:29" s="108" customFormat="1" ht="15.75" thickBot="1">
      <c r="A30" s="597"/>
      <c r="B30" s="407"/>
      <c r="C30" s="1974" t="s">
        <v>4702</v>
      </c>
      <c r="D30" s="399"/>
      <c r="E30" s="1974" t="s">
        <v>4702</v>
      </c>
      <c r="F30" s="399"/>
      <c r="G30" s="1974" t="s">
        <v>4702</v>
      </c>
      <c r="H30" s="399"/>
      <c r="I30" s="1974" t="s">
        <v>4702</v>
      </c>
      <c r="J30" s="399"/>
      <c r="K30" s="620"/>
      <c r="L30" s="2711"/>
      <c r="M30" s="2712"/>
      <c r="N30" s="2712"/>
      <c r="O30" s="2766"/>
      <c r="P30" s="3744"/>
      <c r="Q30" s="1342"/>
      <c r="R30" s="701"/>
      <c r="S30" s="702"/>
      <c r="T30" s="701"/>
      <c r="U30" s="702"/>
      <c r="V30" s="701"/>
      <c r="W30" s="702"/>
      <c r="X30" s="703"/>
      <c r="Y30" s="3744"/>
      <c r="Z30" s="52"/>
      <c r="AA30" s="1352">
        <v>1</v>
      </c>
      <c r="AB30" s="1352">
        <v>1</v>
      </c>
      <c r="AC30" s="1352">
        <v>1</v>
      </c>
    </row>
    <row r="31" spans="1:29" ht="15" hidden="1">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44"/>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44"/>
      <c r="Z31" s="1355" t="str">
        <f t="shared" ref="Z31:Z45" si="13">Q31</f>
        <v>临街状况</v>
      </c>
      <c r="AA31" s="1352">
        <f t="shared" si="3"/>
        <v>1</v>
      </c>
      <c r="AB31" s="1352">
        <f t="shared" si="4"/>
        <v>1</v>
      </c>
      <c r="AC31" s="1352">
        <f t="shared" si="5"/>
        <v>1</v>
      </c>
    </row>
    <row r="32" spans="1:29" ht="27" hidden="1">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44"/>
      <c r="Q32" s="1351" t="str">
        <f t="shared" si="8"/>
        <v>毗邻道路的类型与等级</v>
      </c>
      <c r="R32" s="705" t="s">
        <v>14</v>
      </c>
      <c r="S32" s="706">
        <f t="shared" si="10"/>
        <v>100</v>
      </c>
      <c r="T32" s="705" t="s">
        <v>14</v>
      </c>
      <c r="U32" s="706">
        <f t="shared" si="11"/>
        <v>100</v>
      </c>
      <c r="V32" s="705" t="s">
        <v>14</v>
      </c>
      <c r="W32" s="706">
        <f t="shared" si="12"/>
        <v>100</v>
      </c>
      <c r="X32" s="1354"/>
      <c r="Y32" s="3744"/>
      <c r="Z32" s="1355" t="str">
        <f t="shared" si="13"/>
        <v>毗邻道路的类型与等级</v>
      </c>
      <c r="AA32" s="1352">
        <f t="shared" si="3"/>
        <v>1</v>
      </c>
      <c r="AB32" s="1352">
        <f t="shared" si="4"/>
        <v>1</v>
      </c>
      <c r="AC32" s="1352">
        <f t="shared" si="5"/>
        <v>1</v>
      </c>
    </row>
    <row r="33" spans="1:29" ht="15" hidden="1">
      <c r="A33" s="379"/>
      <c r="B33" s="407"/>
      <c r="C33" s="398"/>
      <c r="D33" s="399"/>
      <c r="E33" s="1902"/>
      <c r="F33" s="399"/>
      <c r="G33" s="1902"/>
      <c r="H33" s="399"/>
      <c r="I33" s="398"/>
      <c r="J33" s="399"/>
      <c r="K33" s="562"/>
      <c r="L33" s="2716"/>
      <c r="M33" s="2710"/>
      <c r="N33" s="2710"/>
      <c r="O33" s="2768"/>
      <c r="P33" s="3744"/>
      <c r="Q33" s="1351"/>
      <c r="R33" s="705"/>
      <c r="S33" s="706"/>
      <c r="T33" s="705"/>
      <c r="U33" s="706"/>
      <c r="V33" s="705"/>
      <c r="W33" s="706"/>
      <c r="X33" s="1354"/>
      <c r="Y33" s="3744"/>
      <c r="Z33" s="1355"/>
      <c r="AA33" s="1352">
        <v>1</v>
      </c>
      <c r="AB33" s="1352">
        <v>1</v>
      </c>
      <c r="AC33" s="1352">
        <v>1</v>
      </c>
    </row>
    <row r="34" spans="1:29" ht="15" hidden="1">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44"/>
      <c r="Q34" s="1351" t="str">
        <f t="shared" si="8"/>
        <v>土地级别</v>
      </c>
      <c r="R34" s="705" t="s">
        <v>14</v>
      </c>
      <c r="S34" s="706">
        <f t="shared" si="10"/>
        <v>100</v>
      </c>
      <c r="T34" s="705" t="s">
        <v>14</v>
      </c>
      <c r="U34" s="706">
        <f t="shared" si="11"/>
        <v>100</v>
      </c>
      <c r="V34" s="705" t="s">
        <v>14</v>
      </c>
      <c r="W34" s="706">
        <f t="shared" si="12"/>
        <v>100</v>
      </c>
      <c r="X34" s="1354"/>
      <c r="Y34" s="3744"/>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44"/>
      <c r="Q35" s="1351">
        <f t="shared" si="8"/>
        <v>111</v>
      </c>
      <c r="R35" s="705" t="s">
        <v>14</v>
      </c>
      <c r="S35" s="706">
        <f t="shared" si="10"/>
        <v>100</v>
      </c>
      <c r="T35" s="705" t="s">
        <v>14</v>
      </c>
      <c r="U35" s="706">
        <f t="shared" si="11"/>
        <v>100</v>
      </c>
      <c r="V35" s="705" t="s">
        <v>14</v>
      </c>
      <c r="W35" s="706">
        <f t="shared" si="12"/>
        <v>100</v>
      </c>
      <c r="X35" s="1354"/>
      <c r="Y35" s="3744"/>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67" t="s">
        <v>1695</v>
      </c>
      <c r="Q36" s="1351">
        <f t="shared" si="8"/>
        <v>111</v>
      </c>
      <c r="R36" s="705" t="s">
        <v>14</v>
      </c>
      <c r="S36" s="706">
        <f t="shared" si="10"/>
        <v>100</v>
      </c>
      <c r="T36" s="705" t="s">
        <v>14</v>
      </c>
      <c r="U36" s="706">
        <f t="shared" si="11"/>
        <v>100</v>
      </c>
      <c r="V36" s="705" t="s">
        <v>14</v>
      </c>
      <c r="W36" s="706">
        <f t="shared" si="12"/>
        <v>100</v>
      </c>
      <c r="X36" s="1354"/>
      <c r="Y36" s="3748" t="s">
        <v>1695</v>
      </c>
      <c r="Z36" s="1355">
        <f t="shared" si="13"/>
        <v>111</v>
      </c>
      <c r="AA36" s="1352">
        <f t="shared" si="3"/>
        <v>1</v>
      </c>
      <c r="AB36" s="1352">
        <f t="shared" si="4"/>
        <v>1</v>
      </c>
      <c r="AC36" s="1352">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48"/>
      <c r="Q37" s="1351">
        <f t="shared" si="8"/>
        <v>111</v>
      </c>
      <c r="R37" s="708" t="s">
        <v>14</v>
      </c>
      <c r="S37" s="709">
        <f t="shared" si="10"/>
        <v>100</v>
      </c>
      <c r="T37" s="708" t="s">
        <v>14</v>
      </c>
      <c r="U37" s="709">
        <f t="shared" si="11"/>
        <v>100</v>
      </c>
      <c r="V37" s="708" t="s">
        <v>14</v>
      </c>
      <c r="W37" s="709">
        <f t="shared" si="12"/>
        <v>100</v>
      </c>
      <c r="X37" s="710"/>
      <c r="Y37" s="3748"/>
      <c r="Z37" s="711">
        <f t="shared" si="13"/>
        <v>111</v>
      </c>
      <c r="AA37" s="1352">
        <f t="shared" si="3"/>
        <v>1</v>
      </c>
      <c r="AB37" s="1352">
        <f t="shared" si="4"/>
        <v>1</v>
      </c>
      <c r="AC37" s="1352">
        <f t="shared" si="5"/>
        <v>1</v>
      </c>
    </row>
    <row r="38" spans="1:29" ht="15">
      <c r="A38" s="423" t="s">
        <v>1693</v>
      </c>
      <c r="B38" s="407" t="s">
        <v>1872</v>
      </c>
      <c r="C38" s="627">
        <f>'数据-基础表'!A3</f>
        <v>39121.32</v>
      </c>
      <c r="D38" s="418">
        <v>100</v>
      </c>
      <c r="E38" s="627">
        <f>土地案例!I9</f>
        <v>44474.33</v>
      </c>
      <c r="F38" s="418">
        <f>LOOKUP(E38,116:116,117:117)-LOOKUP(C38,116:116,117:117)+100</f>
        <v>100</v>
      </c>
      <c r="G38" s="627">
        <f>土地案例!I11</f>
        <v>27525.64</v>
      </c>
      <c r="H38" s="418">
        <f>LOOKUP(G38,116:116,117:117)-LOOKUP(C38,116:116,117:117)+100</f>
        <v>99</v>
      </c>
      <c r="I38" s="479">
        <f>土地案例!I12</f>
        <v>99023.27</v>
      </c>
      <c r="J38" s="418">
        <f>LOOKUP(I38,116:116,117:117)-LOOKUP(C38,116:116,117:117)+100</f>
        <v>100</v>
      </c>
      <c r="K38" s="562"/>
      <c r="L38" s="2716"/>
      <c r="M38" s="2710"/>
      <c r="N38" s="2710"/>
      <c r="O38" s="2768"/>
      <c r="P38" s="3748"/>
      <c r="Q38" s="1351" t="str">
        <f>B38</f>
        <v>宗地面积</v>
      </c>
      <c r="R38" s="705" t="s">
        <v>14</v>
      </c>
      <c r="S38" s="706">
        <f t="shared" si="10"/>
        <v>100</v>
      </c>
      <c r="T38" s="705" t="s">
        <v>14</v>
      </c>
      <c r="U38" s="706">
        <f t="shared" si="11"/>
        <v>99</v>
      </c>
      <c r="V38" s="705" t="s">
        <v>14</v>
      </c>
      <c r="W38" s="706">
        <f t="shared" si="12"/>
        <v>100</v>
      </c>
      <c r="X38" s="1354"/>
      <c r="Y38" s="3748"/>
      <c r="Z38" s="1355" t="str">
        <f t="shared" si="13"/>
        <v>宗地面积</v>
      </c>
      <c r="AA38" s="1352">
        <f t="shared" si="3"/>
        <v>1</v>
      </c>
      <c r="AB38" s="1352">
        <f t="shared" si="4"/>
        <v>1.0101010101010102</v>
      </c>
      <c r="AC38" s="1352">
        <f t="shared" si="5"/>
        <v>1</v>
      </c>
    </row>
    <row r="39" spans="1:29" ht="15">
      <c r="A39" s="423"/>
      <c r="B39" s="375" t="s">
        <v>1873</v>
      </c>
      <c r="C39" s="1904" t="s">
        <v>4703</v>
      </c>
      <c r="D39" s="386">
        <v>100</v>
      </c>
      <c r="E39" s="1904" t="s">
        <v>4703</v>
      </c>
      <c r="F39" s="386">
        <f>SUMIF(118:118,E39,119:119)-SUMIF(118:118,C39,119:119)+100</f>
        <v>100</v>
      </c>
      <c r="G39" s="1904" t="s">
        <v>4703</v>
      </c>
      <c r="H39" s="386">
        <f>SUMIF(118:118,G39,119:119)-SUMIF(118:118,C39,119:119)+100</f>
        <v>100</v>
      </c>
      <c r="I39" s="1904" t="s">
        <v>4703</v>
      </c>
      <c r="J39" s="386">
        <f>SUMIF(118:118,I39,119:119)-SUMIF(118:118,C39,119:119)+100</f>
        <v>100</v>
      </c>
      <c r="K39" s="561">
        <v>1</v>
      </c>
      <c r="L39" s="2716"/>
      <c r="M39" s="2710"/>
      <c r="N39" s="2710"/>
      <c r="O39" s="2768"/>
      <c r="P39" s="3748"/>
      <c r="Q39" s="1351" t="str">
        <f t="shared" ref="Q39:Q45" si="14">B39</f>
        <v>宗地形状</v>
      </c>
      <c r="R39" s="705" t="s">
        <v>14</v>
      </c>
      <c r="S39" s="706">
        <f t="shared" si="10"/>
        <v>100</v>
      </c>
      <c r="T39" s="705" t="s">
        <v>14</v>
      </c>
      <c r="U39" s="706">
        <f t="shared" si="11"/>
        <v>100</v>
      </c>
      <c r="V39" s="705" t="s">
        <v>14</v>
      </c>
      <c r="W39" s="706">
        <f t="shared" si="12"/>
        <v>100</v>
      </c>
      <c r="X39" s="1354"/>
      <c r="Y39" s="3748"/>
      <c r="Z39" s="1355" t="str">
        <f t="shared" si="13"/>
        <v>宗地形状</v>
      </c>
      <c r="AA39" s="1352">
        <f t="shared" si="3"/>
        <v>1</v>
      </c>
      <c r="AB39" s="1352">
        <f t="shared" si="4"/>
        <v>1</v>
      </c>
      <c r="AC39" s="1352">
        <f t="shared" si="5"/>
        <v>1</v>
      </c>
    </row>
    <row r="40" spans="1:29" ht="15">
      <c r="A40" s="423"/>
      <c r="B40" s="375" t="s">
        <v>1874</v>
      </c>
      <c r="C40" s="1904" t="s">
        <v>4705</v>
      </c>
      <c r="D40" s="386">
        <v>100</v>
      </c>
      <c r="E40" s="1904" t="s">
        <v>4705</v>
      </c>
      <c r="F40" s="386">
        <f>SUMIF(120:120,E40,121:121)-SUMIF(120:120,C40,121:121)+100</f>
        <v>100</v>
      </c>
      <c r="G40" s="1904" t="s">
        <v>4705</v>
      </c>
      <c r="H40" s="386">
        <f>SUMIF(120:120,G40,121:121)-SUMIF(120:120,C40,121:121)+100</f>
        <v>100</v>
      </c>
      <c r="I40" s="1904" t="s">
        <v>4705</v>
      </c>
      <c r="J40" s="386">
        <f>SUMIF(120:120,I40,121:121)-SUMIF(120:120,C40,121:121)+100</f>
        <v>100</v>
      </c>
      <c r="K40" s="561">
        <v>1</v>
      </c>
      <c r="L40" s="2716"/>
      <c r="M40" s="2710"/>
      <c r="N40" s="2710"/>
      <c r="O40" s="2768"/>
      <c r="P40" s="3748"/>
      <c r="Q40" s="1351" t="str">
        <f t="shared" si="14"/>
        <v>临街宽度及深度</v>
      </c>
      <c r="R40" s="705" t="s">
        <v>14</v>
      </c>
      <c r="S40" s="706">
        <f t="shared" si="10"/>
        <v>100</v>
      </c>
      <c r="T40" s="705" t="s">
        <v>14</v>
      </c>
      <c r="U40" s="706">
        <f t="shared" si="11"/>
        <v>100</v>
      </c>
      <c r="V40" s="705" t="s">
        <v>14</v>
      </c>
      <c r="W40" s="706">
        <f t="shared" si="12"/>
        <v>100</v>
      </c>
      <c r="X40" s="1354"/>
      <c r="Y40" s="3748"/>
      <c r="Z40" s="1355" t="str">
        <f t="shared" si="13"/>
        <v>临街宽度及深度</v>
      </c>
      <c r="AA40" s="1352">
        <f t="shared" si="3"/>
        <v>1</v>
      </c>
      <c r="AB40" s="1352">
        <f t="shared" si="4"/>
        <v>1</v>
      </c>
      <c r="AC40" s="1352">
        <f t="shared" si="5"/>
        <v>1</v>
      </c>
    </row>
    <row r="41" spans="1:29" s="108" customFormat="1" ht="15">
      <c r="A41" s="424"/>
      <c r="B41" s="375" t="s">
        <v>1875</v>
      </c>
      <c r="C41" s="1976" t="s">
        <v>4702</v>
      </c>
      <c r="D41" s="127">
        <v>100</v>
      </c>
      <c r="E41" s="1976" t="s">
        <v>4713</v>
      </c>
      <c r="F41" s="386">
        <f>SUMIF(122:122,E41,123:123)-SUMIF(122:122,C41,123:123)+100</f>
        <v>96</v>
      </c>
      <c r="G41" s="1976" t="s">
        <v>4714</v>
      </c>
      <c r="H41" s="386">
        <f>SUMIF(122:122,G41,123:123)-SUMIF(122:122,C41,123:123)+100</f>
        <v>98</v>
      </c>
      <c r="I41" s="1976" t="s">
        <v>4714</v>
      </c>
      <c r="J41" s="386">
        <f>SUMIF(122:122,I41,123:123)-SUMIF(122:122,C41,123:123)+100</f>
        <v>98</v>
      </c>
      <c r="K41" s="561">
        <v>1</v>
      </c>
      <c r="L41" s="2711"/>
      <c r="M41" s="2712"/>
      <c r="N41" s="2712"/>
      <c r="O41" s="2766"/>
      <c r="P41" s="3748"/>
      <c r="Q41" s="1351" t="str">
        <f t="shared" si="14"/>
        <v>宗地开发程度</v>
      </c>
      <c r="R41" s="701" t="s">
        <v>14</v>
      </c>
      <c r="S41" s="702">
        <f t="shared" si="10"/>
        <v>96</v>
      </c>
      <c r="T41" s="701" t="s">
        <v>14</v>
      </c>
      <c r="U41" s="702">
        <f t="shared" si="11"/>
        <v>98</v>
      </c>
      <c r="V41" s="701" t="s">
        <v>14</v>
      </c>
      <c r="W41" s="702">
        <f t="shared" si="12"/>
        <v>98</v>
      </c>
      <c r="X41" s="703"/>
      <c r="Y41" s="3748"/>
      <c r="Z41" s="52" t="str">
        <f t="shared" si="13"/>
        <v>宗地开发程度</v>
      </c>
      <c r="AA41" s="704">
        <f t="shared" si="3"/>
        <v>1.0416666666666667</v>
      </c>
      <c r="AB41" s="704">
        <f t="shared" si="4"/>
        <v>1.0204081632653061</v>
      </c>
      <c r="AC41" s="704">
        <f t="shared" si="5"/>
        <v>1.0204081632653061</v>
      </c>
    </row>
    <row r="42" spans="1:29" ht="15.75" thickBot="1">
      <c r="A42" s="423"/>
      <c r="B42" s="375" t="s">
        <v>1876</v>
      </c>
      <c r="C42" s="1904" t="s">
        <v>4701</v>
      </c>
      <c r="D42" s="386">
        <v>100</v>
      </c>
      <c r="E42" s="1904" t="s">
        <v>4701</v>
      </c>
      <c r="F42" s="386">
        <f>SUMIF(124:124,E42,125:125)-SUMIF(124:124,C42,125:125)+100</f>
        <v>100</v>
      </c>
      <c r="G42" s="1904" t="s">
        <v>4701</v>
      </c>
      <c r="H42" s="386">
        <f>SUMIF(124:124,G42,125:125)-SUMIF(124:124,C42,125:125)+100</f>
        <v>100</v>
      </c>
      <c r="I42" s="1904" t="s">
        <v>4701</v>
      </c>
      <c r="J42" s="386">
        <f>SUMIF(124:124,I42,125:125)-SUMIF(124:124,C42,125:125)+100</f>
        <v>100</v>
      </c>
      <c r="K42" s="561">
        <v>1</v>
      </c>
      <c r="L42" s="2716"/>
      <c r="M42" s="2710"/>
      <c r="N42" s="2710"/>
      <c r="O42" s="2768"/>
      <c r="P42" s="3748" t="s">
        <v>1695</v>
      </c>
      <c r="Q42" s="1351" t="str">
        <f t="shared" si="14"/>
        <v>工程地质条件</v>
      </c>
      <c r="R42" s="705" t="s">
        <v>14</v>
      </c>
      <c r="S42" s="706">
        <f t="shared" si="10"/>
        <v>100</v>
      </c>
      <c r="T42" s="705" t="s">
        <v>14</v>
      </c>
      <c r="U42" s="706">
        <f t="shared" si="11"/>
        <v>100</v>
      </c>
      <c r="V42" s="705" t="s">
        <v>14</v>
      </c>
      <c r="W42" s="706">
        <f t="shared" si="12"/>
        <v>100</v>
      </c>
      <c r="X42" s="1354"/>
      <c r="Y42" s="3748" t="s">
        <v>1695</v>
      </c>
      <c r="Z42" s="1355" t="str">
        <f t="shared" si="13"/>
        <v>工程地质条件</v>
      </c>
      <c r="AA42" s="1352">
        <f t="shared" si="3"/>
        <v>1</v>
      </c>
      <c r="AB42" s="1352">
        <f t="shared" si="4"/>
        <v>1</v>
      </c>
      <c r="AC42" s="1352">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48"/>
      <c r="Q43" s="1351">
        <f t="shared" si="14"/>
        <v>111</v>
      </c>
      <c r="R43" s="705" t="s">
        <v>14</v>
      </c>
      <c r="S43" s="706">
        <f t="shared" si="10"/>
        <v>100</v>
      </c>
      <c r="T43" s="705" t="s">
        <v>14</v>
      </c>
      <c r="U43" s="706">
        <f t="shared" si="11"/>
        <v>100</v>
      </c>
      <c r="V43" s="705" t="s">
        <v>14</v>
      </c>
      <c r="W43" s="706">
        <f t="shared" si="12"/>
        <v>100</v>
      </c>
      <c r="X43" s="1354"/>
      <c r="Y43" s="3748"/>
      <c r="Z43" s="1355">
        <f t="shared" si="13"/>
        <v>111</v>
      </c>
      <c r="AA43" s="1352">
        <f t="shared" si="3"/>
        <v>1</v>
      </c>
      <c r="AB43" s="1352">
        <f t="shared" si="4"/>
        <v>1</v>
      </c>
      <c r="AC43" s="1352">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48"/>
      <c r="Q44" s="1351">
        <f t="shared" si="14"/>
        <v>111</v>
      </c>
      <c r="R44" s="705" t="s">
        <v>14</v>
      </c>
      <c r="S44" s="706">
        <f t="shared" si="10"/>
        <v>100</v>
      </c>
      <c r="T44" s="705" t="s">
        <v>14</v>
      </c>
      <c r="U44" s="706">
        <f t="shared" si="11"/>
        <v>100</v>
      </c>
      <c r="V44" s="705" t="s">
        <v>14</v>
      </c>
      <c r="W44" s="706">
        <f t="shared" si="12"/>
        <v>100</v>
      </c>
      <c r="X44" s="1354"/>
      <c r="Y44" s="3748"/>
      <c r="Z44" s="1355">
        <f t="shared" si="13"/>
        <v>111</v>
      </c>
      <c r="AA44" s="1352">
        <f t="shared" si="3"/>
        <v>1</v>
      </c>
      <c r="AB44" s="1352">
        <f t="shared" si="4"/>
        <v>1</v>
      </c>
      <c r="AC44" s="1352">
        <f t="shared" si="5"/>
        <v>1</v>
      </c>
    </row>
    <row r="45" spans="1:29" s="422" customFormat="1" ht="15.75" hidden="1"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48"/>
      <c r="Q45" s="1351">
        <f t="shared" si="14"/>
        <v>111</v>
      </c>
      <c r="R45" s="708" t="s">
        <v>14</v>
      </c>
      <c r="S45" s="709">
        <f t="shared" si="10"/>
        <v>100</v>
      </c>
      <c r="T45" s="708" t="s">
        <v>14</v>
      </c>
      <c r="U45" s="709">
        <f t="shared" si="11"/>
        <v>100</v>
      </c>
      <c r="V45" s="708" t="s">
        <v>14</v>
      </c>
      <c r="W45" s="709">
        <f t="shared" si="12"/>
        <v>100</v>
      </c>
      <c r="X45" s="710"/>
      <c r="Y45" s="3748"/>
      <c r="Z45" s="711">
        <f t="shared" si="13"/>
        <v>111</v>
      </c>
      <c r="AA45" s="1352">
        <f t="shared" si="3"/>
        <v>1</v>
      </c>
      <c r="AB45" s="1352">
        <f t="shared" si="4"/>
        <v>1</v>
      </c>
      <c r="AC45" s="1352">
        <f t="shared" si="5"/>
        <v>1</v>
      </c>
    </row>
    <row r="46" spans="1:29" ht="15">
      <c r="A46" s="430" t="s">
        <v>1843</v>
      </c>
      <c r="B46" s="1978" t="s">
        <v>1877</v>
      </c>
      <c r="C46" s="630" t="s">
        <v>0</v>
      </c>
      <c r="D46" s="432"/>
      <c r="E46" s="433">
        <f>土地案例!N9</f>
        <v>23350</v>
      </c>
      <c r="F46" s="434"/>
      <c r="G46" s="435">
        <f>土地案例!N11</f>
        <v>26825</v>
      </c>
      <c r="H46" s="436"/>
      <c r="I46" s="433">
        <f>土地案例!N12</f>
        <v>21209</v>
      </c>
      <c r="J46" s="436"/>
      <c r="K46" s="714"/>
      <c r="L46" s="2718"/>
      <c r="M46" s="2719"/>
      <c r="N46" s="2710"/>
      <c r="O46" s="2719"/>
      <c r="P46" s="3741" t="str">
        <f>A46</f>
        <v>成交单价</v>
      </c>
      <c r="Q46" s="3741"/>
      <c r="R46" s="3736">
        <f>E46</f>
        <v>23350</v>
      </c>
      <c r="S46" s="3736"/>
      <c r="T46" s="3736">
        <f>G46</f>
        <v>26825</v>
      </c>
      <c r="U46" s="3736"/>
      <c r="V46" s="3736">
        <f>I46</f>
        <v>21209</v>
      </c>
      <c r="W46" s="3736"/>
      <c r="X46" s="690"/>
      <c r="Y46" s="712"/>
      <c r="Z46" s="690"/>
      <c r="AA46" s="690"/>
      <c r="AB46" s="690"/>
      <c r="AC46" s="690"/>
    </row>
    <row r="47" spans="1:29" ht="15.75" thickBot="1">
      <c r="A47" s="437" t="s">
        <v>1792</v>
      </c>
      <c r="B47" s="631"/>
      <c r="C47" s="440">
        <f>R48</f>
        <v>24411</v>
      </c>
      <c r="D47" s="2313" t="s">
        <v>2136</v>
      </c>
      <c r="E47" s="440">
        <f>R47</f>
        <v>24517</v>
      </c>
      <c r="F47" s="2314"/>
      <c r="G47" s="439">
        <f>T47</f>
        <v>27703</v>
      </c>
      <c r="H47" s="2314"/>
      <c r="I47" s="440">
        <f>V47</f>
        <v>21012</v>
      </c>
      <c r="J47" s="2314"/>
      <c r="K47" s="2316">
        <f>F47+H47+J47</f>
        <v>0</v>
      </c>
      <c r="L47" s="2718"/>
      <c r="M47" s="2719"/>
      <c r="N47" s="2719"/>
      <c r="O47" s="2719"/>
      <c r="P47" s="3741" t="str">
        <f>A47</f>
        <v>比较价值（元/平方米）</v>
      </c>
      <c r="Q47" s="3741"/>
      <c r="R47" s="3769">
        <f>ROUND(PRODUCT(R46,AA7:AA45),0)</f>
        <v>24517</v>
      </c>
      <c r="S47" s="3769"/>
      <c r="T47" s="3769">
        <f>ROUND(PRODUCT(T46,AB7:AB45),0)</f>
        <v>27703</v>
      </c>
      <c r="U47" s="3769"/>
      <c r="V47" s="3769">
        <f>ROUND(PRODUCT(V46,AC7:AC45),0)</f>
        <v>21012</v>
      </c>
      <c r="W47" s="3769"/>
      <c r="X47" s="690"/>
      <c r="Y47" s="690"/>
      <c r="Z47" s="690"/>
      <c r="AA47" s="690"/>
      <c r="AB47" s="690"/>
      <c r="AC47" s="690"/>
    </row>
    <row r="48" spans="1:29" ht="15.75" thickBot="1">
      <c r="A48" s="441" t="s">
        <v>1878</v>
      </c>
      <c r="B48" s="442"/>
      <c r="C48" s="443">
        <f>R48</f>
        <v>24411</v>
      </c>
      <c r="D48" s="443"/>
      <c r="E48" s="443"/>
      <c r="F48" s="443"/>
      <c r="G48" s="443"/>
      <c r="H48" s="443"/>
      <c r="I48" s="443"/>
      <c r="J48" s="443"/>
      <c r="K48" s="715"/>
      <c r="L48" s="2718"/>
      <c r="M48" s="2719"/>
      <c r="N48" s="2719"/>
      <c r="O48" s="2719"/>
      <c r="P48" s="3738" t="str">
        <f>A48</f>
        <v>估价对象XX用房的比较价值（楼面单价，元/平方米）</v>
      </c>
      <c r="Q48" s="3739"/>
      <c r="R48" s="3770">
        <f>ROUND(IF(D47="简单平均",AVERAGE(R47:W47),R47*F47+T47*H47+V47*J47),0)</f>
        <v>24411</v>
      </c>
      <c r="S48" s="3770"/>
      <c r="T48" s="3770"/>
      <c r="U48" s="3770"/>
      <c r="V48" s="3770"/>
      <c r="W48" s="3770"/>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1794</v>
      </c>
      <c r="D51" s="447"/>
      <c r="E51" s="448">
        <f>IF(E46&lt;E47,E47/E46-1,E46/E47-1)</f>
        <v>4.9978586723768759E-2</v>
      </c>
      <c r="F51" s="449" t="str">
        <f>IF(OR(E51&gt;=0.3,E51&lt;=-0.3),"超过30%","")</f>
        <v/>
      </c>
      <c r="G51" s="448">
        <f>IF(G46&lt;G47,G47/G46-1,G46/G47-1)</f>
        <v>3.2730661696178887E-2</v>
      </c>
      <c r="H51" s="449" t="str">
        <f>IF(OR(G51&gt;=0.3,G51&lt;=-0.3),"超过30%","")</f>
        <v/>
      </c>
      <c r="I51" s="448">
        <f>IF(I46&lt;I47,I47/I46-1,I46/I47-1)</f>
        <v>9.3755948981535386E-3</v>
      </c>
      <c r="J51" s="449" t="str">
        <f>IF(OR(I51&gt;=0.3,I51&lt;=-0.3),"超过30%","")</f>
        <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1795</v>
      </c>
      <c r="D52" s="450"/>
      <c r="E52" s="448">
        <f>IF(E47&lt;G47,G47/E47-1,E47/G47-1)</f>
        <v>0.1299506464901905</v>
      </c>
      <c r="F52" s="449" t="str">
        <f>IF(OR(E52&gt;=0.2,E52&lt;=-0.2),"超过20%","")</f>
        <v/>
      </c>
      <c r="G52" s="448">
        <f>IF(G47&lt;I47,I47/G47-1,G47/I47-1)</f>
        <v>0.31843708357129263</v>
      </c>
      <c r="H52" s="449" t="str">
        <f>IF(OR(G52&gt;=0.2,G52&lt;=-0.2),"超过20%","")</f>
        <v>超过20%</v>
      </c>
      <c r="I52" s="448">
        <f>IF(I47&lt;E47,E47/I47-1,I47/E47-1)</f>
        <v>0.16680944222349137</v>
      </c>
      <c r="J52" s="449" t="str">
        <f>IF(OR(I52&gt;=0.2,I52&lt;=-0.2),"超过20%","")</f>
        <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1796</v>
      </c>
      <c r="D53" s="450"/>
      <c r="E53" s="448">
        <f>IF(E46&lt;G46,G46/E46-1,E46/G46-1)</f>
        <v>0.14882226980728053</v>
      </c>
      <c r="F53" s="449" t="str">
        <f>IF(OR(E53&gt;=0.3,E53&lt;=-0.3),"超过30%","")</f>
        <v/>
      </c>
      <c r="G53" s="448">
        <f>IF(G46&lt;I46,I46/G46-1,G46/I46-1)</f>
        <v>0.26479324814937044</v>
      </c>
      <c r="H53" s="449" t="str">
        <f>IF(OR(G53&gt;=0.3,G53&lt;=-0.3),"超过30%","")</f>
        <v/>
      </c>
      <c r="I53" s="448">
        <f>IF(I46&lt;E46,E46/I46-1,I46/E46-1)</f>
        <v>0.10094771087745769</v>
      </c>
      <c r="J53" s="449" t="str">
        <f>IF(OR(I53&gt;=0.3,I53&lt;=-0.3),"超过30%","")</f>
        <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1879</v>
      </c>
      <c r="B55" s="633" t="s">
        <v>1880</v>
      </c>
      <c r="C55" s="1979" t="s">
        <v>1881</v>
      </c>
      <c r="D55" s="1980" t="s">
        <v>1882</v>
      </c>
      <c r="E55" s="634" t="s">
        <v>1883</v>
      </c>
      <c r="F55" s="890" t="s">
        <v>1884</v>
      </c>
      <c r="G55" s="3724" t="s">
        <v>1885</v>
      </c>
      <c r="H55" s="3771"/>
      <c r="I55" s="135" t="s">
        <v>1886</v>
      </c>
      <c r="J55" s="1981">
        <f>项目基本情况!F35</f>
        <v>0</v>
      </c>
      <c r="K55" s="1982" t="s">
        <v>1887</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1888</v>
      </c>
      <c r="B56" s="637">
        <f>C48</f>
        <v>24411</v>
      </c>
      <c r="C56" s="638">
        <v>1</v>
      </c>
      <c r="D56" s="944">
        <v>1</v>
      </c>
      <c r="E56" s="638">
        <f>'数据-汇总表'!E8+'数据-汇总表'!E9</f>
        <v>14977.599999999997</v>
      </c>
      <c r="F56" s="886">
        <f t="shared" ref="F56:F64" si="15">ROUND(B56*E56/10000,0)</f>
        <v>36562</v>
      </c>
      <c r="G56" s="3723"/>
      <c r="H56" s="3741"/>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1889</v>
      </c>
      <c r="B57" s="218">
        <f>ROUND($C$48*C57*D57,0)</f>
        <v>0</v>
      </c>
      <c r="C57" s="171">
        <f t="shared" ref="C57:C64" si="16">IF($C$55="北京市系数",I57,J57)</f>
        <v>0</v>
      </c>
      <c r="D57" s="945">
        <v>0.25</v>
      </c>
      <c r="E57" s="642"/>
      <c r="F57" s="886">
        <f t="shared" si="15"/>
        <v>0</v>
      </c>
      <c r="G57" s="3000" t="s">
        <v>1890</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1891</v>
      </c>
      <c r="B58" s="218">
        <f t="shared" ref="B58:B64" si="17">ROUND($C$48*C58*D58,0)</f>
        <v>0</v>
      </c>
      <c r="C58" s="171">
        <f t="shared" si="16"/>
        <v>0</v>
      </c>
      <c r="D58" s="945">
        <v>0.25</v>
      </c>
      <c r="E58" s="642"/>
      <c r="F58" s="886">
        <f t="shared" si="15"/>
        <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1892</v>
      </c>
      <c r="B59" s="218">
        <f t="shared" si="17"/>
        <v>0</v>
      </c>
      <c r="C59" s="171">
        <f t="shared" si="16"/>
        <v>0</v>
      </c>
      <c r="D59" s="945">
        <v>0.25</v>
      </c>
      <c r="E59" s="642"/>
      <c r="F59" s="886">
        <f t="shared" si="15"/>
        <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1893</v>
      </c>
      <c r="B60" s="218">
        <f t="shared" si="17"/>
        <v>1221</v>
      </c>
      <c r="C60" s="171">
        <f t="shared" si="16"/>
        <v>0.2</v>
      </c>
      <c r="D60" s="945">
        <v>0.25</v>
      </c>
      <c r="E60" s="217">
        <f>'数据-汇总表'!E11</f>
        <v>0</v>
      </c>
      <c r="F60" s="886">
        <f t="shared" si="15"/>
        <v>0</v>
      </c>
      <c r="G60" s="1983" t="s">
        <v>1894</v>
      </c>
      <c r="H60" s="887" t="str">
        <f>项目基本情况!C37</f>
        <v>八级</v>
      </c>
      <c r="I60" s="891">
        <f>SUMIF(修正!A57:A68,H60,修正!E57:E68)</f>
        <v>0.2</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1895</v>
      </c>
      <c r="B61" s="218">
        <f t="shared" si="17"/>
        <v>1221</v>
      </c>
      <c r="C61" s="171">
        <f t="shared" si="16"/>
        <v>0.2</v>
      </c>
      <c r="D61" s="945">
        <v>0.25</v>
      </c>
      <c r="E61" s="217">
        <f>'数据-汇总表'!E12</f>
        <v>5373.0999999999995</v>
      </c>
      <c r="F61" s="886">
        <f t="shared" si="15"/>
        <v>656</v>
      </c>
      <c r="G61" s="892" t="s">
        <v>1896</v>
      </c>
      <c r="H61" s="887" t="str">
        <f>IF(G61="商业",项目基本情况!B37,IF(G61="办公",项目基本情况!C37,IF(G61="住宅",项目基本情况!D37,项目基本情况!E37)))</f>
        <v>八级</v>
      </c>
      <c r="I61" s="891">
        <f>SUMIF(修正!A57:A68,H61,修正!F57:F68)</f>
        <v>0.2</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1897</v>
      </c>
      <c r="B62" s="218">
        <f t="shared" si="17"/>
        <v>610</v>
      </c>
      <c r="C62" s="171">
        <f t="shared" si="16"/>
        <v>0.1</v>
      </c>
      <c r="D62" s="945">
        <v>0.25</v>
      </c>
      <c r="E62" s="217">
        <f>'数据-汇总表'!E13</f>
        <v>37107.17</v>
      </c>
      <c r="F62" s="886">
        <f t="shared" si="15"/>
        <v>2264</v>
      </c>
      <c r="G62" s="892" t="s">
        <v>1898</v>
      </c>
      <c r="H62" s="887" t="str">
        <f>IF(G62="商业",项目基本情况!B37,IF(G62="办公",项目基本情况!C37,IF(G62="住宅",项目基本情况!D37,项目基本情况!E37)))</f>
        <v>八级</v>
      </c>
      <c r="I62" s="891">
        <f>SUMIF(修正!A57:A68,H62,修正!G57:G68)</f>
        <v>0.1</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1899</v>
      </c>
      <c r="B63" s="218">
        <f t="shared" si="17"/>
        <v>0</v>
      </c>
      <c r="C63" s="171">
        <f t="shared" si="16"/>
        <v>0</v>
      </c>
      <c r="D63" s="945">
        <v>0.25</v>
      </c>
      <c r="E63" s="217">
        <f>'数据-汇总表'!E14</f>
        <v>0</v>
      </c>
      <c r="F63" s="886">
        <f t="shared" si="15"/>
        <v>0</v>
      </c>
      <c r="G63" s="1983" t="s">
        <v>1890</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1900</v>
      </c>
      <c r="B64" s="218">
        <f t="shared" si="17"/>
        <v>610</v>
      </c>
      <c r="C64" s="171">
        <f t="shared" si="16"/>
        <v>0.1</v>
      </c>
      <c r="D64" s="945">
        <v>0.25</v>
      </c>
      <c r="E64" s="217">
        <f>'数据-汇总表'!E15</f>
        <v>0</v>
      </c>
      <c r="F64" s="886">
        <f t="shared" si="15"/>
        <v>0</v>
      </c>
      <c r="G64" s="1984" t="s">
        <v>1894</v>
      </c>
      <c r="H64" s="897" t="str">
        <f>项目基本情况!C37</f>
        <v>八级</v>
      </c>
      <c r="I64" s="893">
        <f>SUMIF(修正!A57:A68,H64,修正!G57:G68)</f>
        <v>0.1</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1901</v>
      </c>
      <c r="B65" s="644" t="s">
        <v>22</v>
      </c>
      <c r="C65" s="644" t="s">
        <v>23</v>
      </c>
      <c r="D65" s="644" t="s">
        <v>392</v>
      </c>
      <c r="E65" s="644">
        <f>IF(B46="楼面地价",SUM(E56:E64),'数据-汇总表'!D3)</f>
        <v>57457.869999999995</v>
      </c>
      <c r="F65" s="645">
        <f>IF(B46="楼面地价",SUM(F56:F64),ROUND(C48*E65/10000,0))</f>
        <v>39482</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19"/>
      <c r="Q67" s="2719"/>
      <c r="R67" s="2719"/>
      <c r="S67" s="2719"/>
      <c r="T67" s="2719"/>
      <c r="U67" s="2719"/>
      <c r="V67" s="2719"/>
      <c r="W67" s="2719"/>
      <c r="X67" s="2719"/>
      <c r="Y67" s="2719"/>
      <c r="Z67" s="2719"/>
      <c r="AA67" s="2719"/>
      <c r="AB67" s="2719"/>
      <c r="AC67" s="2719"/>
    </row>
    <row r="68" spans="1:29" ht="21.75" thickBot="1">
      <c r="A68" s="694" t="s">
        <v>1797</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5" t="s">
        <v>1902</v>
      </c>
      <c r="B69" s="1109"/>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0" t="s">
        <v>4683</v>
      </c>
      <c r="Q69" s="2735"/>
      <c r="R69" s="2735"/>
      <c r="S69" s="2735"/>
      <c r="T69" s="2735"/>
      <c r="U69" s="2735"/>
      <c r="V69" s="2735"/>
      <c r="W69" s="2735"/>
      <c r="X69" s="2735"/>
      <c r="Y69" s="2735"/>
      <c r="Z69" s="2735"/>
      <c r="AA69" s="2735"/>
      <c r="AB69" s="2735"/>
      <c r="AC69" s="2735"/>
    </row>
    <row r="70" spans="1:29" s="108" customFormat="1" ht="30" customHeight="1">
      <c r="A70" s="1986" t="s">
        <v>1903</v>
      </c>
      <c r="B70" s="288" t="str">
        <f>"北京市平均增长率"&amp;TEXT(SUMIF(基准地价修正!N25:N29,A70,基准地价修正!P25:P29),"0.00%")</f>
        <v>北京市平均增长率0.00%</v>
      </c>
      <c r="C70" s="552">
        <v>100</v>
      </c>
      <c r="D70" s="544">
        <f>C70-0.5</f>
        <v>99.5</v>
      </c>
      <c r="E70" s="544">
        <f t="shared" ref="E70:P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544">
        <f t="shared" si="20"/>
        <v>93.5</v>
      </c>
      <c r="Q70" s="2655"/>
      <c r="R70" s="2655"/>
      <c r="S70" s="2655"/>
      <c r="T70" s="2655"/>
      <c r="U70" s="2655"/>
      <c r="V70" s="2655"/>
      <c r="W70" s="2655"/>
      <c r="X70" s="2655"/>
      <c r="Y70" s="2655"/>
      <c r="Z70" s="2655"/>
      <c r="AA70" s="2655"/>
      <c r="AB70" s="2655"/>
      <c r="AC70" s="2655"/>
    </row>
    <row r="71" spans="1:29" s="108" customFormat="1" ht="15.75" thickBot="1">
      <c r="A71" s="464" t="s">
        <v>1715</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1680</v>
      </c>
      <c r="B72" s="459"/>
      <c r="C72" s="471" t="s">
        <v>1775</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1718</v>
      </c>
      <c r="B74" s="477" t="s">
        <v>1684</v>
      </c>
      <c r="C74" s="3854" t="s">
        <v>4684</v>
      </c>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v>100</v>
      </c>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1687</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1688</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v>
      </c>
      <c r="I78" s="496" t="str">
        <f t="shared" si="21"/>
        <v>（含）-</v>
      </c>
      <c r="J78" s="496" t="str">
        <f t="shared" si="21"/>
        <v>（含）-</v>
      </c>
      <c r="K78" s="496" t="str">
        <f t="shared" si="21"/>
        <v>（含）-</v>
      </c>
      <c r="L78" s="496" t="str">
        <f t="shared" si="21"/>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v>0</v>
      </c>
      <c r="D79" s="498">
        <v>1</v>
      </c>
      <c r="E79" s="498">
        <v>2</v>
      </c>
      <c r="F79" s="498">
        <v>3</v>
      </c>
      <c r="G79" s="498">
        <v>4</v>
      </c>
      <c r="H79" s="498">
        <v>5</v>
      </c>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是否有自持</v>
      </c>
      <c r="C81" s="3855" t="s">
        <v>4686</v>
      </c>
      <c r="D81" s="3855" t="s">
        <v>4687</v>
      </c>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v>100</v>
      </c>
      <c r="D82" s="485">
        <v>95</v>
      </c>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29.25" thickTop="1">
      <c r="A83" s="502"/>
      <c r="B83" s="487" t="str">
        <f>B13</f>
        <v>限价</v>
      </c>
      <c r="C83" s="472" t="s">
        <v>4691</v>
      </c>
      <c r="D83" s="472" t="s">
        <v>4692</v>
      </c>
      <c r="E83" s="3858" t="s">
        <v>4693</v>
      </c>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19">
        <v>100</v>
      </c>
      <c r="D84" s="519">
        <v>104</v>
      </c>
      <c r="E84" s="519">
        <v>108</v>
      </c>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t="str">
        <f>B14</f>
        <v>政府持有份额比例</v>
      </c>
      <c r="C85" s="3859">
        <v>0</v>
      </c>
      <c r="D85" s="3859">
        <v>0.2</v>
      </c>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v>100</v>
      </c>
      <c r="D86" s="519">
        <v>90</v>
      </c>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1689</v>
      </c>
      <c r="B87" s="477" t="s">
        <v>1719</v>
      </c>
      <c r="C87" s="522" t="s">
        <v>1720</v>
      </c>
      <c r="D87" s="522" t="s">
        <v>1721</v>
      </c>
      <c r="E87" s="522" t="s">
        <v>1722</v>
      </c>
      <c r="F87" s="522" t="s">
        <v>1723</v>
      </c>
      <c r="G87" s="522" t="s">
        <v>1724</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98</v>
      </c>
      <c r="E88" s="493">
        <f>D88-$K15</f>
        <v>96</v>
      </c>
      <c r="F88" s="493">
        <f>E88-$K15</f>
        <v>94</v>
      </c>
      <c r="G88" s="493">
        <f>F88-$K15</f>
        <v>92</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1904</v>
      </c>
      <c r="C89" s="527" t="s">
        <v>1720</v>
      </c>
      <c r="D89" s="527" t="s">
        <v>1721</v>
      </c>
      <c r="E89" s="527" t="s">
        <v>1722</v>
      </c>
      <c r="F89" s="527" t="s">
        <v>1723</v>
      </c>
      <c r="G89" s="527" t="s">
        <v>1724</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1820</v>
      </c>
      <c r="C91" s="527" t="s">
        <v>1720</v>
      </c>
      <c r="D91" s="527" t="s">
        <v>1721</v>
      </c>
      <c r="E91" s="527" t="s">
        <v>1722</v>
      </c>
      <c r="F91" s="527" t="s">
        <v>1723</v>
      </c>
      <c r="G91" s="527" t="s">
        <v>1724</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1725</v>
      </c>
      <c r="C93" s="527" t="s">
        <v>1720</v>
      </c>
      <c r="D93" s="527" t="s">
        <v>1721</v>
      </c>
      <c r="E93" s="527" t="s">
        <v>1722</v>
      </c>
      <c r="F93" s="527" t="s">
        <v>1723</v>
      </c>
      <c r="G93" s="527" t="s">
        <v>1724</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98</v>
      </c>
      <c r="E94" s="493">
        <f>D94-$K21</f>
        <v>96</v>
      </c>
      <c r="F94" s="493">
        <f>E94-$K21</f>
        <v>94</v>
      </c>
      <c r="G94" s="493">
        <f>F94-$K21</f>
        <v>92</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1905</v>
      </c>
      <c r="C95" s="527" t="s">
        <v>1720</v>
      </c>
      <c r="D95" s="527" t="s">
        <v>1721</v>
      </c>
      <c r="E95" s="527" t="s">
        <v>1722</v>
      </c>
      <c r="F95" s="527" t="s">
        <v>1723</v>
      </c>
      <c r="G95" s="527" t="s">
        <v>1724</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1906</v>
      </c>
      <c r="C97" s="522" t="s">
        <v>1720</v>
      </c>
      <c r="D97" s="522" t="s">
        <v>1721</v>
      </c>
      <c r="E97" s="522" t="s">
        <v>1722</v>
      </c>
      <c r="F97" s="522" t="s">
        <v>1723</v>
      </c>
      <c r="G97" s="522" t="s">
        <v>1724</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1814</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1871</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1693</v>
      </c>
      <c r="B115" s="477" t="s">
        <v>1911</v>
      </c>
      <c r="C115" s="478" t="str">
        <f>C116&amp;"(含)"&amp;"-"&amp;D116</f>
        <v>0(含)-30000</v>
      </c>
      <c r="D115" s="478" t="str">
        <f t="shared" ref="D115:M115" si="26">D116&amp;"(含)"&amp;"-"&amp;E116</f>
        <v>30000(含)-60000</v>
      </c>
      <c r="E115" s="478" t="str">
        <f t="shared" si="26"/>
        <v>60000(含)-90000</v>
      </c>
      <c r="F115" s="478" t="str">
        <f t="shared" si="26"/>
        <v>90000(含)-120000</v>
      </c>
      <c r="G115" s="478" t="str">
        <f t="shared" si="26"/>
        <v>120000(含)-</v>
      </c>
      <c r="H115" s="478" t="str">
        <f t="shared" si="26"/>
        <v>(含)-</v>
      </c>
      <c r="I115" s="478" t="str">
        <f t="shared" si="26"/>
        <v>(含)-</v>
      </c>
      <c r="J115" s="478" t="str">
        <f t="shared" si="26"/>
        <v>(含)-</v>
      </c>
      <c r="K115" s="478" t="str">
        <f t="shared" si="26"/>
        <v>(含)-</v>
      </c>
      <c r="L115" s="478" t="str">
        <f t="shared" si="26"/>
        <v>(含)-</v>
      </c>
      <c r="M115" s="478" t="str">
        <f t="shared" si="26"/>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v>0</v>
      </c>
      <c r="D116" s="544">
        <f>C116+30000</f>
        <v>30000</v>
      </c>
      <c r="E116" s="544">
        <f t="shared" ref="E116:G116" si="27">D116+30000</f>
        <v>60000</v>
      </c>
      <c r="F116" s="544">
        <f t="shared" si="27"/>
        <v>90000</v>
      </c>
      <c r="G116" s="544">
        <f t="shared" si="27"/>
        <v>120000</v>
      </c>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v>100</v>
      </c>
      <c r="D117" s="540">
        <v>101</v>
      </c>
      <c r="E117" s="540">
        <v>102</v>
      </c>
      <c r="F117" s="540">
        <v>101</v>
      </c>
      <c r="G117" s="540">
        <v>100</v>
      </c>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1912</v>
      </c>
      <c r="C118" s="3867" t="s">
        <v>4704</v>
      </c>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8">C119-$K39</f>
        <v>99</v>
      </c>
      <c r="E119" s="493">
        <f t="shared" si="28"/>
        <v>98</v>
      </c>
      <c r="F119" s="493">
        <f t="shared" si="28"/>
        <v>97</v>
      </c>
      <c r="G119" s="493">
        <f t="shared" si="28"/>
        <v>96</v>
      </c>
      <c r="H119" s="493">
        <f t="shared" si="28"/>
        <v>95</v>
      </c>
      <c r="I119" s="493">
        <f t="shared" si="28"/>
        <v>94</v>
      </c>
      <c r="J119" s="493">
        <f t="shared" si="28"/>
        <v>93</v>
      </c>
      <c r="K119" s="493">
        <f t="shared" si="28"/>
        <v>92</v>
      </c>
      <c r="L119" s="493">
        <f t="shared" si="28"/>
        <v>91</v>
      </c>
      <c r="M119" s="494">
        <f t="shared" si="28"/>
        <v>90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1913</v>
      </c>
      <c r="C120" s="3855" t="s">
        <v>4706</v>
      </c>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9">C121-$K40</f>
        <v>99</v>
      </c>
      <c r="E121" s="493">
        <f t="shared" si="29"/>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1914</v>
      </c>
      <c r="C122" s="3868" t="s">
        <v>4708</v>
      </c>
      <c r="D122" s="3868" t="s">
        <v>4709</v>
      </c>
      <c r="E122" s="3868" t="s">
        <v>4710</v>
      </c>
      <c r="F122" s="3868" t="s">
        <v>4711</v>
      </c>
      <c r="G122" s="3868" t="s">
        <v>4712</v>
      </c>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30">C123-$K41</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1915</v>
      </c>
      <c r="C124" s="3855" t="s">
        <v>4707</v>
      </c>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31">C125-$K42</f>
        <v>99</v>
      </c>
      <c r="E125" s="493">
        <f t="shared" si="31"/>
        <v>98</v>
      </c>
      <c r="F125" s="493">
        <f t="shared" si="31"/>
        <v>97</v>
      </c>
      <c r="G125" s="493">
        <f t="shared" si="31"/>
        <v>96</v>
      </c>
      <c r="H125" s="493">
        <f t="shared" si="31"/>
        <v>95</v>
      </c>
      <c r="I125" s="493">
        <f t="shared" si="31"/>
        <v>94</v>
      </c>
      <c r="J125" s="493">
        <f t="shared" si="31"/>
        <v>93</v>
      </c>
      <c r="K125" s="493">
        <f t="shared" si="31"/>
        <v>92</v>
      </c>
      <c r="L125" s="493">
        <f t="shared" si="31"/>
        <v>91</v>
      </c>
      <c r="M125" s="494">
        <f t="shared" si="31"/>
        <v>90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16"/>
  <sheetViews>
    <sheetView zoomScale="85" zoomScaleNormal="85" workbookViewId="0">
      <selection activeCell="H25" sqref="H25"/>
    </sheetView>
  </sheetViews>
  <sheetFormatPr defaultRowHeight="13.5"/>
  <cols>
    <col min="1" max="1" width="22.75" style="3848" customWidth="1"/>
    <col min="2" max="2" width="9.625" style="3848" customWidth="1"/>
    <col min="3" max="3" width="7.375" style="3848" customWidth="1"/>
    <col min="4" max="4" width="13.5" style="3848" customWidth="1"/>
    <col min="5" max="5" width="8" style="3848" customWidth="1"/>
    <col min="6" max="6" width="9.25" style="3848" customWidth="1"/>
    <col min="7" max="7" width="13.125" style="3848" customWidth="1"/>
    <col min="8" max="8" width="15.25" style="3848" customWidth="1"/>
    <col min="9" max="9" width="15.375" style="3848" customWidth="1"/>
    <col min="10" max="10" width="11.625" style="3848" customWidth="1"/>
    <col min="11" max="11" width="11.75" style="3848" customWidth="1"/>
    <col min="12" max="12" width="12.75" style="3848" customWidth="1"/>
    <col min="13" max="13" width="9" style="3848" customWidth="1"/>
    <col min="14" max="14" width="9.875" style="3848" customWidth="1"/>
    <col min="15" max="15" width="8.125" style="3848" customWidth="1"/>
    <col min="16" max="17" width="20" style="3848" customWidth="1"/>
    <col min="18" max="16384" width="9" style="3848"/>
  </cols>
  <sheetData>
    <row r="1" spans="1:17">
      <c r="A1" s="3848" t="s">
        <v>4585</v>
      </c>
      <c r="B1" s="3848" t="s">
        <v>4586</v>
      </c>
      <c r="C1" s="3848" t="s">
        <v>4587</v>
      </c>
      <c r="D1" s="3848" t="s">
        <v>4588</v>
      </c>
      <c r="E1" s="3848" t="s">
        <v>4589</v>
      </c>
      <c r="F1" s="3848" t="s">
        <v>4590</v>
      </c>
      <c r="G1" s="3848" t="s">
        <v>4591</v>
      </c>
      <c r="H1" s="3848" t="s">
        <v>4592</v>
      </c>
      <c r="I1" s="3848" t="s">
        <v>4593</v>
      </c>
      <c r="J1" s="3848" t="s">
        <v>4594</v>
      </c>
      <c r="K1" s="3848" t="s">
        <v>4595</v>
      </c>
      <c r="L1" s="3848" t="s">
        <v>4596</v>
      </c>
      <c r="M1" s="3848" t="s">
        <v>4597</v>
      </c>
      <c r="N1" s="3848" t="s">
        <v>4598</v>
      </c>
      <c r="O1" s="3848" t="s">
        <v>4599</v>
      </c>
      <c r="P1" s="3848" t="s">
        <v>4600</v>
      </c>
    </row>
    <row r="2" spans="1:17">
      <c r="A2" s="3848" t="s">
        <v>4601</v>
      </c>
      <c r="B2" s="3848" t="s">
        <v>4602</v>
      </c>
      <c r="C2" s="3848" t="s">
        <v>4603</v>
      </c>
      <c r="D2" s="3848" t="s">
        <v>4604</v>
      </c>
      <c r="E2" s="3848" t="s">
        <v>4605</v>
      </c>
      <c r="F2" s="3848" t="s">
        <v>4606</v>
      </c>
      <c r="G2" s="3848" t="s">
        <v>4607</v>
      </c>
      <c r="H2" s="3848">
        <v>66536.039999999994</v>
      </c>
      <c r="I2" s="3848">
        <v>28612.54</v>
      </c>
      <c r="J2" s="3848" t="s">
        <v>4608</v>
      </c>
      <c r="K2" s="3848">
        <v>104000</v>
      </c>
      <c r="L2" s="3849">
        <v>44964.000497685185</v>
      </c>
      <c r="M2" s="3848">
        <v>104000</v>
      </c>
      <c r="N2" s="3848">
        <v>15631</v>
      </c>
      <c r="O2" s="3848">
        <v>0</v>
      </c>
      <c r="P2" s="3848" t="s">
        <v>4609</v>
      </c>
    </row>
    <row r="3" spans="1:17">
      <c r="A3" s="3848" t="s">
        <v>4610</v>
      </c>
      <c r="B3" s="3848" t="s">
        <v>4611</v>
      </c>
      <c r="C3" s="3848" t="s">
        <v>4603</v>
      </c>
      <c r="D3" s="3848" t="s">
        <v>4612</v>
      </c>
      <c r="E3" s="3848" t="s">
        <v>4605</v>
      </c>
      <c r="F3" s="3848">
        <v>2</v>
      </c>
      <c r="G3" s="3848" t="s">
        <v>4613</v>
      </c>
      <c r="H3" s="3848">
        <v>49674.400000000001</v>
      </c>
      <c r="I3" s="3848">
        <v>24837.200000000001</v>
      </c>
      <c r="J3" s="3848" t="s">
        <v>4614</v>
      </c>
      <c r="K3" s="3848">
        <v>166000</v>
      </c>
      <c r="L3" s="3849">
        <v>44893.000497685185</v>
      </c>
      <c r="M3" s="3848">
        <v>166900</v>
      </c>
      <c r="N3" s="3848">
        <v>33599</v>
      </c>
      <c r="O3" s="3848">
        <v>5.4000000000000003E-3</v>
      </c>
      <c r="P3" s="3848" t="s">
        <v>4615</v>
      </c>
    </row>
    <row r="4" spans="1:17">
      <c r="A4" s="3848" t="s">
        <v>4616</v>
      </c>
      <c r="B4" s="3848" t="s">
        <v>4617</v>
      </c>
      <c r="C4" s="3848" t="s">
        <v>4603</v>
      </c>
      <c r="D4" s="3848" t="s">
        <v>4604</v>
      </c>
      <c r="E4" s="3848" t="s">
        <v>4605</v>
      </c>
      <c r="F4" s="3848" t="s">
        <v>4618</v>
      </c>
      <c r="G4" s="3848" t="s">
        <v>4619</v>
      </c>
      <c r="H4" s="3848">
        <v>56395.59</v>
      </c>
      <c r="I4" s="3848">
        <v>24601.759999999998</v>
      </c>
      <c r="J4" s="3848" t="s">
        <v>4620</v>
      </c>
      <c r="K4" s="3848">
        <v>165000</v>
      </c>
      <c r="L4" s="3849">
        <v>44826.000497685185</v>
      </c>
      <c r="M4" s="3848">
        <v>165000</v>
      </c>
      <c r="N4" s="3848">
        <v>29258</v>
      </c>
      <c r="O4" s="3848">
        <v>0</v>
      </c>
      <c r="P4" s="3848" t="s">
        <v>4621</v>
      </c>
    </row>
    <row r="5" spans="1:17" s="3449" customFormat="1">
      <c r="A5" s="3449" t="s">
        <v>4622</v>
      </c>
      <c r="B5" s="3449" t="s">
        <v>4623</v>
      </c>
      <c r="C5" s="3449" t="s">
        <v>4603</v>
      </c>
      <c r="D5" s="3449" t="s">
        <v>4604</v>
      </c>
      <c r="E5" s="3449" t="s">
        <v>4605</v>
      </c>
      <c r="F5" s="3449" t="s">
        <v>4624</v>
      </c>
      <c r="G5" s="3449" t="s">
        <v>4625</v>
      </c>
      <c r="H5" s="3449">
        <v>61339.02</v>
      </c>
      <c r="I5" s="3449">
        <v>33141.01</v>
      </c>
      <c r="J5" s="3449" t="s">
        <v>4626</v>
      </c>
      <c r="K5" s="3449">
        <v>133000</v>
      </c>
      <c r="L5" s="3850">
        <v>44608.000497685185</v>
      </c>
      <c r="M5" s="3449">
        <v>133000</v>
      </c>
      <c r="N5" s="3449">
        <v>21683</v>
      </c>
      <c r="O5" s="3449">
        <v>0</v>
      </c>
      <c r="P5" s="3449" t="s">
        <v>4627</v>
      </c>
    </row>
    <row r="6" spans="1:17">
      <c r="A6" s="3848" t="s">
        <v>4628</v>
      </c>
      <c r="B6" s="3848" t="s">
        <v>4629</v>
      </c>
      <c r="C6" s="3848" t="s">
        <v>4603</v>
      </c>
      <c r="D6" s="3848" t="s">
        <v>4604</v>
      </c>
      <c r="E6" s="3848" t="s">
        <v>4605</v>
      </c>
      <c r="F6" s="3848" t="s">
        <v>4630</v>
      </c>
      <c r="G6" s="3848" t="s">
        <v>4619</v>
      </c>
      <c r="H6" s="3848">
        <v>37104</v>
      </c>
      <c r="I6" s="3848">
        <v>25189.62</v>
      </c>
      <c r="J6" s="3848" t="s">
        <v>4631</v>
      </c>
      <c r="K6" s="3848">
        <v>29500</v>
      </c>
      <c r="L6" s="3849">
        <v>44481.000497685185</v>
      </c>
      <c r="M6" s="3848">
        <v>29500</v>
      </c>
      <c r="N6" s="3848">
        <v>7951</v>
      </c>
      <c r="O6" s="3848">
        <v>0</v>
      </c>
      <c r="P6" s="3848" t="s">
        <v>4632</v>
      </c>
    </row>
    <row r="7" spans="1:17">
      <c r="A7" s="3848" t="s">
        <v>4633</v>
      </c>
      <c r="B7" s="3848" t="s">
        <v>4634</v>
      </c>
      <c r="C7" s="3848" t="s">
        <v>4603</v>
      </c>
      <c r="D7" s="3848" t="s">
        <v>4604</v>
      </c>
      <c r="E7" s="3848" t="s">
        <v>4605</v>
      </c>
      <c r="F7" s="3848" t="s">
        <v>4635</v>
      </c>
      <c r="G7" s="3848" t="s">
        <v>4636</v>
      </c>
      <c r="H7" s="3848">
        <v>177256.92</v>
      </c>
      <c r="I7" s="3848">
        <v>104979.3</v>
      </c>
      <c r="J7" s="3848" t="s">
        <v>4637</v>
      </c>
      <c r="K7" s="3848">
        <v>447000</v>
      </c>
      <c r="L7" s="3849">
        <v>44327.000497685185</v>
      </c>
      <c r="M7" s="3848">
        <v>451600</v>
      </c>
      <c r="N7" s="3848">
        <v>25477</v>
      </c>
      <c r="O7" s="3848">
        <v>1.03E-2</v>
      </c>
      <c r="P7" s="3848" t="s">
        <v>4638</v>
      </c>
    </row>
    <row r="8" spans="1:17">
      <c r="A8" s="3848" t="s">
        <v>4639</v>
      </c>
      <c r="B8" s="3848" t="s">
        <v>4640</v>
      </c>
      <c r="C8" s="3848" t="s">
        <v>4603</v>
      </c>
      <c r="D8" s="3848" t="s">
        <v>4604</v>
      </c>
      <c r="E8" s="3848" t="s">
        <v>4605</v>
      </c>
      <c r="F8" s="3848" t="s">
        <v>4641</v>
      </c>
      <c r="G8" s="3848" t="s">
        <v>4642</v>
      </c>
      <c r="H8" s="3848">
        <v>240662.81</v>
      </c>
      <c r="I8" s="3848">
        <v>124063.23</v>
      </c>
      <c r="J8" s="3848" t="s">
        <v>4637</v>
      </c>
      <c r="K8" s="3848">
        <v>358000</v>
      </c>
      <c r="L8" s="3849">
        <v>44327.000497685185</v>
      </c>
      <c r="M8" s="3848">
        <v>411500</v>
      </c>
      <c r="N8" s="3848">
        <v>17099</v>
      </c>
      <c r="O8" s="3848">
        <v>0.14940000000000001</v>
      </c>
      <c r="P8" s="3848" t="s">
        <v>4643</v>
      </c>
    </row>
    <row r="9" spans="1:17" s="3851" customFormat="1">
      <c r="A9" s="3851" t="s">
        <v>4644</v>
      </c>
      <c r="B9" s="3851" t="s">
        <v>4645</v>
      </c>
      <c r="C9" s="3851" t="s">
        <v>4603</v>
      </c>
      <c r="D9" s="3851" t="s">
        <v>4604</v>
      </c>
      <c r="E9" s="3851" t="s">
        <v>4605</v>
      </c>
      <c r="F9" s="3851" t="s">
        <v>4646</v>
      </c>
      <c r="G9" s="3851" t="s">
        <v>4647</v>
      </c>
      <c r="H9" s="3851">
        <v>95931.32</v>
      </c>
      <c r="I9" s="3851">
        <v>44474.33</v>
      </c>
      <c r="J9" s="3851" t="s">
        <v>4637</v>
      </c>
      <c r="K9" s="3851">
        <v>179200</v>
      </c>
      <c r="L9" s="3852">
        <v>44343.000497685185</v>
      </c>
      <c r="M9" s="3851">
        <v>224000</v>
      </c>
      <c r="N9" s="3851">
        <v>23350</v>
      </c>
      <c r="O9" s="3851">
        <v>0.25</v>
      </c>
      <c r="P9" s="3851" t="s">
        <v>4648</v>
      </c>
      <c r="Q9" s="3853" t="s">
        <v>4649</v>
      </c>
    </row>
    <row r="10" spans="1:17">
      <c r="A10" s="3848" t="s">
        <v>4650</v>
      </c>
      <c r="B10" s="3848" t="s">
        <v>4651</v>
      </c>
      <c r="C10" s="3848" t="s">
        <v>4603</v>
      </c>
      <c r="D10" s="3848" t="s">
        <v>4604</v>
      </c>
      <c r="E10" s="3848" t="s">
        <v>4605</v>
      </c>
      <c r="F10" s="3848" t="s">
        <v>4652</v>
      </c>
      <c r="G10" s="3848" t="s">
        <v>4619</v>
      </c>
      <c r="H10" s="3848">
        <v>77172</v>
      </c>
      <c r="I10" s="3848">
        <v>37814.6</v>
      </c>
      <c r="J10" s="3848" t="s">
        <v>4653</v>
      </c>
      <c r="K10" s="3848">
        <v>113100</v>
      </c>
      <c r="L10" s="3849">
        <v>44026.000497685185</v>
      </c>
      <c r="M10" s="3848">
        <v>124000</v>
      </c>
      <c r="N10" s="3848">
        <v>16068</v>
      </c>
      <c r="O10" s="3848">
        <v>9.64E-2</v>
      </c>
      <c r="P10" s="3848" t="s">
        <v>4654</v>
      </c>
    </row>
    <row r="11" spans="1:17" s="3851" customFormat="1">
      <c r="A11" s="3851" t="s">
        <v>4655</v>
      </c>
      <c r="B11" s="3851" t="s">
        <v>4656</v>
      </c>
      <c r="C11" s="3851" t="s">
        <v>4603</v>
      </c>
      <c r="D11" s="3851" t="s">
        <v>4604</v>
      </c>
      <c r="E11" s="3851" t="s">
        <v>4605</v>
      </c>
      <c r="F11" s="3851" t="s">
        <v>4657</v>
      </c>
      <c r="G11" s="3851" t="s">
        <v>4619</v>
      </c>
      <c r="H11" s="3851">
        <v>50251</v>
      </c>
      <c r="I11" s="3851">
        <v>27525.64</v>
      </c>
      <c r="J11" s="3851" t="s">
        <v>4658</v>
      </c>
      <c r="K11" s="3851">
        <v>90000</v>
      </c>
      <c r="L11" s="3852">
        <v>43879.000497685185</v>
      </c>
      <c r="M11" s="3851">
        <v>134800</v>
      </c>
      <c r="N11" s="3851">
        <v>26825</v>
      </c>
      <c r="O11" s="3851">
        <v>0.49780000000000002</v>
      </c>
      <c r="P11" s="3851" t="s">
        <v>4659</v>
      </c>
    </row>
    <row r="12" spans="1:17" s="3851" customFormat="1">
      <c r="A12" s="3851" t="s">
        <v>4660</v>
      </c>
      <c r="B12" s="3851" t="s">
        <v>4661</v>
      </c>
      <c r="C12" s="3851" t="s">
        <v>4603</v>
      </c>
      <c r="D12" s="3851" t="s">
        <v>4604</v>
      </c>
      <c r="E12" s="3851" t="s">
        <v>4605</v>
      </c>
      <c r="F12" s="3851" t="s">
        <v>4662</v>
      </c>
      <c r="G12" s="3851" t="s">
        <v>4619</v>
      </c>
      <c r="H12" s="3851">
        <v>220184.56</v>
      </c>
      <c r="I12" s="3851">
        <v>99023.27</v>
      </c>
      <c r="J12" s="3851" t="s">
        <v>4663</v>
      </c>
      <c r="K12" s="3851">
        <v>380000</v>
      </c>
      <c r="L12" s="3852">
        <v>43872.000497685185</v>
      </c>
      <c r="M12" s="3851">
        <v>467000</v>
      </c>
      <c r="N12" s="3851">
        <v>21209</v>
      </c>
      <c r="O12" s="3851">
        <v>0.22889999999999999</v>
      </c>
      <c r="P12" s="3851" t="s">
        <v>4664</v>
      </c>
    </row>
    <row r="13" spans="1:17">
      <c r="A13" s="3848" t="s">
        <v>4665</v>
      </c>
      <c r="B13" s="3848" t="s">
        <v>4666</v>
      </c>
      <c r="C13" s="3848" t="s">
        <v>4603</v>
      </c>
      <c r="D13" s="3848" t="s">
        <v>4604</v>
      </c>
      <c r="E13" s="3848" t="s">
        <v>4605</v>
      </c>
      <c r="F13" s="3848" t="s">
        <v>4652</v>
      </c>
      <c r="G13" s="3848" t="s">
        <v>4667</v>
      </c>
      <c r="H13" s="3848">
        <v>153989</v>
      </c>
      <c r="I13" s="3848">
        <v>73240.63</v>
      </c>
      <c r="J13" s="3848" t="s">
        <v>4668</v>
      </c>
      <c r="K13" s="3848">
        <v>332000</v>
      </c>
      <c r="L13" s="3849">
        <v>43753.000497685185</v>
      </c>
      <c r="M13" s="3848">
        <v>332000</v>
      </c>
      <c r="N13" s="3848">
        <v>21560</v>
      </c>
      <c r="O13" s="3848">
        <v>0</v>
      </c>
      <c r="P13" s="3848" t="s">
        <v>4669</v>
      </c>
    </row>
    <row r="14" spans="1:17">
      <c r="A14" s="3848" t="s">
        <v>4670</v>
      </c>
      <c r="B14" s="3848" t="s">
        <v>4671</v>
      </c>
      <c r="C14" s="3848" t="s">
        <v>4603</v>
      </c>
      <c r="D14" s="3848" t="s">
        <v>4604</v>
      </c>
      <c r="E14" s="3848" t="s">
        <v>4605</v>
      </c>
      <c r="F14" s="3848" t="s">
        <v>4672</v>
      </c>
      <c r="G14" s="3848" t="s">
        <v>4667</v>
      </c>
      <c r="H14" s="3848">
        <v>59071</v>
      </c>
      <c r="I14" s="3848">
        <v>39084.339999999997</v>
      </c>
      <c r="J14" s="3848" t="s">
        <v>4673</v>
      </c>
      <c r="K14" s="3848">
        <v>132000</v>
      </c>
      <c r="L14" s="3849">
        <v>43498.000497685185</v>
      </c>
      <c r="M14" s="3848">
        <v>188000</v>
      </c>
      <c r="N14" s="3848">
        <v>31826</v>
      </c>
      <c r="O14" s="3848">
        <v>0.42420000000000002</v>
      </c>
      <c r="P14" s="3848" t="s">
        <v>4632</v>
      </c>
    </row>
    <row r="15" spans="1:17">
      <c r="A15" s="3848" t="s">
        <v>4674</v>
      </c>
      <c r="B15" s="3848" t="s">
        <v>4675</v>
      </c>
      <c r="C15" s="3848" t="s">
        <v>4603</v>
      </c>
      <c r="D15" s="3848" t="s">
        <v>4604</v>
      </c>
      <c r="E15" s="3848" t="s">
        <v>4605</v>
      </c>
      <c r="F15" s="3848" t="s">
        <v>4676</v>
      </c>
      <c r="G15" s="3848" t="s">
        <v>4677</v>
      </c>
      <c r="H15" s="3848">
        <v>78434</v>
      </c>
      <c r="I15" s="3848">
        <v>51248.95</v>
      </c>
      <c r="J15" s="3848" t="s">
        <v>4673</v>
      </c>
      <c r="K15" s="3848">
        <v>153000</v>
      </c>
      <c r="L15" s="3849">
        <v>43498.000497685185</v>
      </c>
      <c r="M15" s="3848">
        <v>183000</v>
      </c>
      <c r="N15" s="3848">
        <v>23332</v>
      </c>
      <c r="O15" s="3848">
        <v>0.1961</v>
      </c>
      <c r="P15" s="3848" t="s">
        <v>4678</v>
      </c>
    </row>
    <row r="16" spans="1:17">
      <c r="A16" s="3848" t="s">
        <v>4679</v>
      </c>
      <c r="B16" s="3848" t="s">
        <v>4680</v>
      </c>
      <c r="C16" s="3848" t="s">
        <v>4603</v>
      </c>
      <c r="D16" s="3848" t="s">
        <v>4604</v>
      </c>
      <c r="E16" s="3848" t="s">
        <v>4605</v>
      </c>
      <c r="F16" s="3848">
        <v>1.84</v>
      </c>
      <c r="G16" s="3848" t="s">
        <v>4667</v>
      </c>
      <c r="H16" s="3848">
        <v>54407</v>
      </c>
      <c r="I16" s="3848">
        <v>29550.2</v>
      </c>
      <c r="J16" s="3848" t="s">
        <v>4681</v>
      </c>
      <c r="K16" s="3848">
        <v>60300</v>
      </c>
      <c r="L16" s="3849">
        <v>43496.000497685185</v>
      </c>
      <c r="M16" s="3848">
        <v>84000</v>
      </c>
      <c r="N16" s="3848">
        <v>15439</v>
      </c>
      <c r="O16" s="3848">
        <v>0.39299999999999996</v>
      </c>
      <c r="P16" s="3848" t="s">
        <v>4682</v>
      </c>
    </row>
  </sheetData>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C28" sqref="C2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0"/>
      <c r="C1" s="1191"/>
      <c r="D1" s="1189"/>
      <c r="E1" s="2800"/>
      <c r="F1" s="2800"/>
      <c r="G1" s="2665"/>
      <c r="H1" s="2800"/>
      <c r="I1" s="2800"/>
      <c r="J1" s="2800"/>
      <c r="K1" s="2801">
        <f>MATCH(C1,'数据-取费表'!A6:A16,0)+5</f>
        <v>9</v>
      </c>
    </row>
    <row r="2" spans="1:33" ht="18" customHeight="1">
      <c r="A2" s="201" t="s">
        <v>1461</v>
      </c>
      <c r="B2" s="204">
        <f ca="1">C32</f>
        <v>77191</v>
      </c>
      <c r="C2" s="276" t="s">
        <v>1594</v>
      </c>
      <c r="D2" s="276"/>
      <c r="E2" s="2800"/>
      <c r="F2" s="2800"/>
      <c r="G2" s="2800"/>
      <c r="H2" s="2800"/>
      <c r="I2" s="2800"/>
      <c r="J2" s="2800"/>
      <c r="K2" s="2800"/>
    </row>
    <row r="3" spans="1:33" ht="18" customHeight="1" thickBot="1">
      <c r="A3" s="203" t="s">
        <v>1463</v>
      </c>
      <c r="B3" s="204">
        <f ca="1">ROUND(B2*10000/IF(C1="",'数据-汇总表'!E3,INDIRECT("'数据-取费表'!K"&amp;$K$1)),0)</f>
        <v>13434</v>
      </c>
      <c r="C3" s="276" t="s">
        <v>1595</v>
      </c>
      <c r="D3" s="276"/>
      <c r="E3" s="2800"/>
      <c r="F3" s="2800"/>
      <c r="G3" s="2800"/>
      <c r="H3" s="2800"/>
      <c r="I3" s="2800"/>
      <c r="J3" s="2800"/>
      <c r="K3" s="2800"/>
    </row>
    <row r="4" spans="1:33" s="785" customFormat="1" ht="16.5" customHeight="1">
      <c r="A4" s="782" t="s">
        <v>1596</v>
      </c>
      <c r="B4" s="783"/>
      <c r="C4" s="824">
        <f ca="1">SUM(C8:K8)</f>
        <v>84361</v>
      </c>
      <c r="D4" s="783"/>
      <c r="E4" s="783"/>
      <c r="F4" s="783"/>
      <c r="G4" s="783"/>
      <c r="H4" s="783"/>
      <c r="I4" s="783"/>
      <c r="J4" s="783"/>
      <c r="K4" s="784"/>
    </row>
    <row r="5" spans="1:33" s="789" customFormat="1" ht="15">
      <c r="A5" s="786" t="s">
        <v>1597</v>
      </c>
      <c r="B5" s="787" t="s">
        <v>1598</v>
      </c>
      <c r="C5" s="1859" t="s">
        <v>3386</v>
      </c>
      <c r="D5" s="1859" t="s">
        <v>3339</v>
      </c>
      <c r="E5" s="1859" t="s">
        <v>3414</v>
      </c>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f>'比较法-住宅'!B3</f>
        <v>42534</v>
      </c>
      <c r="D6" s="791">
        <f ca="1">收益法!B3</f>
        <v>6430</v>
      </c>
      <c r="E6" s="791">
        <f>'比较法-车位'!B3</f>
        <v>4635</v>
      </c>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14977.60000000002</v>
      </c>
      <c r="D7" s="277">
        <f>SUMIF('数据-汇总表'!$C19:$C33,假设开发法!D5,'数据-汇总表'!$E19:$E33)</f>
        <v>5373.0999999999995</v>
      </c>
      <c r="E7" s="277">
        <f>SUMIF('数据-汇总表'!$C19:$C33,假设开发法!E5,'数据-汇总表'!$E19:$E33)</f>
        <v>37107.17</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f>'比较法-住宅'!B2</f>
        <v>63706</v>
      </c>
      <c r="D8" s="825">
        <f ca="1">收益法!B2</f>
        <v>3455</v>
      </c>
      <c r="E8" s="825">
        <f>'比较法-车位'!B2</f>
        <v>17200</v>
      </c>
      <c r="F8" s="826"/>
      <c r="G8" s="826"/>
      <c r="H8" s="826"/>
      <c r="I8" s="826"/>
      <c r="J8" s="826"/>
      <c r="K8" s="827"/>
      <c r="L8" s="793">
        <f>E8/'数据-取费表'!AH8</f>
        <v>16.135084427767353</v>
      </c>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265</v>
      </c>
      <c r="D11" s="802"/>
      <c r="E11" s="329"/>
      <c r="F11" s="812">
        <f ca="1">1-IF('数据-取费表'!B24=0,1,IF(C1="",'数据-取费表'!N16,INDIRECT("'数据-取费表'!n"&amp;$K$1)))</f>
        <v>1.0000000000000009E-2</v>
      </c>
      <c r="G11" s="5"/>
      <c r="H11" s="797"/>
      <c r="I11" s="797"/>
      <c r="J11" s="797"/>
      <c r="K11" s="798"/>
    </row>
    <row r="12" spans="1:33" s="803" customFormat="1" ht="13.5" customHeight="1">
      <c r="A12" s="800" t="s">
        <v>636</v>
      </c>
      <c r="B12" s="801" t="s">
        <v>1612</v>
      </c>
      <c r="C12" s="21">
        <f ca="1">ROUND(C11*F12,0)</f>
        <v>8</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4</v>
      </c>
      <c r="D13" s="846"/>
      <c r="E13" s="329"/>
      <c r="F13" s="812">
        <f>'数据-取费表'!B34</f>
        <v>0.05</v>
      </c>
      <c r="G13" s="5" t="s">
        <v>1615</v>
      </c>
      <c r="H13" s="797"/>
      <c r="I13" s="797"/>
      <c r="J13" s="797"/>
      <c r="K13" s="798"/>
    </row>
    <row r="14" spans="1:33" s="805" customFormat="1" ht="13.5" customHeight="1">
      <c r="A14" s="800" t="s">
        <v>638</v>
      </c>
      <c r="B14" s="801" t="s">
        <v>1616</v>
      </c>
      <c r="C14" s="21">
        <f ca="1">ROUND(D14*E14*F11/10000,0)</f>
        <v>11</v>
      </c>
      <c r="D14" s="846">
        <f ca="1">IF(C1="",'数据-汇总表'!E3,INDIRECT("'数据-取费表'!K"&amp;$K$1)+INDIRECT("'数据-取费表'!S"&amp;$K$1))</f>
        <v>57457.869999999995</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4</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292</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57457.869999999995</v>
      </c>
      <c r="E17" s="21">
        <f>'数据-取费表'!B32</f>
        <v>0</v>
      </c>
      <c r="F17" s="806"/>
      <c r="G17" s="131" t="s">
        <v>1622</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6"/>
      <c r="I18" s="1862" t="s">
        <v>1624</v>
      </c>
      <c r="J18" s="807"/>
      <c r="K18" s="808"/>
    </row>
    <row r="19" spans="1:33" s="803" customFormat="1" ht="13.5" customHeight="1">
      <c r="A19" s="800" t="s">
        <v>360</v>
      </c>
      <c r="B19" s="801" t="s">
        <v>1625</v>
      </c>
      <c r="C19" s="21">
        <f ca="1">ROUND(D19*E19/10000,0)</f>
        <v>210</v>
      </c>
      <c r="D19" s="846">
        <f ca="1">IF(C1="",'数据-汇总表'!E5,IF(INDIRECT("'数据-取费表'!c"&amp;$K$1)="住宅",INDIRECT("'数据-取费表'!k"&amp;$K$1),0))</f>
        <v>14977.599999999997</v>
      </c>
      <c r="E19" s="21">
        <f>'数据-取费表'!B27</f>
        <v>140</v>
      </c>
      <c r="F19" s="804"/>
      <c r="G19" s="12"/>
      <c r="H19" s="1188"/>
      <c r="I19" s="809"/>
      <c r="J19" s="809"/>
      <c r="K19" s="810"/>
    </row>
    <row r="20" spans="1:33" s="803" customFormat="1" ht="13.5" customHeight="1">
      <c r="A20" s="800" t="s">
        <v>361</v>
      </c>
      <c r="B20" s="801" t="s">
        <v>1626</v>
      </c>
      <c r="C20" s="21">
        <f ca="1">ROUND(D20*E20/10000,0)</f>
        <v>722</v>
      </c>
      <c r="D20" s="846">
        <f ca="1">IF(C1="",'数据-汇总表'!E6,IF(INDIRECT("'数据-取费表'!c"&amp;$K$1)="住宅",INDIRECT("'数据-取费表'!s"&amp;$K$1),INDIRECT("'数据-取费表'!k"&amp;$K$1)+INDIRECT("'数据-取费表'!s"&amp;$K$1)))</f>
        <v>42480.27</v>
      </c>
      <c r="E20" s="21">
        <f>'数据-取费表'!B28</f>
        <v>170</v>
      </c>
      <c r="F20" s="804"/>
      <c r="G20" s="12"/>
      <c r="H20" s="809"/>
      <c r="I20" s="809"/>
      <c r="J20" s="809"/>
      <c r="K20" s="810"/>
    </row>
    <row r="21" spans="1:33" s="803" customFormat="1" ht="13.5" customHeight="1">
      <c r="A21" s="790" t="s">
        <v>357</v>
      </c>
      <c r="B21" s="813" t="s">
        <v>1627</v>
      </c>
      <c r="C21" s="814">
        <f ca="1">C16+C17+C18</f>
        <v>292</v>
      </c>
      <c r="D21" s="815"/>
      <c r="E21" s="281"/>
      <c r="F21" s="281"/>
      <c r="G21" s="131" t="s">
        <v>1628</v>
      </c>
      <c r="H21" s="807"/>
      <c r="I21" s="807"/>
      <c r="J21" s="807"/>
      <c r="K21" s="808"/>
    </row>
    <row r="22" spans="1:33" s="803" customFormat="1" ht="13.5" customHeight="1">
      <c r="A22" s="790" t="s">
        <v>1600</v>
      </c>
      <c r="B22" s="813" t="s">
        <v>1629</v>
      </c>
      <c r="C22" s="814">
        <f ca="1">ROUND(C21*F22,0)</f>
        <v>6</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17</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1.2999999999999999E-3</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1.2999999999999999E-3</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28</v>
      </c>
      <c r="D28" s="280">
        <f ca="1">C29</f>
        <v>8.9999999999999998E-4</v>
      </c>
      <c r="E28" s="282" t="s">
        <v>12</v>
      </c>
      <c r="F28" s="288">
        <f ca="1">IF(C1="",'数据-取费表'!Q16,INDIRECT("'数据-取费表'!q"&amp;$K$1))</f>
        <v>0.09</v>
      </c>
      <c r="G28" s="817"/>
      <c r="H28" s="818"/>
      <c r="I28" s="818"/>
      <c r="J28" s="818"/>
      <c r="K28" s="819"/>
    </row>
    <row r="29" spans="1:33" s="291" customFormat="1" ht="13.5" customHeight="1">
      <c r="A29" s="800" t="s">
        <v>358</v>
      </c>
      <c r="B29" s="822" t="s">
        <v>1642</v>
      </c>
      <c r="C29" s="284">
        <f ca="1">ROUND((1+C24)*F28*'数据-取费表'!B24/'数据-取费表'!B20,4)</f>
        <v>8.9999999999999998E-4</v>
      </c>
      <c r="D29" s="284"/>
      <c r="E29" s="285"/>
      <c r="F29" s="290"/>
      <c r="G29" s="131" t="s">
        <v>1643</v>
      </c>
      <c r="H29" s="807"/>
      <c r="I29" s="807"/>
      <c r="J29" s="807"/>
      <c r="K29" s="808"/>
    </row>
    <row r="30" spans="1:33" s="291" customFormat="1" ht="13.5" customHeight="1">
      <c r="A30" s="800" t="s">
        <v>359</v>
      </c>
      <c r="B30" s="822" t="s">
        <v>1644</v>
      </c>
      <c r="C30" s="292">
        <f ca="1">ROUND((C21+C22+C23)*F28,0)</f>
        <v>28</v>
      </c>
      <c r="D30" s="284"/>
      <c r="E30" s="285"/>
      <c r="F30" s="290"/>
      <c r="G30" s="131"/>
      <c r="H30" s="807"/>
      <c r="I30" s="807"/>
      <c r="J30" s="807"/>
      <c r="K30" s="808"/>
    </row>
    <row r="31" spans="1:33" s="803" customFormat="1" ht="13.5" customHeight="1" thickBot="1">
      <c r="A31" s="1865" t="s">
        <v>1645</v>
      </c>
      <c r="B31" s="833" t="s">
        <v>1646</v>
      </c>
      <c r="C31" s="834">
        <f ca="1">ROUND(C4*F31/(1+'数据-取费表'!C42),0)</f>
        <v>4419</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77191</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19" t="e">
        <f ca="1">ROUND(D2/10000,4)</f>
        <v>#DIV/0!</v>
      </c>
      <c r="C2" s="1386" t="s">
        <v>879</v>
      </c>
      <c r="D2" s="1470" t="e">
        <f ca="1">C40+J29+L46</f>
        <v>#DIV/0!</v>
      </c>
      <c r="E2" s="1387" t="s">
        <v>880</v>
      </c>
      <c r="F2" s="1388"/>
      <c r="G2" s="2700"/>
      <c r="H2" s="2689"/>
      <c r="I2" s="2689"/>
      <c r="J2" s="2689"/>
      <c r="K2" s="2690"/>
      <c r="L2" s="2689"/>
      <c r="M2" s="2689"/>
    </row>
    <row r="3" spans="1:37" ht="18" customHeight="1" thickBot="1">
      <c r="A3" s="1389" t="s">
        <v>881</v>
      </c>
      <c r="B3" s="1390">
        <f ca="1">IF(ISERROR(D2/F43),0,ROUND(D2/F43,0))</f>
        <v>0</v>
      </c>
      <c r="C3" s="1386" t="s">
        <v>882</v>
      </c>
      <c r="D3" s="1386"/>
      <c r="E3" s="1387"/>
      <c r="F3" s="1388"/>
      <c r="G3" s="2700"/>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82" t="s">
        <v>694</v>
      </c>
      <c r="C6" s="1074">
        <f ca="1">ROUND(F6*F8*F7*(1-F9),0)</f>
        <v>0</v>
      </c>
      <c r="D6" s="155" t="s">
        <v>2104</v>
      </c>
      <c r="E6" s="302" t="s">
        <v>696</v>
      </c>
      <c r="F6" s="303">
        <f ca="1">INDIRECT("'数据-取费表'!u"&amp;$G$1)</f>
        <v>0</v>
      </c>
      <c r="G6" s="1383"/>
      <c r="H6" s="1069" t="s">
        <v>398</v>
      </c>
      <c r="I6" s="3682" t="s">
        <v>694</v>
      </c>
      <c r="J6" s="301">
        <f ca="1">ROUND(M6*M8*M7*(1-M9),0)</f>
        <v>0</v>
      </c>
      <c r="K6" s="1375" t="s">
        <v>2105</v>
      </c>
      <c r="L6" s="302" t="s">
        <v>696</v>
      </c>
      <c r="M6" s="303">
        <f ca="1">INDIRECT("'数据-取费表'!z"&amp;$G$1)</f>
        <v>0</v>
      </c>
    </row>
    <row r="7" spans="1:37" ht="18" customHeight="1">
      <c r="A7" s="1073"/>
      <c r="B7" s="3683"/>
      <c r="C7" s="1075"/>
      <c r="D7" s="307"/>
      <c r="E7" s="1076" t="s">
        <v>697</v>
      </c>
      <c r="F7" s="303">
        <f ca="1">IF(INDIRECT("'数据-取费表'!ah"&amp;$G$1)="",INDIRECT("'数据-取费表'!k"&amp;$G$1),INDIRECT("'数据-取费表'!ah"&amp;$G$1))</f>
        <v>0</v>
      </c>
      <c r="G7" s="1383"/>
      <c r="H7" s="304"/>
      <c r="I7" s="3683"/>
      <c r="J7" s="306"/>
      <c r="K7" s="307"/>
      <c r="L7" s="302" t="s">
        <v>697</v>
      </c>
      <c r="M7" s="303">
        <f ca="1">F7</f>
        <v>0</v>
      </c>
    </row>
    <row r="8" spans="1:37" ht="18" customHeight="1">
      <c r="A8" s="304"/>
      <c r="B8" s="3683"/>
      <c r="C8" s="306"/>
      <c r="D8" s="307"/>
      <c r="E8" s="302" t="s">
        <v>698</v>
      </c>
      <c r="F8" s="303">
        <f ca="1">INDIRECT("'数据-取费表'!ai"&amp;$G$1)</f>
        <v>0</v>
      </c>
      <c r="G8" s="1383"/>
      <c r="H8" s="304"/>
      <c r="I8" s="3683"/>
      <c r="J8" s="306"/>
      <c r="K8" s="307"/>
      <c r="L8" s="302" t="s">
        <v>698</v>
      </c>
      <c r="M8" s="303">
        <f ca="1">INDIRECT("'数据-取费表'!ai"&amp;$G$1)</f>
        <v>0</v>
      </c>
    </row>
    <row r="9" spans="1:37" ht="18" customHeight="1">
      <c r="A9" s="304"/>
      <c r="B9" s="3684"/>
      <c r="C9" s="306"/>
      <c r="D9" s="307"/>
      <c r="E9" s="302" t="s">
        <v>699</v>
      </c>
      <c r="F9" s="312">
        <f ca="1">INDIRECT("'数据-取费表'!w"&amp;$G$1)</f>
        <v>0</v>
      </c>
      <c r="G9" s="1383"/>
      <c r="H9" s="304"/>
      <c r="I9" s="3684"/>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c r="G10" s="1383"/>
      <c r="H10" s="1069" t="s">
        <v>402</v>
      </c>
      <c r="I10" s="1364" t="s">
        <v>700</v>
      </c>
      <c r="J10" s="301">
        <f ca="1">ROUND(IF(M10="押一",J6/12*M11,IF(M10="押二",J6/12*2*M11,IF(M10="押三",J6/12*3*M11,J11*M11))),0)</f>
        <v>0</v>
      </c>
      <c r="K10" s="1376" t="s">
        <v>2116</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1"/>
      <c r="I30" s="1397"/>
      <c r="J30" s="1398"/>
      <c r="K30" s="2469"/>
      <c r="L30" s="2692"/>
      <c r="M30" s="2693"/>
    </row>
    <row r="31" spans="1:37" ht="18" customHeight="1">
      <c r="A31" s="982" t="s">
        <v>398</v>
      </c>
      <c r="B31" s="302" t="s">
        <v>719</v>
      </c>
      <c r="C31" s="2312">
        <f ca="1">ROUND(IF(AND(项目基本情况!B11="自然人",项目基本情况!B10="北京市"),C6*F31/(1+'数据-取费表'!C42),C32+C33+C34),0)</f>
        <v>0</v>
      </c>
      <c r="D31" s="1344" t="s">
        <v>720</v>
      </c>
      <c r="E31" s="1343" t="s">
        <v>770</v>
      </c>
      <c r="F31" s="2311" t="str">
        <f>IF(项目基本情况!B11="企业","——",IF(M47="住宅",IF(F6*F7*F8/12/(1+'数据-取费表'!F30)&gt;100000,4%,2.5%),IF(F6*F7*F8/12/(1+'数据-取费表'!F30)&gt;100000,12%,7%)))</f>
        <v>——</v>
      </c>
      <c r="G31" s="1383"/>
      <c r="H31" s="2802" t="s">
        <v>2308</v>
      </c>
      <c r="I31" s="1397"/>
      <c r="J31" s="1398"/>
      <c r="K31" s="2469"/>
      <c r="L31" s="2692"/>
      <c r="M31" s="2693"/>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1"/>
      <c r="I32" s="1397"/>
      <c r="J32" s="1398"/>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3341</v>
      </c>
      <c r="E33" s="302" t="s">
        <v>712</v>
      </c>
      <c r="F33" s="322">
        <f>IF(D33="按票据","——",IF(D33="按租金收入计税",'数据-取费表'!B51,'数据-取费表'!B50))</f>
        <v>0.12</v>
      </c>
      <c r="G33" s="1383"/>
      <c r="H33" s="2694"/>
      <c r="I33" s="1397"/>
      <c r="J33" s="1398"/>
      <c r="K33" s="2695"/>
      <c r="L33" s="2694"/>
      <c r="M33" s="2694"/>
    </row>
    <row r="34" spans="1:18" ht="18" customHeight="1">
      <c r="A34" s="1069" t="s">
        <v>680</v>
      </c>
      <c r="B34" s="155" t="s">
        <v>730</v>
      </c>
      <c r="C34" s="22">
        <f ca="1">IF(项目基本情况!B11="自然人","——",ROUND(F34*F35,0))</f>
        <v>0</v>
      </c>
      <c r="D34" s="324" t="s">
        <v>731</v>
      </c>
      <c r="E34" s="302" t="s">
        <v>732</v>
      </c>
      <c r="F34" s="325">
        <f>'数据-取费表'!B52</f>
        <v>1.5</v>
      </c>
      <c r="G34" s="1383"/>
      <c r="H34" s="2691"/>
      <c r="I34" s="1397"/>
      <c r="J34" s="1398"/>
      <c r="K34" s="2696"/>
      <c r="L34" s="2697"/>
      <c r="M34" s="2697"/>
    </row>
    <row r="35" spans="1:18" ht="18" customHeight="1">
      <c r="A35" s="1103"/>
      <c r="B35" s="1101"/>
      <c r="C35" s="26"/>
      <c r="D35" s="327"/>
      <c r="E35" s="302" t="s">
        <v>736</v>
      </c>
      <c r="F35" s="303">
        <f ca="1">INDIRECT("'数据-取费表'!r"&amp;$G$1)</f>
        <v>0</v>
      </c>
      <c r="G35" s="1383"/>
      <c r="H35" s="2691"/>
      <c r="I35" s="1397"/>
      <c r="J35" s="1398"/>
      <c r="K35" s="2695"/>
      <c r="L35" s="2694"/>
      <c r="M35" s="2694"/>
    </row>
    <row r="36" spans="1:18" ht="18" customHeight="1">
      <c r="A36" s="1102" t="s">
        <v>402</v>
      </c>
      <c r="B36" s="302" t="s">
        <v>738</v>
      </c>
      <c r="C36" s="21">
        <f ca="1">ROUND(C29*F36,0)</f>
        <v>0</v>
      </c>
      <c r="D36" s="1343" t="s">
        <v>771</v>
      </c>
      <c r="E36" s="302" t="s">
        <v>712</v>
      </c>
      <c r="F36" s="328">
        <f ca="1">INDIRECT("'数据-取费表'!Ak"&amp;$G$1)</f>
        <v>0</v>
      </c>
      <c r="G36" s="1383"/>
      <c r="H36" s="2694"/>
      <c r="I36" s="1397"/>
      <c r="J36" s="1398"/>
      <c r="K36" s="2538"/>
      <c r="L36" s="2694"/>
      <c r="M36" s="2694"/>
    </row>
    <row r="37" spans="1:18" ht="18" customHeight="1">
      <c r="A37" s="982" t="s">
        <v>437</v>
      </c>
      <c r="B37" s="302" t="s">
        <v>742</v>
      </c>
      <c r="C37" s="21">
        <f ca="1">ROUND(C13*F37,0)</f>
        <v>0</v>
      </c>
      <c r="D37" s="1343" t="s">
        <v>743</v>
      </c>
      <c r="E37" s="302" t="s">
        <v>744</v>
      </c>
      <c r="F37" s="330">
        <f ca="1">INDIRECT("'数据-取费表'!Al"&amp;$G$1)</f>
        <v>0</v>
      </c>
      <c r="G37" s="1383"/>
      <c r="H37" s="2694"/>
      <c r="I37" s="1397"/>
      <c r="J37" s="1398"/>
      <c r="K37" s="2538"/>
      <c r="L37" s="2694"/>
      <c r="M37" s="2694"/>
    </row>
    <row r="38" spans="1:18" ht="18" customHeight="1" thickBot="1">
      <c r="A38" s="1089" t="s">
        <v>684</v>
      </c>
      <c r="B38" s="1090" t="s">
        <v>728</v>
      </c>
      <c r="C38" s="1091">
        <f ca="1">ROUND(C5*F38,0)</f>
        <v>0</v>
      </c>
      <c r="D38" s="1092" t="s">
        <v>748</v>
      </c>
      <c r="E38" s="1090" t="s">
        <v>744</v>
      </c>
      <c r="F38" s="1086">
        <f ca="1">INDIRECT("'数据-取费表'!Am"&amp;$G$1)</f>
        <v>0</v>
      </c>
      <c r="G38" s="1383"/>
      <c r="H38" s="2694"/>
      <c r="I38" s="1397"/>
      <c r="J38" s="1398"/>
      <c r="K38" s="2698"/>
      <c r="L38" s="2694"/>
      <c r="M38" s="2694"/>
    </row>
    <row r="39" spans="1:18" ht="24.6" customHeight="1" thickTop="1">
      <c r="A39" s="1079" t="s">
        <v>394</v>
      </c>
      <c r="B39" s="1094" t="s">
        <v>772</v>
      </c>
      <c r="C39" s="310">
        <f ca="1">C5-C30</f>
        <v>0</v>
      </c>
      <c r="D39" s="1095" t="s">
        <v>773</v>
      </c>
      <c r="E39" s="1096"/>
      <c r="F39" s="1097"/>
      <c r="G39" s="1383"/>
      <c r="H39" s="2694"/>
      <c r="I39" s="1397"/>
      <c r="J39" s="1398"/>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8"/>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8"/>
      <c r="L41" s="1190"/>
      <c r="M41" s="1190"/>
    </row>
    <row r="42" spans="1:18" ht="18" customHeight="1">
      <c r="A42" s="308"/>
      <c r="B42" s="309"/>
      <c r="C42" s="310"/>
      <c r="D42" s="327"/>
      <c r="E42" s="302" t="s">
        <v>766</v>
      </c>
      <c r="F42" s="312">
        <f ca="1">INDIRECT("'数据-取费表'!v"&amp;$G$1)</f>
        <v>0</v>
      </c>
      <c r="G42" s="1383"/>
      <c r="H42" s="1190"/>
      <c r="I42" s="1397"/>
      <c r="J42" s="1398"/>
      <c r="K42" s="2538"/>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38"/>
      <c r="L43" s="1190"/>
      <c r="M43" s="1190"/>
    </row>
    <row r="44" spans="1:18" s="1383" customFormat="1" ht="18" customHeight="1">
      <c r="A44" s="1399"/>
      <c r="B44" s="1399"/>
      <c r="C44" s="1400"/>
      <c r="D44" s="1399"/>
      <c r="E44" s="1399"/>
      <c r="F44" s="1399"/>
      <c r="K44" s="1401"/>
    </row>
    <row r="45" spans="1:18" s="1383" customFormat="1" ht="18" customHeight="1" thickBot="1">
      <c r="A45" s="3425" t="s">
        <v>3357</v>
      </c>
      <c r="B45" s="1399"/>
      <c r="C45" s="1471" t="e">
        <f ca="1">ROUND((C68-C40)/10000,4)</f>
        <v>#DIV/0!</v>
      </c>
      <c r="D45" s="3426" t="s">
        <v>3358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2117</v>
      </c>
      <c r="E53" s="313" t="s">
        <v>701</v>
      </c>
      <c r="F53" s="1116"/>
      <c r="I53" s="1438" t="s">
        <v>836</v>
      </c>
      <c r="J53" s="2164">
        <f ca="1">IF(M47="住宅",IF(D1="——",MAX(J51,L48),MAX(J51,L48-'数据-取费表'!B24)),IF(D1="——",MIN(J51,L48),MIN(J51,L48-'数据-取费表'!B24)))</f>
        <v>0</v>
      </c>
      <c r="K53" s="3680" t="s">
        <v>837</v>
      </c>
      <c r="L53" s="3681"/>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2436</v>
      </c>
      <c r="B1" s="2826"/>
      <c r="C1" s="2838"/>
      <c r="D1" s="2838"/>
      <c r="E1" s="2827"/>
      <c r="F1" s="2828"/>
      <c r="G1" s="2829"/>
      <c r="J1" s="2832" t="s">
        <v>2315</v>
      </c>
      <c r="K1" s="2833"/>
      <c r="L1" s="2833"/>
      <c r="M1" s="2833"/>
      <c r="N1" s="2833"/>
      <c r="O1" s="2833"/>
      <c r="P1" s="2833"/>
      <c r="Q1" s="2833"/>
      <c r="R1" s="2834"/>
      <c r="S1" s="2835"/>
      <c r="T1" s="2835"/>
      <c r="U1" s="2835"/>
    </row>
    <row r="2" spans="1:22" s="2847" customFormat="1" ht="13.15" customHeight="1">
      <c r="A2" s="1384" t="s">
        <v>2316</v>
      </c>
      <c r="B2" s="2837" t="e">
        <f>IF(D2="——",C40,C40+E2)</f>
        <v>#DIV/0!</v>
      </c>
      <c r="C2" s="2838" t="s">
        <v>2317</v>
      </c>
      <c r="D2" s="3437" t="s">
        <v>3363</v>
      </c>
      <c r="E2" s="3438"/>
      <c r="F2" s="2840"/>
      <c r="G2" s="2841"/>
      <c r="H2" s="2842"/>
      <c r="I2" s="2843"/>
      <c r="J2" s="3685" t="s">
        <v>2318</v>
      </c>
      <c r="K2" s="3686"/>
      <c r="L2" s="2844" t="s">
        <v>2319</v>
      </c>
      <c r="M2" s="2844" t="s">
        <v>2320</v>
      </c>
      <c r="N2" s="2844" t="s">
        <v>2321</v>
      </c>
      <c r="O2" s="2844" t="s">
        <v>2322</v>
      </c>
      <c r="P2" s="2844" t="s">
        <v>2323</v>
      </c>
      <c r="Q2" s="2845" t="s">
        <v>2324</v>
      </c>
      <c r="R2" s="2846" t="s">
        <v>2325</v>
      </c>
      <c r="S2" s="2835"/>
      <c r="T2" s="2835"/>
      <c r="U2" s="2835"/>
      <c r="V2" s="2843"/>
    </row>
    <row r="3" spans="1:22" s="2847" customFormat="1" ht="13.15" customHeight="1">
      <c r="A3" s="2848" t="s">
        <v>2326</v>
      </c>
      <c r="B3" s="2849" t="e">
        <f>ROUND(B2*10000/B4,0)</f>
        <v>#DIV/0!</v>
      </c>
      <c r="C3" s="2838" t="s">
        <v>2327</v>
      </c>
      <c r="D3" s="2838"/>
      <c r="E3" s="2839"/>
      <c r="F3" s="2840"/>
      <c r="G3" s="2841"/>
      <c r="H3" s="2842"/>
      <c r="I3" s="2843"/>
      <c r="J3" s="3687" t="s">
        <v>2328</v>
      </c>
      <c r="K3" s="3688"/>
      <c r="L3" s="2850"/>
      <c r="M3" s="2850"/>
      <c r="N3" s="2850"/>
      <c r="O3" s="2850"/>
      <c r="P3" s="2850"/>
      <c r="Q3" s="2851"/>
      <c r="R3" s="2852">
        <f>SUM(L3:Q3)</f>
        <v>0</v>
      </c>
      <c r="S3" s="2835"/>
      <c r="T3" s="2835"/>
      <c r="U3" s="2835"/>
      <c r="V3" s="2843"/>
    </row>
    <row r="4" spans="1:22" s="2847" customFormat="1" ht="13.15" customHeight="1">
      <c r="A4" s="2853" t="s">
        <v>2329</v>
      </c>
      <c r="B4" s="2854"/>
      <c r="C4" s="2838"/>
      <c r="D4" s="2838"/>
      <c r="E4" s="2839"/>
      <c r="F4" s="2840"/>
      <c r="G4" s="2841"/>
      <c r="H4" s="2842"/>
      <c r="I4" s="2843"/>
      <c r="J4" s="3687" t="s">
        <v>2330</v>
      </c>
      <c r="K4" s="3688"/>
      <c r="L4" s="2855"/>
      <c r="M4" s="2855"/>
      <c r="N4" s="2855"/>
      <c r="O4" s="2855"/>
      <c r="P4" s="2855"/>
      <c r="Q4" s="2856"/>
      <c r="R4" s="2857">
        <f>SUM(L4:Q4)</f>
        <v>0</v>
      </c>
      <c r="S4" s="2835"/>
      <c r="T4" s="2835"/>
      <c r="U4" s="2835"/>
      <c r="V4" s="2843"/>
    </row>
    <row r="5" spans="1:22" s="2847" customFormat="1" ht="13.15" customHeight="1" thickBot="1">
      <c r="A5" s="2858" t="s">
        <v>2331</v>
      </c>
      <c r="B5" s="2859"/>
      <c r="C5" s="2838"/>
      <c r="D5" s="2860"/>
      <c r="E5" s="2840"/>
      <c r="F5" s="2840"/>
      <c r="G5" s="2841"/>
      <c r="H5" s="2842"/>
      <c r="I5" s="2843"/>
      <c r="J5" s="2861" t="s">
        <v>2332</v>
      </c>
      <c r="K5" s="2862"/>
      <c r="L5" s="2862"/>
      <c r="M5" s="2863"/>
      <c r="N5" s="2863"/>
      <c r="O5" s="2863"/>
      <c r="P5" s="2863"/>
      <c r="Q5" s="2863"/>
      <c r="R5" s="2846">
        <f>SUM(R14,R19,R24,R25,R27,R28)</f>
        <v>0</v>
      </c>
      <c r="S5" s="2835"/>
      <c r="T5" s="2835" t="s">
        <v>2333</v>
      </c>
      <c r="U5" s="2835" t="e">
        <f>ROUND(R5*10000/365/R3,1)</f>
        <v>#DIV/0!</v>
      </c>
      <c r="V5" s="2843"/>
    </row>
    <row r="6" spans="1:22" s="2847" customFormat="1" ht="13.15" customHeight="1" thickBot="1">
      <c r="A6" s="3689" t="s">
        <v>2334</v>
      </c>
      <c r="B6" s="3690"/>
      <c r="C6" s="3691"/>
      <c r="D6" s="2864"/>
      <c r="E6" s="2865"/>
      <c r="F6" s="2866"/>
      <c r="G6" s="2867"/>
      <c r="H6" s="2842"/>
      <c r="I6" s="2843"/>
      <c r="J6" s="3692">
        <v>1</v>
      </c>
      <c r="K6" s="3693" t="s">
        <v>2335</v>
      </c>
      <c r="L6" s="2868" t="s">
        <v>2336</v>
      </c>
      <c r="M6" s="2869" t="s">
        <v>2337</v>
      </c>
      <c r="N6" s="2869" t="s">
        <v>2338</v>
      </c>
      <c r="O6" s="2869" t="s">
        <v>2339</v>
      </c>
      <c r="P6" s="2869" t="s">
        <v>2340</v>
      </c>
      <c r="Q6" s="2869" t="s">
        <v>2341</v>
      </c>
      <c r="R6" s="2852" t="s">
        <v>2342</v>
      </c>
      <c r="S6" s="2835"/>
      <c r="T6" s="2835" t="s">
        <v>2343</v>
      </c>
      <c r="U6" s="2835"/>
      <c r="V6" s="2843"/>
    </row>
    <row r="7" spans="1:22" s="2847" customFormat="1" ht="13.15" customHeight="1">
      <c r="A7" s="2870" t="s">
        <v>2344</v>
      </c>
      <c r="B7" s="2871"/>
      <c r="C7" s="2872"/>
      <c r="D7" s="2873">
        <f>SUM(D9,D10,D11,D17,0)</f>
        <v>0</v>
      </c>
      <c r="E7" s="2874" t="e">
        <f>E9+E10+E11+E17</f>
        <v>#DIV/0!</v>
      </c>
      <c r="F7" s="2875"/>
      <c r="G7" s="2876"/>
      <c r="H7" s="2842"/>
      <c r="I7" s="2843"/>
      <c r="J7" s="3692"/>
      <c r="K7" s="3694"/>
      <c r="L7" s="2877" t="s">
        <v>2345</v>
      </c>
      <c r="M7" s="2878"/>
      <c r="N7" s="2854"/>
      <c r="O7" s="2879"/>
      <c r="P7" s="2879"/>
      <c r="Q7" s="2880">
        <v>365</v>
      </c>
      <c r="R7" s="2881">
        <f>ROUND(M7*N7*O7*P7*Q7/10000,0)</f>
        <v>0</v>
      </c>
      <c r="S7" s="2835"/>
      <c r="T7" s="2835" t="s">
        <v>2346</v>
      </c>
      <c r="U7" s="2835"/>
      <c r="V7" s="2843"/>
    </row>
    <row r="8" spans="1:22" s="2847" customFormat="1" ht="13.15" customHeight="1">
      <c r="A8" s="2882" t="s">
        <v>2347</v>
      </c>
      <c r="B8" s="3696" t="s">
        <v>2348</v>
      </c>
      <c r="C8" s="3697"/>
      <c r="D8" s="2883" t="s">
        <v>2349</v>
      </c>
      <c r="E8" s="2884" t="s">
        <v>2350</v>
      </c>
      <c r="F8" s="2885" t="s">
        <v>2351</v>
      </c>
      <c r="G8" s="2886"/>
      <c r="H8" s="2842"/>
      <c r="I8" s="2843"/>
      <c r="J8" s="3692"/>
      <c r="K8" s="3694"/>
      <c r="L8" s="2877" t="s">
        <v>2352</v>
      </c>
      <c r="M8" s="2878"/>
      <c r="N8" s="2854"/>
      <c r="O8" s="2879"/>
      <c r="P8" s="2879"/>
      <c r="Q8" s="2880">
        <v>365</v>
      </c>
      <c r="R8" s="2881">
        <f t="shared" ref="R8:R13" si="0">ROUND(M8*N8*O8*P8*Q8/10000,0)</f>
        <v>0</v>
      </c>
      <c r="S8" s="2835"/>
      <c r="T8" s="2835" t="s">
        <v>2353</v>
      </c>
      <c r="U8" s="2835"/>
      <c r="V8" s="2843"/>
    </row>
    <row r="9" spans="1:22" s="2847" customFormat="1" ht="13.15" customHeight="1">
      <c r="A9" s="2882">
        <v>1</v>
      </c>
      <c r="B9" s="3696" t="s">
        <v>2354</v>
      </c>
      <c r="C9" s="3697"/>
      <c r="D9" s="2883">
        <f>ROUND(D6*E9,0)</f>
        <v>0</v>
      </c>
      <c r="E9" s="2887"/>
      <c r="F9" s="2888" t="s">
        <v>2355</v>
      </c>
      <c r="G9" s="2867"/>
      <c r="H9" s="2842"/>
      <c r="I9" s="2843"/>
      <c r="J9" s="3692"/>
      <c r="K9" s="3694"/>
      <c r="L9" s="2877" t="s">
        <v>2356</v>
      </c>
      <c r="M9" s="2878"/>
      <c r="N9" s="2854"/>
      <c r="O9" s="2879"/>
      <c r="P9" s="2879"/>
      <c r="Q9" s="2880">
        <v>365</v>
      </c>
      <c r="R9" s="2881">
        <f t="shared" si="0"/>
        <v>0</v>
      </c>
      <c r="S9" s="2835"/>
      <c r="T9" s="2835"/>
      <c r="U9" s="2835"/>
      <c r="V9" s="2843"/>
    </row>
    <row r="10" spans="1:22" s="2847" customFormat="1" ht="13.15" customHeight="1">
      <c r="A10" s="2882">
        <v>2</v>
      </c>
      <c r="B10" s="3696" t="s">
        <v>2357</v>
      </c>
      <c r="C10" s="3697"/>
      <c r="D10" s="2883">
        <f>ROUND(D6*E10,0)</f>
        <v>0</v>
      </c>
      <c r="E10" s="2887"/>
      <c r="F10" s="2888" t="s">
        <v>2358</v>
      </c>
      <c r="G10" s="2867"/>
      <c r="H10" s="2842"/>
      <c r="I10" s="2843"/>
      <c r="J10" s="3692"/>
      <c r="K10" s="3694"/>
      <c r="L10" s="2877" t="s">
        <v>2359</v>
      </c>
      <c r="M10" s="2878"/>
      <c r="N10" s="2854"/>
      <c r="O10" s="2879"/>
      <c r="P10" s="2879"/>
      <c r="Q10" s="2880">
        <v>365</v>
      </c>
      <c r="R10" s="2881">
        <f t="shared" si="0"/>
        <v>0</v>
      </c>
      <c r="S10" s="2835"/>
      <c r="T10" s="2835"/>
      <c r="U10" s="2835"/>
      <c r="V10" s="2843"/>
    </row>
    <row r="11" spans="1:22" s="2847" customFormat="1" ht="13.15" customHeight="1">
      <c r="A11" s="2882">
        <v>3</v>
      </c>
      <c r="B11" s="3696" t="s">
        <v>2360</v>
      </c>
      <c r="C11" s="3697"/>
      <c r="D11" s="2883">
        <f>D12+D14+D15+D16</f>
        <v>0</v>
      </c>
      <c r="E11" s="2889" t="e">
        <f>D11/D6</f>
        <v>#DIV/0!</v>
      </c>
      <c r="F11" s="2885"/>
      <c r="G11" s="2886"/>
      <c r="H11" s="2842"/>
      <c r="I11" s="2843"/>
      <c r="J11" s="3692"/>
      <c r="K11" s="3694"/>
      <c r="L11" s="2877" t="s">
        <v>2361</v>
      </c>
      <c r="M11" s="2878"/>
      <c r="N11" s="2854"/>
      <c r="O11" s="2879"/>
      <c r="P11" s="2879"/>
      <c r="Q11" s="2880">
        <v>365</v>
      </c>
      <c r="R11" s="2881">
        <f t="shared" si="0"/>
        <v>0</v>
      </c>
      <c r="S11" s="2835"/>
      <c r="T11" s="2835"/>
      <c r="U11" s="2835"/>
      <c r="V11" s="2843"/>
    </row>
    <row r="12" spans="1:22" s="2847" customFormat="1" ht="13.15" customHeight="1">
      <c r="A12" s="2890" t="s">
        <v>2362</v>
      </c>
      <c r="B12" s="3698" t="s">
        <v>2363</v>
      </c>
      <c r="C12" s="3699"/>
      <c r="D12" s="2891">
        <f>ROUND(D13*1.2%*(1-30%),0)</f>
        <v>0</v>
      </c>
      <c r="E12" s="2892">
        <v>1.2E-2</v>
      </c>
      <c r="F12" s="2885" t="s">
        <v>2364</v>
      </c>
      <c r="G12" s="2886"/>
      <c r="H12" s="2842"/>
      <c r="I12" s="2843"/>
      <c r="J12" s="3692"/>
      <c r="K12" s="3694"/>
      <c r="L12" s="2877" t="s">
        <v>2365</v>
      </c>
      <c r="M12" s="2878"/>
      <c r="N12" s="2854"/>
      <c r="O12" s="2879"/>
      <c r="P12" s="2879"/>
      <c r="Q12" s="2880">
        <v>365</v>
      </c>
      <c r="R12" s="2881">
        <f t="shared" si="0"/>
        <v>0</v>
      </c>
      <c r="S12" s="2835"/>
      <c r="T12" s="2835"/>
      <c r="U12" s="2835"/>
      <c r="V12" s="2843"/>
    </row>
    <row r="13" spans="1:22" s="2847" customFormat="1" ht="13.15" customHeight="1">
      <c r="A13" s="2890"/>
      <c r="B13" s="2893"/>
      <c r="C13" s="2894" t="s">
        <v>2366</v>
      </c>
      <c r="D13" s="2895"/>
      <c r="E13" s="2896"/>
      <c r="F13" s="2885"/>
      <c r="G13" s="2886"/>
      <c r="H13" s="2842"/>
      <c r="I13" s="2843"/>
      <c r="J13" s="3692"/>
      <c r="K13" s="3694"/>
      <c r="L13" s="2877" t="s">
        <v>2367</v>
      </c>
      <c r="M13" s="2878"/>
      <c r="N13" s="2854"/>
      <c r="O13" s="2879"/>
      <c r="P13" s="2879"/>
      <c r="Q13" s="2880">
        <v>365</v>
      </c>
      <c r="R13" s="2881">
        <f t="shared" si="0"/>
        <v>0</v>
      </c>
      <c r="S13" s="2835"/>
      <c r="T13" s="2835"/>
      <c r="U13" s="2835"/>
      <c r="V13" s="2843"/>
    </row>
    <row r="14" spans="1:22" s="2847" customFormat="1" ht="13.15" customHeight="1">
      <c r="A14" s="2890" t="s">
        <v>2368</v>
      </c>
      <c r="B14" s="3698" t="s">
        <v>2369</v>
      </c>
      <c r="C14" s="3699"/>
      <c r="D14" s="2891">
        <f>ROUND(E14*B5/10000,0)</f>
        <v>0</v>
      </c>
      <c r="E14" s="2880"/>
      <c r="F14" s="2885" t="s">
        <v>2370</v>
      </c>
      <c r="G14" s="2886"/>
      <c r="H14" s="2842"/>
      <c r="I14" s="2843"/>
      <c r="J14" s="3692"/>
      <c r="K14" s="3695"/>
      <c r="L14" s="2897" t="s">
        <v>2371</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2372</v>
      </c>
      <c r="B15" s="3698" t="s">
        <v>2373</v>
      </c>
      <c r="C15" s="3699"/>
      <c r="D15" s="2891">
        <f>ROUND(D6*E15,0)</f>
        <v>0</v>
      </c>
      <c r="E15" s="2892">
        <v>5.5E-2</v>
      </c>
      <c r="F15" s="2885" t="s">
        <v>2374</v>
      </c>
      <c r="G15" s="2867"/>
      <c r="H15" s="2842"/>
      <c r="I15" s="2843"/>
      <c r="J15" s="3692">
        <v>2</v>
      </c>
      <c r="K15" s="3693" t="s">
        <v>2375</v>
      </c>
      <c r="L15" s="2877" t="s">
        <v>2376</v>
      </c>
      <c r="M15" s="2878" t="s">
        <v>2377</v>
      </c>
      <c r="N15" s="2878" t="s">
        <v>2378</v>
      </c>
      <c r="O15" s="2879" t="s">
        <v>2379</v>
      </c>
      <c r="P15" s="2879" t="s">
        <v>2341</v>
      </c>
      <c r="Q15" s="2854" t="s">
        <v>2380</v>
      </c>
      <c r="R15" s="2901" t="s">
        <v>2342</v>
      </c>
      <c r="S15" s="2835"/>
      <c r="T15" s="2835"/>
      <c r="U15" s="2835"/>
      <c r="V15" s="2843"/>
    </row>
    <row r="16" spans="1:22" s="2847" customFormat="1" ht="13.15" customHeight="1">
      <c r="A16" s="2890" t="s">
        <v>2381</v>
      </c>
      <c r="B16" s="3698" t="s">
        <v>2382</v>
      </c>
      <c r="C16" s="3699"/>
      <c r="D16" s="2902">
        <f>D6*E16</f>
        <v>0</v>
      </c>
      <c r="E16" s="2903"/>
      <c r="F16" s="2888" t="s">
        <v>2383</v>
      </c>
      <c r="G16" s="2867"/>
      <c r="H16" s="2842"/>
      <c r="I16" s="2843"/>
      <c r="J16" s="3692"/>
      <c r="K16" s="3694"/>
      <c r="L16" s="2877" t="s">
        <v>2384</v>
      </c>
      <c r="M16" s="2878"/>
      <c r="N16" s="2878"/>
      <c r="O16" s="2879"/>
      <c r="P16" s="2880">
        <v>365</v>
      </c>
      <c r="Q16" s="2854"/>
      <c r="R16" s="2901">
        <f>ROUND(M16*N16*O16*P16/10000,0)</f>
        <v>0</v>
      </c>
      <c r="S16" s="2835"/>
      <c r="T16" s="2835"/>
      <c r="U16" s="2835"/>
      <c r="V16" s="2843"/>
    </row>
    <row r="17" spans="1:22" s="2847" customFormat="1" ht="13.15" customHeight="1" thickBot="1">
      <c r="A17" s="2904">
        <v>4</v>
      </c>
      <c r="B17" s="3700" t="s">
        <v>2385</v>
      </c>
      <c r="C17" s="3701"/>
      <c r="D17" s="2905">
        <f>ROUND(D6*E17,0)</f>
        <v>0</v>
      </c>
      <c r="E17" s="2906"/>
      <c r="F17" s="2907" t="s">
        <v>2386</v>
      </c>
      <c r="G17" s="2867"/>
      <c r="H17" s="2842"/>
      <c r="I17" s="2843"/>
      <c r="J17" s="3692"/>
      <c r="K17" s="3694"/>
      <c r="L17" s="2877" t="s">
        <v>2387</v>
      </c>
      <c r="M17" s="2878"/>
      <c r="N17" s="2878"/>
      <c r="O17" s="2879"/>
      <c r="P17" s="2880">
        <v>365</v>
      </c>
      <c r="Q17" s="2854"/>
      <c r="R17" s="2901">
        <f>ROUND(M17*N17*O17*P17/10000,0)</f>
        <v>0</v>
      </c>
      <c r="S17" s="2835"/>
      <c r="T17" s="2835"/>
      <c r="U17" s="2835"/>
      <c r="V17" s="2843"/>
    </row>
    <row r="18" spans="1:22" s="2847" customFormat="1" ht="13.15" customHeight="1" thickBot="1">
      <c r="A18" s="2870" t="s">
        <v>2388</v>
      </c>
      <c r="B18" s="2871"/>
      <c r="C18" s="2871"/>
      <c r="D18" s="2908">
        <f>ROUND(D6*E18,0)</f>
        <v>0</v>
      </c>
      <c r="E18" s="2909"/>
      <c r="F18" s="2910" t="s">
        <v>2389</v>
      </c>
      <c r="G18" s="2867"/>
      <c r="H18" s="2842"/>
      <c r="I18" s="2843"/>
      <c r="J18" s="3692"/>
      <c r="K18" s="3694"/>
      <c r="L18" s="2877" t="s">
        <v>2390</v>
      </c>
      <c r="M18" s="2878"/>
      <c r="N18" s="2878"/>
      <c r="O18" s="2879"/>
      <c r="P18" s="2880">
        <v>365</v>
      </c>
      <c r="Q18" s="2854"/>
      <c r="R18" s="2901">
        <f>ROUND(M18*N18*O18*P18/10000,0)</f>
        <v>0</v>
      </c>
      <c r="S18" s="2835"/>
      <c r="T18" s="2835"/>
      <c r="U18" s="2835"/>
      <c r="V18" s="2843"/>
    </row>
    <row r="19" spans="1:22" s="2847" customFormat="1" ht="13.15" customHeight="1" thickBot="1">
      <c r="A19" s="2911" t="s">
        <v>2391</v>
      </c>
      <c r="B19" s="2865"/>
      <c r="C19" s="2865"/>
      <c r="D19" s="2865"/>
      <c r="E19" s="2865"/>
      <c r="F19" s="2866"/>
      <c r="G19" s="2886"/>
      <c r="H19" s="2842"/>
      <c r="I19" s="2843"/>
      <c r="J19" s="3692"/>
      <c r="K19" s="3695"/>
      <c r="L19" s="2897" t="s">
        <v>2371</v>
      </c>
      <c r="M19" s="2898"/>
      <c r="N19" s="2898">
        <f>SUM(N16:N18)</f>
        <v>0</v>
      </c>
      <c r="O19" s="2899"/>
      <c r="P19" s="2912" t="s">
        <v>2435</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92">
        <v>3</v>
      </c>
      <c r="K20" s="3693" t="s">
        <v>2392</v>
      </c>
      <c r="L20" s="2877" t="s">
        <v>2393</v>
      </c>
      <c r="M20" s="2878" t="s">
        <v>2394</v>
      </c>
      <c r="N20" s="2915" t="s">
        <v>2395</v>
      </c>
      <c r="O20" s="2879" t="s">
        <v>2396</v>
      </c>
      <c r="P20" s="2880" t="s">
        <v>2397</v>
      </c>
      <c r="Q20" s="2854" t="s">
        <v>2398</v>
      </c>
      <c r="R20" s="2901" t="s">
        <v>2399</v>
      </c>
      <c r="S20" s="2916"/>
      <c r="T20" s="2916"/>
      <c r="U20" s="2916"/>
      <c r="V20" s="2843"/>
    </row>
    <row r="21" spans="1:22" s="2847" customFormat="1" ht="13.15" customHeight="1">
      <c r="A21" s="2870"/>
      <c r="B21" s="2871"/>
      <c r="C21" s="2917" t="s">
        <v>2400</v>
      </c>
      <c r="D21" s="2918" t="s">
        <v>2401</v>
      </c>
      <c r="E21" s="2919" t="s">
        <v>2402</v>
      </c>
      <c r="F21" s="2914"/>
      <c r="G21" s="2886"/>
      <c r="H21" s="2842"/>
      <c r="I21" s="2843"/>
      <c r="J21" s="3692"/>
      <c r="K21" s="3694"/>
      <c r="L21" s="2877" t="s">
        <v>2403</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2404</v>
      </c>
      <c r="D22" s="2922" t="s">
        <v>2405</v>
      </c>
      <c r="E22" s="2923" t="s">
        <v>2406</v>
      </c>
      <c r="F22" s="2914"/>
      <c r="G22" s="2924"/>
      <c r="H22" s="2842"/>
      <c r="I22" s="2843"/>
      <c r="J22" s="3692"/>
      <c r="K22" s="3694"/>
      <c r="L22" s="2877" t="s">
        <v>2407</v>
      </c>
      <c r="M22" s="2878"/>
      <c r="N22" s="2878"/>
      <c r="O22" s="2879"/>
      <c r="P22" s="2880">
        <v>365</v>
      </c>
      <c r="Q22" s="2854"/>
      <c r="R22" s="2920">
        <f>ROUND(M22*N22*O22*P22/10000,0)</f>
        <v>0</v>
      </c>
      <c r="S22" s="2916"/>
      <c r="T22" s="2916"/>
      <c r="U22" s="2916"/>
      <c r="V22" s="2843"/>
    </row>
    <row r="23" spans="1:22" s="2847" customFormat="1" ht="13.15" customHeight="1">
      <c r="A23" s="2925">
        <v>1</v>
      </c>
      <c r="B23" s="2926" t="s">
        <v>2408</v>
      </c>
      <c r="C23" s="2927">
        <f>D6</f>
        <v>0</v>
      </c>
      <c r="D23" s="2928">
        <f>C23*(1+D24)</f>
        <v>0</v>
      </c>
      <c r="E23" s="2929">
        <f>D23*(1+E24)</f>
        <v>0</v>
      </c>
      <c r="F23" s="2930"/>
      <c r="G23" s="2931"/>
      <c r="H23" s="2842"/>
      <c r="I23" s="2843"/>
      <c r="J23" s="3692"/>
      <c r="K23" s="3694"/>
      <c r="L23" s="2877" t="s">
        <v>2409</v>
      </c>
      <c r="M23" s="2878"/>
      <c r="N23" s="2878"/>
      <c r="O23" s="2879"/>
      <c r="P23" s="2880">
        <v>365</v>
      </c>
      <c r="Q23" s="2854"/>
      <c r="R23" s="2920">
        <f>ROUND(M23*N23*O23*P23/10000,0)</f>
        <v>0</v>
      </c>
      <c r="S23" s="2835"/>
      <c r="T23" s="2835"/>
      <c r="U23" s="2835"/>
      <c r="V23" s="2843"/>
    </row>
    <row r="24" spans="1:22" s="2847" customFormat="1" ht="13.15" customHeight="1">
      <c r="A24" s="2932"/>
      <c r="B24" s="2933" t="s">
        <v>2410</v>
      </c>
      <c r="C24" s="2934"/>
      <c r="D24" s="2935"/>
      <c r="E24" s="2936"/>
      <c r="F24" s="2937"/>
      <c r="G24" s="2931"/>
      <c r="H24" s="2842"/>
      <c r="I24" s="2843"/>
      <c r="J24" s="3692"/>
      <c r="K24" s="3695"/>
      <c r="L24" s="2897" t="s">
        <v>2371</v>
      </c>
      <c r="M24" s="2898">
        <f>SUM(M21:M23)</f>
        <v>0</v>
      </c>
      <c r="N24" s="2898"/>
      <c r="O24" s="2899"/>
      <c r="P24" s="2912" t="s">
        <v>2435</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2411</v>
      </c>
      <c r="L25" s="2940"/>
      <c r="M25" s="2940"/>
      <c r="N25" s="2940"/>
      <c r="O25" s="2940"/>
      <c r="P25" s="2941"/>
      <c r="Q25" s="2942">
        <v>0</v>
      </c>
      <c r="R25" s="2913">
        <f>ROUND(R14*Q25,0)</f>
        <v>0</v>
      </c>
      <c r="S25" s="2835"/>
      <c r="T25" s="2835"/>
      <c r="U25" s="2835"/>
      <c r="V25" s="2943"/>
    </row>
    <row r="26" spans="1:22" s="2944" customFormat="1" ht="13.15" customHeight="1">
      <c r="A26" s="2925">
        <v>2</v>
      </c>
      <c r="B26" s="2926" t="s">
        <v>2412</v>
      </c>
      <c r="C26" s="2927">
        <f>D7</f>
        <v>0</v>
      </c>
      <c r="D26" s="2928">
        <f>D23*D27</f>
        <v>0</v>
      </c>
      <c r="E26" s="2929">
        <f>E23*E27</f>
        <v>0</v>
      </c>
      <c r="F26" s="2930"/>
      <c r="G26" s="2931"/>
      <c r="H26" s="2842"/>
      <c r="I26" s="2843"/>
      <c r="J26" s="3702">
        <v>5</v>
      </c>
      <c r="K26" s="2945" t="s">
        <v>2413</v>
      </c>
      <c r="L26" s="2946"/>
      <c r="M26" s="2947"/>
      <c r="N26" s="2948" t="s">
        <v>2414</v>
      </c>
      <c r="O26" s="2948" t="s">
        <v>2415</v>
      </c>
      <c r="P26" s="2949" t="s">
        <v>2416</v>
      </c>
      <c r="Q26" s="2949" t="s">
        <v>2417</v>
      </c>
      <c r="R26" s="2852" t="s">
        <v>2342</v>
      </c>
      <c r="S26" s="2950"/>
      <c r="T26" s="2950"/>
      <c r="U26" s="2950"/>
      <c r="V26" s="2943"/>
    </row>
    <row r="27" spans="1:22" s="2847" customFormat="1" ht="13.15" customHeight="1">
      <c r="A27" s="2932"/>
      <c r="B27" s="2933" t="s">
        <v>2418</v>
      </c>
      <c r="C27" s="2951" t="e">
        <f>E7</f>
        <v>#DIV/0!</v>
      </c>
      <c r="D27" s="2935"/>
      <c r="E27" s="2936"/>
      <c r="F27" s="2937"/>
      <c r="G27" s="2931"/>
      <c r="H27" s="2952"/>
      <c r="I27" s="2943"/>
      <c r="J27" s="3703"/>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2419</v>
      </c>
      <c r="F28" s="2937"/>
      <c r="G28" s="2924"/>
      <c r="H28" s="2952"/>
      <c r="I28" s="2943"/>
      <c r="J28" s="2958">
        <v>6</v>
      </c>
      <c r="K28" s="2959" t="s">
        <v>2420</v>
      </c>
      <c r="L28" s="2960" t="s">
        <v>2421</v>
      </c>
      <c r="M28" s="2961"/>
      <c r="N28" s="2960" t="s">
        <v>2422</v>
      </c>
      <c r="O28" s="2962"/>
      <c r="P28" s="2960" t="s">
        <v>2423</v>
      </c>
      <c r="Q28" s="2963">
        <v>1.4999999999999999E-2</v>
      </c>
      <c r="R28" s="2964"/>
      <c r="S28" s="2916"/>
      <c r="T28" s="2916"/>
      <c r="U28" s="2916"/>
      <c r="V28" s="2943"/>
    </row>
    <row r="29" spans="1:22" s="2944" customFormat="1" ht="13.15" customHeight="1">
      <c r="A29" s="2925">
        <v>3</v>
      </c>
      <c r="B29" s="2926" t="s">
        <v>2424</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2418</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2425</v>
      </c>
      <c r="K31" s="2833"/>
      <c r="L31" s="2833"/>
      <c r="M31" s="2833"/>
      <c r="N31" s="2833"/>
      <c r="O31" s="2833"/>
      <c r="P31" s="2833"/>
      <c r="Q31" s="2833"/>
      <c r="R31" s="2834"/>
      <c r="S31" s="2916"/>
      <c r="T31" s="2835"/>
      <c r="U31" s="2835"/>
      <c r="V31" s="2943"/>
    </row>
    <row r="32" spans="1:22" s="2944" customFormat="1" ht="13.15" customHeight="1">
      <c r="A32" s="2925">
        <v>4</v>
      </c>
      <c r="B32" s="2926" t="s">
        <v>2426</v>
      </c>
      <c r="C32" s="2927">
        <f>C23-C26-C29</f>
        <v>0</v>
      </c>
      <c r="D32" s="2928">
        <f>D23-D26-D29</f>
        <v>0</v>
      </c>
      <c r="E32" s="2929">
        <f>E23-E26-E29</f>
        <v>0</v>
      </c>
      <c r="F32" s="2930"/>
      <c r="G32" s="2924"/>
      <c r="H32" s="2842"/>
      <c r="I32" s="2843"/>
      <c r="J32" s="3685" t="s">
        <v>2318</v>
      </c>
      <c r="K32" s="3686"/>
      <c r="L32" s="2844" t="s">
        <v>2319</v>
      </c>
      <c r="M32" s="2844" t="s">
        <v>2320</v>
      </c>
      <c r="N32" s="2844" t="s">
        <v>2321</v>
      </c>
      <c r="O32" s="2844" t="s">
        <v>2322</v>
      </c>
      <c r="P32" s="2844" t="s">
        <v>2323</v>
      </c>
      <c r="Q32" s="2845" t="s">
        <v>2324</v>
      </c>
      <c r="R32" s="2967" t="s">
        <v>2325</v>
      </c>
      <c r="S32" s="2916"/>
      <c r="T32" s="2835"/>
      <c r="U32" s="2835"/>
      <c r="V32" s="2943"/>
    </row>
    <row r="33" spans="1:23" s="2847" customFormat="1" ht="13.15" customHeight="1">
      <c r="A33" s="2925"/>
      <c r="B33" s="2926"/>
      <c r="C33" s="2927"/>
      <c r="D33" s="2968"/>
      <c r="E33" s="2969"/>
      <c r="F33" s="2930"/>
      <c r="G33" s="2924"/>
      <c r="H33" s="2952"/>
      <c r="I33" s="2943"/>
      <c r="J33" s="3687" t="s">
        <v>2328</v>
      </c>
      <c r="K33" s="3688"/>
      <c r="L33" s="2850"/>
      <c r="M33" s="2850"/>
      <c r="N33" s="2850"/>
      <c r="O33" s="2850"/>
      <c r="P33" s="2850"/>
      <c r="Q33" s="2851"/>
      <c r="R33" s="2970">
        <f>SUM(L33:Q33)</f>
        <v>0</v>
      </c>
      <c r="S33" s="2916"/>
      <c r="T33" s="2835"/>
      <c r="U33" s="2835"/>
      <c r="V33" s="2843"/>
    </row>
    <row r="34" spans="1:23" s="2847" customFormat="1" ht="13.15" customHeight="1">
      <c r="A34" s="2925">
        <v>5</v>
      </c>
      <c r="B34" s="2926" t="s">
        <v>2427</v>
      </c>
      <c r="C34" s="2971"/>
      <c r="D34" s="2972"/>
      <c r="E34" s="2973"/>
      <c r="F34" s="2930"/>
      <c r="G34" s="2924"/>
      <c r="H34" s="2952"/>
      <c r="I34" s="2943"/>
      <c r="J34" s="3687" t="s">
        <v>2330</v>
      </c>
      <c r="K34" s="3688"/>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2428</v>
      </c>
      <c r="C35" s="2975"/>
      <c r="D35" s="2976"/>
      <c r="E35" s="2977"/>
      <c r="F35" s="2930"/>
      <c r="G35" s="2978"/>
      <c r="H35" s="2842"/>
      <c r="I35" s="2943"/>
      <c r="J35" s="2861" t="s">
        <v>2332</v>
      </c>
      <c r="K35" s="2862"/>
      <c r="L35" s="2862"/>
      <c r="M35" s="2863"/>
      <c r="N35" s="2863"/>
      <c r="O35" s="2863"/>
      <c r="P35" s="2863"/>
      <c r="Q35" s="2863"/>
      <c r="R35" s="2979">
        <f>R40+R41+R43</f>
        <v>0</v>
      </c>
      <c r="S35" s="2916"/>
      <c r="T35" s="2835" t="s">
        <v>2333</v>
      </c>
      <c r="U35" s="2835"/>
      <c r="V35" s="2843"/>
    </row>
    <row r="36" spans="1:23" s="2847" customFormat="1" ht="13.15" customHeight="1" thickBot="1">
      <c r="A36" s="2925">
        <v>7</v>
      </c>
      <c r="B36" s="2980" t="s">
        <v>2429</v>
      </c>
      <c r="C36" s="2981"/>
      <c r="D36" s="2982"/>
      <c r="E36" s="2983"/>
      <c r="F36" s="2984">
        <f>C36+D36+E36</f>
        <v>0</v>
      </c>
      <c r="G36" s="2924"/>
      <c r="H36" s="2842"/>
      <c r="I36" s="2843"/>
      <c r="J36" s="3692">
        <v>1</v>
      </c>
      <c r="K36" s="3693" t="s">
        <v>2430</v>
      </c>
      <c r="L36" s="2868"/>
      <c r="M36" s="2869"/>
      <c r="N36" s="2869"/>
      <c r="O36" s="2869"/>
      <c r="P36" s="2869"/>
      <c r="Q36" s="2869"/>
      <c r="R36" s="2852" t="s">
        <v>2342</v>
      </c>
      <c r="S36" s="2916"/>
      <c r="T36" s="2835" t="s">
        <v>2343</v>
      </c>
      <c r="U36" s="2835"/>
      <c r="V36" s="2843"/>
    </row>
    <row r="37" spans="1:23" s="2847" customFormat="1" ht="13.15" customHeight="1">
      <c r="A37" s="2925"/>
      <c r="B37" s="2926"/>
      <c r="C37" s="2926"/>
      <c r="D37" s="2926"/>
      <c r="E37" s="2926"/>
      <c r="F37" s="2930"/>
      <c r="G37" s="2924"/>
      <c r="H37" s="2842"/>
      <c r="I37" s="2843"/>
      <c r="J37" s="3692"/>
      <c r="K37" s="3694"/>
      <c r="L37" s="2877"/>
      <c r="M37" s="2878"/>
      <c r="N37" s="2854"/>
      <c r="O37" s="2879"/>
      <c r="P37" s="2879"/>
      <c r="Q37" s="2880"/>
      <c r="R37" s="2881"/>
      <c r="S37" s="2916"/>
      <c r="T37" s="2835" t="s">
        <v>2346</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92"/>
      <c r="K38" s="3694"/>
      <c r="L38" s="2877"/>
      <c r="M38" s="2878"/>
      <c r="N38" s="2854"/>
      <c r="O38" s="2879"/>
      <c r="P38" s="2879"/>
      <c r="Q38" s="2880"/>
      <c r="R38" s="2881"/>
      <c r="S38" s="2916"/>
      <c r="T38" s="2835" t="s">
        <v>2353</v>
      </c>
      <c r="U38" s="2835"/>
      <c r="V38" s="2843"/>
    </row>
    <row r="39" spans="1:23" s="2847" customFormat="1" ht="13.15" customHeight="1">
      <c r="A39" s="2925">
        <v>9</v>
      </c>
      <c r="B39" s="2926" t="s">
        <v>2431</v>
      </c>
      <c r="C39" s="2891" t="e">
        <f>C38</f>
        <v>#DIV/0!</v>
      </c>
      <c r="D39" s="2926">
        <f>D38/(1+D34)^C36</f>
        <v>0</v>
      </c>
      <c r="E39" s="2926">
        <f>E38/(1+E34)^(C36+D36)</f>
        <v>0</v>
      </c>
      <c r="F39" s="2930"/>
      <c r="G39" s="2985"/>
      <c r="H39" s="2842"/>
      <c r="I39" s="2843"/>
      <c r="J39" s="3692"/>
      <c r="K39" s="3694"/>
      <c r="L39" s="2877"/>
      <c r="M39" s="2878"/>
      <c r="N39" s="2854"/>
      <c r="O39" s="2879"/>
      <c r="P39" s="2879"/>
      <c r="Q39" s="2880"/>
      <c r="R39" s="2881"/>
      <c r="S39" s="2916"/>
      <c r="T39" s="2835"/>
      <c r="U39" s="2835"/>
      <c r="V39" s="2843"/>
    </row>
    <row r="40" spans="1:23" s="2847" customFormat="1" ht="13.15" customHeight="1">
      <c r="A40" s="2986">
        <v>10</v>
      </c>
      <c r="B40" s="2926" t="s">
        <v>2432</v>
      </c>
      <c r="C40" s="2987" t="e">
        <f>C39+D39+E39</f>
        <v>#DIV/0!</v>
      </c>
      <c r="D40" s="2988"/>
      <c r="E40" s="2988"/>
      <c r="F40" s="2989"/>
      <c r="G40" s="2924"/>
      <c r="H40" s="2842"/>
      <c r="I40" s="2843"/>
      <c r="J40" s="3692"/>
      <c r="K40" s="3695"/>
      <c r="L40" s="2897" t="s">
        <v>2371</v>
      </c>
      <c r="M40" s="2898"/>
      <c r="N40" s="2898"/>
      <c r="O40" s="2899"/>
      <c r="P40" s="2899"/>
      <c r="Q40" s="2900"/>
      <c r="R40" s="2846">
        <f>SUM(R37:R39)</f>
        <v>0</v>
      </c>
      <c r="S40" s="2916"/>
      <c r="T40" s="2835"/>
      <c r="U40" s="2835"/>
      <c r="V40" s="2843"/>
    </row>
    <row r="41" spans="1:23" s="2847" customFormat="1" ht="13.15" customHeight="1" thickBot="1">
      <c r="A41" s="2990">
        <v>11</v>
      </c>
      <c r="B41" s="2991" t="s">
        <v>2433</v>
      </c>
      <c r="C41" s="2991" t="e">
        <f>ROUND(C40*10000/B4,0)</f>
        <v>#DIV/0!</v>
      </c>
      <c r="D41" s="2992"/>
      <c r="E41" s="2992"/>
      <c r="F41" s="2993"/>
      <c r="G41" s="2994"/>
      <c r="H41" s="2842"/>
      <c r="I41" s="2843"/>
      <c r="J41" s="2938">
        <v>2</v>
      </c>
      <c r="K41" s="2939" t="s">
        <v>2411</v>
      </c>
      <c r="L41" s="2940"/>
      <c r="M41" s="2940"/>
      <c r="N41" s="2940"/>
      <c r="O41" s="2940"/>
      <c r="P41" s="2941"/>
      <c r="Q41" s="2942"/>
      <c r="R41" s="2913">
        <f>ROUND(R40*Q41,0)</f>
        <v>0</v>
      </c>
      <c r="S41" s="2916"/>
      <c r="T41" s="2835"/>
      <c r="U41" s="2950"/>
      <c r="V41" s="2843"/>
    </row>
    <row r="42" spans="1:23" s="2847" customFormat="1" ht="13.15" customHeight="1">
      <c r="G42" s="2994"/>
      <c r="H42" s="2842"/>
      <c r="I42" s="2843"/>
      <c r="J42" s="3702">
        <v>3</v>
      </c>
      <c r="K42" s="2945" t="s">
        <v>2413</v>
      </c>
      <c r="L42" s="2946"/>
      <c r="M42" s="2947"/>
      <c r="N42" s="2948" t="s">
        <v>2414</v>
      </c>
      <c r="O42" s="2948" t="s">
        <v>2415</v>
      </c>
      <c r="P42" s="2949" t="s">
        <v>2416</v>
      </c>
      <c r="Q42" s="2949" t="s">
        <v>2417</v>
      </c>
      <c r="R42" s="2852" t="s">
        <v>2342</v>
      </c>
      <c r="S42" s="2950"/>
      <c r="T42" s="2950"/>
      <c r="U42" s="2835"/>
      <c r="V42" s="2843"/>
    </row>
    <row r="43" spans="1:23" ht="13.15" customHeight="1">
      <c r="A43" s="2847"/>
      <c r="B43" s="2847"/>
      <c r="C43" s="2847"/>
      <c r="D43" s="2847"/>
      <c r="E43" s="2847"/>
      <c r="F43" s="2847"/>
      <c r="I43" s="2830"/>
      <c r="J43" s="3703"/>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2420</v>
      </c>
      <c r="L44" s="2998" t="s">
        <v>2421</v>
      </c>
      <c r="M44" s="2961"/>
      <c r="N44" s="2998" t="s">
        <v>2422</v>
      </c>
      <c r="O44" s="2961"/>
      <c r="P44" s="2998" t="s">
        <v>2423</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1"/>
      <c r="G1" s="1488"/>
      <c r="H1" s="1488"/>
      <c r="I1" s="1488"/>
      <c r="J1" s="1488"/>
      <c r="K1" s="1488"/>
      <c r="L1" s="1488"/>
      <c r="M1" s="1488"/>
      <c r="N1" s="1488"/>
      <c r="O1" s="1488"/>
      <c r="P1" s="1488"/>
      <c r="Q1" s="1488"/>
      <c r="R1" s="1488"/>
      <c r="S1" s="1488"/>
    </row>
    <row r="2" spans="1:22" ht="15.75">
      <c r="A2" s="1869" t="s">
        <v>1461</v>
      </c>
      <c r="B2" s="1870">
        <f ca="1">SUMIF(B6:B13,"&lt;&gt;#ref!",B6:B13)</f>
        <v>3455</v>
      </c>
      <c r="C2" s="1871" t="s">
        <v>1650</v>
      </c>
      <c r="D2" s="1872" t="s">
        <v>1651</v>
      </c>
      <c r="E2" s="2601">
        <f>SUM(E6:E13)</f>
        <v>5373.0999999999995</v>
      </c>
      <c r="F2" s="2701"/>
      <c r="G2" s="1488"/>
      <c r="H2" s="1488"/>
      <c r="I2" s="1488"/>
      <c r="J2" s="1488"/>
      <c r="K2" s="1488"/>
      <c r="L2" s="1488"/>
      <c r="M2" s="1488"/>
      <c r="N2" s="1488"/>
      <c r="O2" s="1488"/>
      <c r="P2" s="1488"/>
      <c r="Q2" s="1488"/>
      <c r="R2" s="1488"/>
      <c r="S2" s="1488"/>
    </row>
    <row r="3" spans="1:22" ht="15.75">
      <c r="A3" s="1869" t="s">
        <v>686</v>
      </c>
      <c r="B3" s="2595">
        <f ca="1">ROUND(B2*10000/E2,0)</f>
        <v>6430</v>
      </c>
      <c r="C3" s="1871" t="s">
        <v>1658</v>
      </c>
      <c r="D3" s="2703"/>
      <c r="E3" s="2705"/>
      <c r="F3" s="2701"/>
      <c r="G3" s="1488"/>
      <c r="H3" s="1488"/>
      <c r="I3" s="1488"/>
      <c r="J3" s="1488"/>
      <c r="K3" s="1488"/>
      <c r="L3" s="1488"/>
      <c r="M3" s="1488"/>
      <c r="N3" s="1488"/>
      <c r="O3" s="1488"/>
      <c r="P3" s="1488"/>
      <c r="Q3" s="1488"/>
      <c r="R3" s="1488"/>
      <c r="S3" s="1488"/>
    </row>
    <row r="4" spans="1:22" ht="15.75">
      <c r="A4" s="2706"/>
      <c r="B4" s="2703"/>
      <c r="C4" s="2703"/>
      <c r="D4" s="2703"/>
      <c r="E4" s="2705"/>
      <c r="F4" s="2701"/>
      <c r="G4" s="1488"/>
      <c r="H4" s="1488"/>
      <c r="I4" s="1488"/>
      <c r="J4" s="1488"/>
      <c r="K4" s="1488"/>
      <c r="L4" s="1488"/>
      <c r="M4" s="1488"/>
      <c r="N4" s="1488"/>
      <c r="O4" s="1488"/>
      <c r="P4" s="1488"/>
      <c r="Q4" s="1488"/>
      <c r="R4" s="1488"/>
      <c r="S4" s="1488"/>
    </row>
    <row r="5" spans="1:22" ht="15">
      <c r="A5" s="2597" t="s">
        <v>1652</v>
      </c>
      <c r="B5" s="3704" t="s">
        <v>1653</v>
      </c>
      <c r="C5" s="3705"/>
      <c r="D5" s="2702"/>
      <c r="E5" s="1873" t="s">
        <v>1654</v>
      </c>
      <c r="F5" s="1874" t="s">
        <v>1655</v>
      </c>
      <c r="G5" s="1488"/>
      <c r="H5" s="1488"/>
      <c r="I5" s="1488"/>
      <c r="J5" s="1488"/>
      <c r="K5" s="1488"/>
      <c r="L5" s="1488"/>
      <c r="M5" s="1488"/>
      <c r="N5" s="1488"/>
      <c r="O5" s="1488"/>
      <c r="P5" s="1488"/>
      <c r="Q5" s="1488"/>
      <c r="R5" s="1488"/>
      <c r="S5" s="1488"/>
    </row>
    <row r="6" spans="1:22">
      <c r="A6" s="2598">
        <f>'数据-取费表'!AN6</f>
        <v>0</v>
      </c>
      <c r="B6" s="2596" t="e">
        <f ca="1">IF(F6="是",'数据-取费表'!AO6,0)</f>
        <v>#REF!</v>
      </c>
      <c r="C6" s="1871" t="s">
        <v>1650</v>
      </c>
      <c r="D6" s="2703"/>
      <c r="E6" s="2600">
        <f>IF(OR(A6=0,F6="否"),0,'数据-取费表'!K6+'数据-取费表'!S6)</f>
        <v>0</v>
      </c>
      <c r="F6" s="1875" t="s">
        <v>1656</v>
      </c>
      <c r="G6" s="1488"/>
      <c r="H6" s="1488"/>
      <c r="I6" s="1488"/>
      <c r="J6" s="1488"/>
      <c r="K6" s="1488"/>
      <c r="L6" s="1488"/>
      <c r="M6" s="1488"/>
      <c r="N6" s="1488"/>
      <c r="O6" s="1488"/>
      <c r="P6" s="1488"/>
      <c r="Q6" s="1488"/>
      <c r="R6" s="1488"/>
      <c r="S6" s="1488"/>
    </row>
    <row r="7" spans="1:22">
      <c r="A7" s="2598" t="str">
        <f>'数据-取费表'!AN7</f>
        <v>收益法</v>
      </c>
      <c r="B7" s="2596">
        <f ca="1">IF(F7="是",'数据-取费表'!AO7,0)</f>
        <v>3455</v>
      </c>
      <c r="C7" s="1871" t="s">
        <v>1650</v>
      </c>
      <c r="D7" s="2703"/>
      <c r="E7" s="2600">
        <f>IF(OR(A7=0,F7="否"),0,'数据-取费表'!K7+'数据-取费表'!S7)</f>
        <v>5373.0999999999995</v>
      </c>
      <c r="F7" s="1875" t="s">
        <v>1656</v>
      </c>
      <c r="G7" s="1488"/>
      <c r="H7" s="1488"/>
      <c r="I7" s="1488"/>
      <c r="J7" s="1488"/>
      <c r="K7" s="1488"/>
      <c r="L7" s="1488"/>
      <c r="M7" s="1488"/>
      <c r="N7" s="1488"/>
      <c r="O7" s="1488"/>
      <c r="P7" s="1488"/>
      <c r="Q7" s="1488"/>
      <c r="R7" s="1488"/>
      <c r="S7" s="1488"/>
    </row>
    <row r="8" spans="1:22">
      <c r="A8" s="2598">
        <f>'数据-取费表'!AN8</f>
        <v>0</v>
      </c>
      <c r="B8" s="2596" t="e">
        <f ca="1">IF(F8="是",'数据-取费表'!AO8,0)</f>
        <v>#REF!</v>
      </c>
      <c r="C8" s="1871" t="s">
        <v>1650</v>
      </c>
      <c r="D8" s="2703"/>
      <c r="E8" s="2600">
        <f>IF(OR(A8=0,F8="否"),0,'数据-取费表'!K8+'数据-取费表'!S8)</f>
        <v>0</v>
      </c>
      <c r="F8" s="1875" t="s">
        <v>1656</v>
      </c>
      <c r="G8" s="1488"/>
      <c r="H8" s="1488"/>
      <c r="I8" s="1488"/>
      <c r="J8" s="1488"/>
      <c r="K8" s="1488"/>
      <c r="L8" s="1488"/>
      <c r="M8" s="1488"/>
      <c r="N8" s="1488"/>
      <c r="O8" s="1488"/>
      <c r="P8" s="1488"/>
      <c r="Q8" s="1488"/>
      <c r="R8" s="1488"/>
      <c r="S8" s="1488"/>
    </row>
    <row r="9" spans="1:22">
      <c r="A9" s="2598">
        <f>'数据-取费表'!AN9</f>
        <v>0</v>
      </c>
      <c r="B9" s="2596" t="e">
        <f ca="1">IF(F9="是",'数据-取费表'!AO9,0)</f>
        <v>#REF!</v>
      </c>
      <c r="C9" s="1871" t="s">
        <v>1650</v>
      </c>
      <c r="D9" s="2703"/>
      <c r="E9" s="2600">
        <f>IF(OR(A9=0,F9="否"),0,'数据-取费表'!K9+'数据-取费表'!S9)</f>
        <v>0</v>
      </c>
      <c r="F9" s="1875" t="s">
        <v>1656</v>
      </c>
      <c r="G9" s="1488"/>
      <c r="H9" s="1488"/>
      <c r="I9" s="1488"/>
      <c r="J9" s="1488"/>
      <c r="K9" s="1488"/>
      <c r="L9" s="1488"/>
      <c r="M9" s="1488"/>
      <c r="N9" s="1488"/>
      <c r="O9" s="1488"/>
      <c r="P9" s="1488"/>
      <c r="Q9" s="1488"/>
      <c r="R9" s="1488"/>
      <c r="S9" s="1488"/>
    </row>
    <row r="10" spans="1:22">
      <c r="A10" s="2598">
        <f>'数据-取费表'!AN10</f>
        <v>0</v>
      </c>
      <c r="B10" s="2596" t="e">
        <f ca="1">IF(F10="是",'数据-取费表'!AO10,0)</f>
        <v>#REF!</v>
      </c>
      <c r="C10" s="1871" t="s">
        <v>1650</v>
      </c>
      <c r="D10" s="2703"/>
      <c r="E10" s="2600">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598">
        <f>'数据-取费表'!AN11</f>
        <v>0</v>
      </c>
      <c r="B11" s="2596" t="e">
        <f ca="1">IF(F11="是",'数据-取费表'!AO11,0)</f>
        <v>#REF!</v>
      </c>
      <c r="C11" s="1871" t="s">
        <v>1650</v>
      </c>
      <c r="D11" s="2703"/>
      <c r="E11" s="2600">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598">
        <f>'数据-取费表'!AN12</f>
        <v>0</v>
      </c>
      <c r="B12" s="2596" t="e">
        <f ca="1">IF(F12="是",'数据-取费表'!AO12,0)</f>
        <v>#REF!</v>
      </c>
      <c r="C12" s="1871" t="s">
        <v>1650</v>
      </c>
      <c r="D12" s="2703"/>
      <c r="E12" s="2600">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599">
        <f>'数据-取费表'!AN13</f>
        <v>0</v>
      </c>
      <c r="B13" s="2596" t="e">
        <f ca="1">IF(F13="是",'数据-取费表'!AO13,0)</f>
        <v>#REF!</v>
      </c>
      <c r="C13" s="1876" t="s">
        <v>1650</v>
      </c>
      <c r="D13" s="2704"/>
      <c r="E13" s="2600">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C17" sqref="C1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t="s">
        <v>3386</v>
      </c>
      <c r="E1" s="3420" t="s">
        <v>4715</v>
      </c>
      <c r="F1" s="1878" t="s">
        <v>4716</v>
      </c>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1">
        <f>IF(E1="项目模式",IF(C2="——",ROUND(C49*D3/10000,0),ROUND(C49*D3/10000,0)-D2),IF(E1="单套模式",IF(C2="——",ROUND(C49*D3/10000,4),ROUND(C49*D3/10000,4)-D2)))</f>
        <v>63706</v>
      </c>
      <c r="C2" s="1880" t="s">
        <v>43</v>
      </c>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07"/>
      <c r="M2" s="2708"/>
      <c r="N2" s="2708"/>
      <c r="O2" s="2708"/>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42534</v>
      </c>
      <c r="C3" s="354" t="s">
        <v>1664</v>
      </c>
      <c r="D3" s="353">
        <f>IF(D1="",'数据-汇总表'!E3,SUMIF('数据-汇总表'!$C19:$C33,D1,'数据-汇总表'!$E19:$E33))</f>
        <v>14977.60000000002</v>
      </c>
      <c r="E3" s="907"/>
      <c r="F3" s="1887"/>
      <c r="G3" s="907"/>
      <c r="H3" s="907"/>
      <c r="I3" s="907"/>
      <c r="J3" s="907"/>
      <c r="K3" s="1883"/>
      <c r="L3" s="2707"/>
      <c r="M3" s="2708"/>
      <c r="N3" s="2708"/>
      <c r="O3" s="2708"/>
      <c r="P3" s="1884"/>
      <c r="Q3" s="1885"/>
      <c r="R3" s="1885"/>
      <c r="S3" s="1885"/>
      <c r="T3" s="1885"/>
      <c r="U3" s="1885"/>
      <c r="V3" s="1885"/>
      <c r="W3" s="1885"/>
      <c r="X3" s="1885"/>
      <c r="Y3" s="1885"/>
      <c r="Z3" s="1885"/>
      <c r="AA3" s="1885"/>
      <c r="AB3" s="1885"/>
      <c r="AC3" s="1061"/>
    </row>
    <row r="4" spans="1:29" ht="15">
      <c r="A4" s="355" t="s">
        <v>1665</v>
      </c>
      <c r="B4" s="356"/>
      <c r="C4" s="3724" t="s">
        <v>1666</v>
      </c>
      <c r="D4" s="3725"/>
      <c r="E4" s="3726" t="s">
        <v>1667</v>
      </c>
      <c r="F4" s="3727"/>
      <c r="G4" s="3724" t="s">
        <v>1668</v>
      </c>
      <c r="H4" s="3725"/>
      <c r="I4" s="3724" t="s">
        <v>1669</v>
      </c>
      <c r="J4" s="3725"/>
      <c r="K4" s="1888" t="s">
        <v>1670</v>
      </c>
      <c r="L4" s="2709"/>
      <c r="M4" s="2710"/>
      <c r="N4" s="2710"/>
      <c r="O4" s="2710"/>
      <c r="P4" s="3728" t="s">
        <v>1671</v>
      </c>
      <c r="Q4" s="3729"/>
      <c r="R4" s="3711" t="s">
        <v>1667</v>
      </c>
      <c r="S4" s="3712"/>
      <c r="T4" s="3711" t="s">
        <v>1668</v>
      </c>
      <c r="U4" s="3712"/>
      <c r="V4" s="3736" t="s">
        <v>1669</v>
      </c>
      <c r="W4" s="3736"/>
      <c r="X4" s="1354"/>
      <c r="Y4" s="3711" t="s">
        <v>1671</v>
      </c>
      <c r="Z4" s="3712"/>
      <c r="AA4" s="3706" t="s">
        <v>1667</v>
      </c>
      <c r="AB4" s="3706" t="s">
        <v>1668</v>
      </c>
      <c r="AC4" s="3706" t="s">
        <v>1669</v>
      </c>
    </row>
    <row r="5" spans="1:29" ht="15">
      <c r="A5" s="358"/>
      <c r="B5" s="359"/>
      <c r="C5" s="3717" t="s">
        <v>1672</v>
      </c>
      <c r="D5" s="3718"/>
      <c r="E5" s="3869" t="s">
        <v>4718</v>
      </c>
      <c r="F5" s="3716"/>
      <c r="G5" s="3870" t="s">
        <v>4719</v>
      </c>
      <c r="H5" s="3718"/>
      <c r="I5" s="3870" t="s">
        <v>4736</v>
      </c>
      <c r="J5" s="3718"/>
      <c r="K5" s="1889"/>
      <c r="L5" s="2709"/>
      <c r="M5" s="2710"/>
      <c r="N5" s="2710"/>
      <c r="O5" s="2710"/>
      <c r="P5" s="3730"/>
      <c r="Q5" s="3731"/>
      <c r="R5" s="3713"/>
      <c r="S5" s="3714"/>
      <c r="T5" s="3713"/>
      <c r="U5" s="3714"/>
      <c r="V5" s="3736"/>
      <c r="W5" s="3736"/>
      <c r="X5" s="1354"/>
      <c r="Y5" s="3713"/>
      <c r="Z5" s="3714"/>
      <c r="AA5" s="3707"/>
      <c r="AB5" s="3707"/>
      <c r="AC5" s="3707"/>
    </row>
    <row r="6" spans="1:29" ht="15.75" thickBot="1">
      <c r="A6" s="360"/>
      <c r="B6" s="361"/>
      <c r="C6" s="3719" t="s">
        <v>1676</v>
      </c>
      <c r="D6" s="3720"/>
      <c r="E6" s="3721" t="s">
        <v>1676</v>
      </c>
      <c r="F6" s="3722"/>
      <c r="G6" s="3719" t="s">
        <v>1676</v>
      </c>
      <c r="H6" s="3720"/>
      <c r="I6" s="3719" t="s">
        <v>1676</v>
      </c>
      <c r="J6" s="3720"/>
      <c r="K6" s="1889" t="s">
        <v>1677</v>
      </c>
      <c r="L6" s="2709"/>
      <c r="M6" s="2710"/>
      <c r="N6" s="2710"/>
      <c r="O6" s="2710"/>
      <c r="P6" s="3732"/>
      <c r="Q6" s="3733"/>
      <c r="R6" s="3713"/>
      <c r="S6" s="3714"/>
      <c r="T6" s="3734"/>
      <c r="U6" s="3735"/>
      <c r="V6" s="3736"/>
      <c r="W6" s="3736"/>
      <c r="X6" s="1354"/>
      <c r="Y6" s="3734"/>
      <c r="Z6" s="3735"/>
      <c r="AA6" s="3708"/>
      <c r="AB6" s="3708"/>
      <c r="AC6" s="3708"/>
    </row>
    <row r="7" spans="1:29" s="108" customFormat="1" ht="15.75" thickBot="1">
      <c r="A7" s="362" t="s">
        <v>1678</v>
      </c>
      <c r="B7" s="363"/>
      <c r="C7" s="364">
        <f>'数据-取费表'!B2</f>
        <v>45035</v>
      </c>
      <c r="D7" s="365">
        <v>100</v>
      </c>
      <c r="E7" s="366">
        <f>C7</f>
        <v>45035</v>
      </c>
      <c r="F7" s="367">
        <f>SUMIF(58:58,YEAR(E7)&amp;"-"&amp;MONTH(E7),59:59)</f>
        <v>100</v>
      </c>
      <c r="G7" s="366">
        <f>C7</f>
        <v>45035</v>
      </c>
      <c r="H7" s="365">
        <f>SUMIF(58:58,YEAR(G7)&amp;"-"&amp;MONTH(G7),59:59)</f>
        <v>100</v>
      </c>
      <c r="I7" s="366">
        <f>C7</f>
        <v>45035</v>
      </c>
      <c r="J7" s="365">
        <f>SUMIF(58:58,YEAR(I7)&amp;"-"&amp;MONTH(I7),59:59)</f>
        <v>100</v>
      </c>
      <c r="K7" s="1890"/>
      <c r="L7" s="2711"/>
      <c r="M7" s="2712"/>
      <c r="N7" s="2712"/>
      <c r="O7" s="2712"/>
      <c r="P7" s="3709" t="s">
        <v>1679</v>
      </c>
      <c r="Q7" s="3737"/>
      <c r="R7" s="701" t="s">
        <v>20</v>
      </c>
      <c r="S7" s="702">
        <f t="shared" ref="S7:S15" si="0">F7</f>
        <v>100</v>
      </c>
      <c r="T7" s="701" t="s">
        <v>20</v>
      </c>
      <c r="U7" s="702">
        <f t="shared" ref="U7:U15" si="1">H7</f>
        <v>100</v>
      </c>
      <c r="V7" s="701" t="s">
        <v>20</v>
      </c>
      <c r="W7" s="702">
        <f t="shared" ref="W7:W15" si="2">J7</f>
        <v>100</v>
      </c>
      <c r="X7" s="703"/>
      <c r="Y7" s="3709" t="s">
        <v>1679</v>
      </c>
      <c r="Z7" s="3710"/>
      <c r="AA7" s="704">
        <f>D7/F7</f>
        <v>1</v>
      </c>
      <c r="AB7" s="704">
        <f>D7/H7</f>
        <v>1</v>
      </c>
      <c r="AC7" s="704">
        <f>D7/J7</f>
        <v>1</v>
      </c>
    </row>
    <row r="8" spans="1:29" s="108" customFormat="1" ht="15.75" thickBot="1">
      <c r="A8" s="362" t="s">
        <v>1680</v>
      </c>
      <c r="B8" s="363"/>
      <c r="C8" s="368" t="s">
        <v>4720</v>
      </c>
      <c r="D8" s="365">
        <v>100</v>
      </c>
      <c r="E8" s="368" t="s">
        <v>4720</v>
      </c>
      <c r="F8" s="367">
        <f>SUMIF(61:61,E8,62:62)-SUMIF(61:61,C8,62:62)+100</f>
        <v>100</v>
      </c>
      <c r="G8" s="368" t="s">
        <v>4720</v>
      </c>
      <c r="H8" s="365">
        <f>SUMIF(61:61,G8,62:62)-SUMIF(61:61,C8,62:62)+100</f>
        <v>100</v>
      </c>
      <c r="I8" s="368" t="s">
        <v>4720</v>
      </c>
      <c r="J8" s="365">
        <f>SUMIF(61:61,I8,62:62)-SUMIF(61:61,C8,62:62)+100</f>
        <v>100</v>
      </c>
      <c r="K8" s="1890"/>
      <c r="L8" s="2711"/>
      <c r="M8" s="2712"/>
      <c r="N8" s="2712"/>
      <c r="O8" s="2712"/>
      <c r="P8" s="3709" t="s">
        <v>1682</v>
      </c>
      <c r="Q8" s="3710"/>
      <c r="R8" s="701" t="s">
        <v>20</v>
      </c>
      <c r="S8" s="702">
        <f t="shared" si="0"/>
        <v>100</v>
      </c>
      <c r="T8" s="701" t="s">
        <v>20</v>
      </c>
      <c r="U8" s="702">
        <f t="shared" si="1"/>
        <v>100</v>
      </c>
      <c r="V8" s="701" t="s">
        <v>20</v>
      </c>
      <c r="W8" s="702">
        <f t="shared" si="2"/>
        <v>100</v>
      </c>
      <c r="X8" s="703"/>
      <c r="Y8" s="3709" t="s">
        <v>1682</v>
      </c>
      <c r="Z8" s="3710"/>
      <c r="AA8" s="704">
        <f t="shared" ref="AA8:AA19" si="3">D8/F8</f>
        <v>1</v>
      </c>
      <c r="AB8" s="704">
        <f t="shared" ref="AB8:AB19" si="4">D8/H8</f>
        <v>1</v>
      </c>
      <c r="AC8" s="704">
        <f t="shared" ref="AC8:AC19" si="5">D8/J8</f>
        <v>1</v>
      </c>
    </row>
    <row r="9" spans="1:29" s="108" customFormat="1" ht="15">
      <c r="A9" s="369" t="s">
        <v>1683</v>
      </c>
      <c r="B9" s="63" t="s">
        <v>1684</v>
      </c>
      <c r="C9" s="3871" t="s">
        <v>4721</v>
      </c>
      <c r="D9" s="126">
        <v>100</v>
      </c>
      <c r="E9" s="371" t="s">
        <v>3386</v>
      </c>
      <c r="F9" s="372">
        <f>SUMIF(63:63,E9,64:64)-SUMIF(63:63,C9,64:64)+100</f>
        <v>100</v>
      </c>
      <c r="G9" s="371" t="s">
        <v>3386</v>
      </c>
      <c r="H9" s="126">
        <f>SUMIF(63:63,G9,64:64)-SUMIF(63:63,C9,64:64)+100</f>
        <v>100</v>
      </c>
      <c r="I9" s="371" t="s">
        <v>3386</v>
      </c>
      <c r="J9" s="126">
        <f>SUMIF(63:63,I9,64:64)-SUMIF(63:63,C9,64:64)+100</f>
        <v>100</v>
      </c>
      <c r="K9" s="1890"/>
      <c r="L9" s="2711"/>
      <c r="M9" s="2712"/>
      <c r="N9" s="2712"/>
      <c r="O9" s="2712"/>
      <c r="P9" s="3723" t="s">
        <v>1685</v>
      </c>
      <c r="Q9" s="1342" t="str">
        <f t="shared" ref="Q9:Q15" si="6">B9</f>
        <v>用途</v>
      </c>
      <c r="R9" s="701" t="s">
        <v>14</v>
      </c>
      <c r="S9" s="702">
        <f t="shared" si="0"/>
        <v>100</v>
      </c>
      <c r="T9" s="701" t="s">
        <v>14</v>
      </c>
      <c r="U9" s="702">
        <f t="shared" si="1"/>
        <v>100</v>
      </c>
      <c r="V9" s="701" t="s">
        <v>14</v>
      </c>
      <c r="W9" s="702">
        <f t="shared" si="2"/>
        <v>100</v>
      </c>
      <c r="X9" s="703"/>
      <c r="Y9" s="3653" t="s">
        <v>1686</v>
      </c>
      <c r="Z9" s="52" t="str">
        <f t="shared" ref="Z9:Z15" si="7">Q9</f>
        <v>用途</v>
      </c>
      <c r="AA9" s="704">
        <f t="shared" si="3"/>
        <v>1</v>
      </c>
      <c r="AB9" s="704">
        <f t="shared" si="4"/>
        <v>1</v>
      </c>
      <c r="AC9" s="704">
        <f t="shared" si="5"/>
        <v>1</v>
      </c>
    </row>
    <row r="10" spans="1:29" s="378" customFormat="1" ht="27">
      <c r="A10" s="374"/>
      <c r="B10" s="375" t="s">
        <v>1687</v>
      </c>
      <c r="C10" s="3428">
        <f>项目基本情况!C15</f>
        <v>66.569999999999993</v>
      </c>
      <c r="D10" s="127">
        <v>100</v>
      </c>
      <c r="E10" s="3429" t="s">
        <v>4722</v>
      </c>
      <c r="F10" s="376">
        <f>SUMIF(65:65,E10,66:66)-SUMIF(65:65,C10,66:66)+100</f>
        <v>100</v>
      </c>
      <c r="G10" s="3428" t="s">
        <v>4723</v>
      </c>
      <c r="H10" s="127">
        <f>SUMIF(65:65,G10,66:66)-SUMIF(65:65,C10,66:66)+100</f>
        <v>100</v>
      </c>
      <c r="I10" s="3428" t="s">
        <v>4723</v>
      </c>
      <c r="J10" s="127">
        <f>SUMIF(65:65,I10,66:66)-SUMIF(65:65,C10,66:66)+100</f>
        <v>100</v>
      </c>
      <c r="K10" s="1890"/>
      <c r="L10" s="2713"/>
      <c r="M10" s="2714"/>
      <c r="N10" s="2714"/>
      <c r="O10" s="2714"/>
      <c r="P10" s="3723"/>
      <c r="Q10" s="1342"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75" thickBot="1">
      <c r="A11" s="379"/>
      <c r="B11" s="375" t="s">
        <v>1688</v>
      </c>
      <c r="C11" s="380">
        <f>'数据-汇总表'!I4</f>
        <v>2.21</v>
      </c>
      <c r="D11" s="127">
        <v>100</v>
      </c>
      <c r="E11" s="381">
        <v>2.2000000000000002</v>
      </c>
      <c r="F11" s="376">
        <f>LOOKUP(E11,68:68,69:69)-LOOKUP(C11,68:68,69:69)+100</f>
        <v>100</v>
      </c>
      <c r="G11" s="380">
        <v>2.5</v>
      </c>
      <c r="H11" s="127">
        <f>LOOKUP(G11,68:68,69:69)-LOOKUP(C11,68:68,69:69)+100</f>
        <v>100</v>
      </c>
      <c r="I11" s="380">
        <v>2.5</v>
      </c>
      <c r="J11" s="127">
        <f>LOOKUP(I11,68:68,69:69)-LOOKUP(C11,68:68,69:69)+100</f>
        <v>100</v>
      </c>
      <c r="K11" s="377">
        <v>2</v>
      </c>
      <c r="L11" s="2715"/>
      <c r="M11" s="2710"/>
      <c r="N11" s="2710"/>
      <c r="O11" s="2710"/>
      <c r="P11" s="3723"/>
      <c r="Q11" s="1342" t="str">
        <f t="shared" si="6"/>
        <v>容积率</v>
      </c>
      <c r="R11" s="701" t="s">
        <v>18</v>
      </c>
      <c r="S11" s="702">
        <f t="shared" si="0"/>
        <v>100</v>
      </c>
      <c r="T11" s="701" t="s">
        <v>18</v>
      </c>
      <c r="U11" s="702">
        <f t="shared" si="1"/>
        <v>100</v>
      </c>
      <c r="V11" s="701" t="s">
        <v>18</v>
      </c>
      <c r="W11" s="702">
        <f t="shared" si="2"/>
        <v>100</v>
      </c>
      <c r="X11" s="703"/>
      <c r="Y11" s="3653"/>
      <c r="Z11" s="52" t="str">
        <f t="shared" si="7"/>
        <v>容积率</v>
      </c>
      <c r="AA11" s="704">
        <f t="shared" si="3"/>
        <v>1</v>
      </c>
      <c r="AB11" s="704">
        <f t="shared" si="4"/>
        <v>1</v>
      </c>
      <c r="AC11" s="704">
        <f t="shared" si="5"/>
        <v>1</v>
      </c>
    </row>
    <row r="12" spans="1:29" s="108" customFormat="1" ht="15" hidden="1">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1"/>
      <c r="M12" s="2712"/>
      <c r="N12" s="2712"/>
      <c r="O12" s="2712"/>
      <c r="P12" s="3723"/>
      <c r="Q12" s="1342">
        <f t="shared" si="6"/>
        <v>111</v>
      </c>
      <c r="R12" s="701" t="s">
        <v>18</v>
      </c>
      <c r="S12" s="702">
        <f t="shared" si="0"/>
        <v>100</v>
      </c>
      <c r="T12" s="701" t="s">
        <v>18</v>
      </c>
      <c r="U12" s="702">
        <f t="shared" si="1"/>
        <v>100</v>
      </c>
      <c r="V12" s="701" t="s">
        <v>18</v>
      </c>
      <c r="W12" s="702">
        <f t="shared" si="2"/>
        <v>100</v>
      </c>
      <c r="X12" s="703"/>
      <c r="Y12" s="3653"/>
      <c r="Z12" s="52">
        <f t="shared" si="7"/>
        <v>111</v>
      </c>
      <c r="AA12" s="704">
        <f>D12/F12</f>
        <v>1</v>
      </c>
      <c r="AB12" s="704">
        <f>D12/H12</f>
        <v>1</v>
      </c>
      <c r="AC12" s="704">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6"/>
      <c r="M13" s="2710"/>
      <c r="N13" s="2710"/>
      <c r="O13" s="2710"/>
      <c r="P13" s="3723"/>
      <c r="Q13" s="1342">
        <f t="shared" si="6"/>
        <v>111</v>
      </c>
      <c r="R13" s="701" t="s">
        <v>18</v>
      </c>
      <c r="S13" s="702">
        <f t="shared" si="0"/>
        <v>100</v>
      </c>
      <c r="T13" s="701" t="s">
        <v>18</v>
      </c>
      <c r="U13" s="702">
        <f t="shared" si="1"/>
        <v>100</v>
      </c>
      <c r="V13" s="701" t="s">
        <v>18</v>
      </c>
      <c r="W13" s="702">
        <f t="shared" si="2"/>
        <v>100</v>
      </c>
      <c r="X13" s="703"/>
      <c r="Y13" s="3653"/>
      <c r="Z13" s="52">
        <f t="shared" si="7"/>
        <v>111</v>
      </c>
      <c r="AA13" s="704">
        <f t="shared" si="3"/>
        <v>1</v>
      </c>
      <c r="AB13" s="704">
        <f t="shared" si="4"/>
        <v>1</v>
      </c>
      <c r="AC13" s="704">
        <f t="shared" si="5"/>
        <v>1</v>
      </c>
    </row>
    <row r="14" spans="1:29" ht="15.75" hidden="1"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6"/>
      <c r="M14" s="2710"/>
      <c r="N14" s="2710"/>
      <c r="O14" s="2710"/>
      <c r="P14" s="3723"/>
      <c r="Q14" s="1342">
        <f t="shared" si="6"/>
        <v>111</v>
      </c>
      <c r="R14" s="701" t="s">
        <v>18</v>
      </c>
      <c r="S14" s="702">
        <f t="shared" si="0"/>
        <v>100</v>
      </c>
      <c r="T14" s="701" t="s">
        <v>18</v>
      </c>
      <c r="U14" s="702">
        <f t="shared" si="1"/>
        <v>100</v>
      </c>
      <c r="V14" s="701" t="s">
        <v>18</v>
      </c>
      <c r="W14" s="702">
        <f t="shared" si="2"/>
        <v>100</v>
      </c>
      <c r="X14" s="703"/>
      <c r="Y14" s="3653"/>
      <c r="Z14" s="52">
        <f t="shared" si="7"/>
        <v>111</v>
      </c>
      <c r="AA14" s="704">
        <f t="shared" si="3"/>
        <v>1</v>
      </c>
      <c r="AB14" s="704">
        <f t="shared" si="4"/>
        <v>1</v>
      </c>
      <c r="AC14" s="704">
        <f t="shared" si="5"/>
        <v>1</v>
      </c>
    </row>
    <row r="15" spans="1:29" ht="85.5">
      <c r="A15" s="391" t="s">
        <v>1689</v>
      </c>
      <c r="B15" s="61" t="s">
        <v>1256</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105</v>
      </c>
      <c r="I15" s="393"/>
      <c r="J15" s="392">
        <f>SUMIF(76:76,I16,77:77)-SUMIF(76:76,C16,77:77)+100</f>
        <v>105</v>
      </c>
      <c r="K15" s="396">
        <v>5</v>
      </c>
      <c r="L15" s="2716"/>
      <c r="M15" s="2710"/>
      <c r="N15" s="2710"/>
      <c r="O15" s="2710"/>
      <c r="P15" s="3750" t="s">
        <v>1690</v>
      </c>
      <c r="Q15" s="1351" t="str">
        <f t="shared" si="6"/>
        <v>居住社区成熟度</v>
      </c>
      <c r="R15" s="705" t="s">
        <v>18</v>
      </c>
      <c r="S15" s="706">
        <f t="shared" si="0"/>
        <v>100</v>
      </c>
      <c r="T15" s="705" t="s">
        <v>18</v>
      </c>
      <c r="U15" s="706">
        <f t="shared" si="1"/>
        <v>105</v>
      </c>
      <c r="V15" s="705" t="s">
        <v>18</v>
      </c>
      <c r="W15" s="706">
        <f t="shared" si="2"/>
        <v>105</v>
      </c>
      <c r="X15" s="1354"/>
      <c r="Y15" s="3743" t="s">
        <v>1690</v>
      </c>
      <c r="Z15" s="1355" t="str">
        <f t="shared" si="7"/>
        <v>居住社区成熟度</v>
      </c>
      <c r="AA15" s="1352">
        <f t="shared" si="3"/>
        <v>1</v>
      </c>
      <c r="AB15" s="1352">
        <f t="shared" si="4"/>
        <v>0.95238095238095233</v>
      </c>
      <c r="AC15" s="1352">
        <f t="shared" si="5"/>
        <v>0.95238095238095233</v>
      </c>
    </row>
    <row r="16" spans="1:29" ht="15">
      <c r="A16" s="379"/>
      <c r="B16" s="397"/>
      <c r="C16" s="398" t="s">
        <v>4700</v>
      </c>
      <c r="D16" s="399"/>
      <c r="E16" s="1895" t="s">
        <v>4700</v>
      </c>
      <c r="F16" s="399"/>
      <c r="G16" s="1896" t="s">
        <v>4701</v>
      </c>
      <c r="H16" s="401"/>
      <c r="I16" s="1896" t="s">
        <v>4701</v>
      </c>
      <c r="J16" s="399"/>
      <c r="K16" s="1897"/>
      <c r="L16" s="2716"/>
      <c r="M16" s="2710"/>
      <c r="N16" s="2710"/>
      <c r="O16" s="2710"/>
      <c r="P16" s="3751"/>
      <c r="Q16" s="1351"/>
      <c r="R16" s="705"/>
      <c r="S16" s="706"/>
      <c r="T16" s="705"/>
      <c r="U16" s="706"/>
      <c r="V16" s="705"/>
      <c r="W16" s="706"/>
      <c r="X16" s="1354"/>
      <c r="Y16" s="3744"/>
      <c r="Z16" s="1355"/>
      <c r="AA16" s="1352">
        <v>1</v>
      </c>
      <c r="AB16" s="1352">
        <v>1</v>
      </c>
      <c r="AC16" s="1352">
        <v>1</v>
      </c>
    </row>
    <row r="17" spans="1:29" ht="71.25">
      <c r="A17" s="379"/>
      <c r="B17" s="402" t="s">
        <v>1258</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105</v>
      </c>
      <c r="I17" s="403"/>
      <c r="J17" s="406">
        <f>SUMIF(78:78,I18,79:79)-SUMIF(78:78,C18,79:79)+100</f>
        <v>105</v>
      </c>
      <c r="K17" s="396">
        <v>5</v>
      </c>
      <c r="L17" s="2716"/>
      <c r="M17" s="2710"/>
      <c r="N17" s="2710"/>
      <c r="O17" s="2710"/>
      <c r="P17" s="3751"/>
      <c r="Q17" s="1351" t="str">
        <f>B17</f>
        <v>交通便捷度</v>
      </c>
      <c r="R17" s="705" t="s">
        <v>18</v>
      </c>
      <c r="S17" s="706">
        <f>F17</f>
        <v>100</v>
      </c>
      <c r="T17" s="705" t="s">
        <v>18</v>
      </c>
      <c r="U17" s="706">
        <f>H17</f>
        <v>105</v>
      </c>
      <c r="V17" s="705" t="s">
        <v>18</v>
      </c>
      <c r="W17" s="706">
        <f>J17</f>
        <v>105</v>
      </c>
      <c r="X17" s="1354"/>
      <c r="Y17" s="3744"/>
      <c r="Z17" s="1355" t="str">
        <f>Q17</f>
        <v>交通便捷度</v>
      </c>
      <c r="AA17" s="1352">
        <f t="shared" si="3"/>
        <v>1</v>
      </c>
      <c r="AB17" s="1352">
        <f t="shared" si="4"/>
        <v>0.95238095238095233</v>
      </c>
      <c r="AC17" s="1352">
        <f t="shared" si="5"/>
        <v>0.95238095238095233</v>
      </c>
    </row>
    <row r="18" spans="1:29" ht="15">
      <c r="A18" s="379"/>
      <c r="B18" s="407"/>
      <c r="C18" s="1899" t="s">
        <v>4700</v>
      </c>
      <c r="D18" s="401"/>
      <c r="E18" s="1900" t="s">
        <v>4700</v>
      </c>
      <c r="F18" s="401"/>
      <c r="G18" s="1901" t="s">
        <v>4701</v>
      </c>
      <c r="H18" s="399"/>
      <c r="I18" s="1901" t="s">
        <v>4701</v>
      </c>
      <c r="J18" s="399"/>
      <c r="K18" s="1897"/>
      <c r="L18" s="2716"/>
      <c r="M18" s="2710"/>
      <c r="N18" s="2710"/>
      <c r="O18" s="2710"/>
      <c r="P18" s="3751"/>
      <c r="Q18" s="1351"/>
      <c r="R18" s="705"/>
      <c r="S18" s="706"/>
      <c r="T18" s="705"/>
      <c r="U18" s="706"/>
      <c r="V18" s="705"/>
      <c r="W18" s="706"/>
      <c r="X18" s="1354"/>
      <c r="Y18" s="3744"/>
      <c r="Z18" s="1355"/>
      <c r="AA18" s="1352">
        <v>1</v>
      </c>
      <c r="AB18" s="1352">
        <v>1</v>
      </c>
      <c r="AC18" s="1352">
        <v>1</v>
      </c>
    </row>
    <row r="19" spans="1:29" ht="42.75">
      <c r="A19" s="379"/>
      <c r="B19" s="402" t="s">
        <v>1257</v>
      </c>
      <c r="C19" s="1898" t="str">
        <f>估价对象房地状况!C7</f>
        <v>估价对象所在区域公共配套设施齐备情况</v>
      </c>
      <c r="D19" s="406">
        <v>100</v>
      </c>
      <c r="E19" s="410"/>
      <c r="F19" s="406">
        <f>SUMIF(80:80,E20,81:81)-SUMIF(80:80,C20,81:81)+100</f>
        <v>100</v>
      </c>
      <c r="G19" s="408"/>
      <c r="H19" s="401">
        <f>SUMIF(80:80,G20,81:81)-SUMIF(80:80,C20,81:81)+100</f>
        <v>105</v>
      </c>
      <c r="I19" s="408"/>
      <c r="J19" s="401">
        <f>SUMIF(80:80,I20,81:81)-SUMIF(80:80,C20,81:81)+100</f>
        <v>105</v>
      </c>
      <c r="K19" s="396">
        <v>5</v>
      </c>
      <c r="L19" s="2716"/>
      <c r="M19" s="2710"/>
      <c r="N19" s="2710"/>
      <c r="O19" s="2710"/>
      <c r="P19" s="3751"/>
      <c r="Q19" s="1351" t="str">
        <f>B19</f>
        <v>公共配套设施</v>
      </c>
      <c r="R19" s="705" t="s">
        <v>18</v>
      </c>
      <c r="S19" s="706">
        <f>F19</f>
        <v>100</v>
      </c>
      <c r="T19" s="705" t="s">
        <v>18</v>
      </c>
      <c r="U19" s="706">
        <f>H19</f>
        <v>105</v>
      </c>
      <c r="V19" s="705" t="s">
        <v>18</v>
      </c>
      <c r="W19" s="706">
        <f>J19</f>
        <v>105</v>
      </c>
      <c r="X19" s="1354"/>
      <c r="Y19" s="3744"/>
      <c r="Z19" s="1355" t="str">
        <f>Q19</f>
        <v>公共配套设施</v>
      </c>
      <c r="AA19" s="1352">
        <f t="shared" si="3"/>
        <v>1</v>
      </c>
      <c r="AB19" s="1352">
        <f t="shared" si="4"/>
        <v>0.95238095238095233</v>
      </c>
      <c r="AC19" s="1352">
        <f t="shared" si="5"/>
        <v>0.95238095238095233</v>
      </c>
    </row>
    <row r="20" spans="1:29" ht="15">
      <c r="A20" s="379"/>
      <c r="B20" s="407"/>
      <c r="C20" s="398" t="s">
        <v>4700</v>
      </c>
      <c r="D20" s="399"/>
      <c r="E20" s="1895" t="s">
        <v>4700</v>
      </c>
      <c r="F20" s="399"/>
      <c r="G20" s="1896" t="s">
        <v>4701</v>
      </c>
      <c r="H20" s="399"/>
      <c r="I20" s="1896" t="s">
        <v>4701</v>
      </c>
      <c r="J20" s="399"/>
      <c r="K20" s="1897"/>
      <c r="L20" s="2716"/>
      <c r="M20" s="2710"/>
      <c r="N20" s="2710"/>
      <c r="O20" s="2710"/>
      <c r="P20" s="3751"/>
      <c r="Q20" s="1351"/>
      <c r="R20" s="705"/>
      <c r="S20" s="706"/>
      <c r="T20" s="705"/>
      <c r="U20" s="706"/>
      <c r="V20" s="705"/>
      <c r="W20" s="706"/>
      <c r="X20" s="1354"/>
      <c r="Y20" s="3744"/>
      <c r="Z20" s="1355"/>
      <c r="AA20" s="1352">
        <v>1</v>
      </c>
      <c r="AB20" s="1352">
        <v>1</v>
      </c>
      <c r="AC20" s="1352">
        <v>1</v>
      </c>
    </row>
    <row r="21" spans="1:29" ht="28.5">
      <c r="A21" s="379"/>
      <c r="B21" s="1131" t="s">
        <v>1259</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6"/>
      <c r="M21" s="2710"/>
      <c r="N21" s="2710"/>
      <c r="O21" s="2710"/>
      <c r="P21" s="3751"/>
      <c r="Q21" s="1351" t="str">
        <f>B21</f>
        <v>基础设施水平</v>
      </c>
      <c r="R21" s="705" t="s">
        <v>14</v>
      </c>
      <c r="S21" s="706">
        <f>F21</f>
        <v>100</v>
      </c>
      <c r="T21" s="705" t="s">
        <v>14</v>
      </c>
      <c r="U21" s="706">
        <f>H21</f>
        <v>100</v>
      </c>
      <c r="V21" s="705" t="s">
        <v>14</v>
      </c>
      <c r="W21" s="706">
        <f>J21</f>
        <v>100</v>
      </c>
      <c r="X21" s="1354"/>
      <c r="Y21" s="3744"/>
      <c r="Z21" s="1355" t="str">
        <f>Q21</f>
        <v>基础设施水平</v>
      </c>
      <c r="AA21" s="1352">
        <f t="shared" ref="AA21" si="8">D21/F21</f>
        <v>1</v>
      </c>
      <c r="AB21" s="1352">
        <f t="shared" ref="AB21" si="9">D21/H21</f>
        <v>1</v>
      </c>
      <c r="AC21" s="1352">
        <f t="shared" ref="AC21" si="10">D21/J21</f>
        <v>1</v>
      </c>
    </row>
    <row r="22" spans="1:29" ht="15">
      <c r="A22" s="379"/>
      <c r="B22" s="1131"/>
      <c r="C22" s="1899" t="s">
        <v>4702</v>
      </c>
      <c r="D22" s="399"/>
      <c r="E22" s="1899" t="s">
        <v>4702</v>
      </c>
      <c r="F22" s="399"/>
      <c r="G22" s="1899" t="s">
        <v>4702</v>
      </c>
      <c r="H22" s="399"/>
      <c r="I22" s="1899" t="s">
        <v>4702</v>
      </c>
      <c r="J22" s="399"/>
      <c r="K22" s="1903"/>
      <c r="L22" s="2716"/>
      <c r="M22" s="2710"/>
      <c r="N22" s="2710"/>
      <c r="O22" s="2710"/>
      <c r="P22" s="3751"/>
      <c r="Q22" s="1351"/>
      <c r="R22" s="705"/>
      <c r="S22" s="706"/>
      <c r="T22" s="705"/>
      <c r="U22" s="706"/>
      <c r="V22" s="705"/>
      <c r="W22" s="706"/>
      <c r="X22" s="1354"/>
      <c r="Y22" s="3744"/>
      <c r="Z22" s="1355"/>
      <c r="AA22" s="1352">
        <v>1</v>
      </c>
      <c r="AB22" s="1352">
        <v>1</v>
      </c>
      <c r="AC22" s="1352">
        <v>1</v>
      </c>
    </row>
    <row r="23" spans="1:29" ht="42.75">
      <c r="A23" s="379"/>
      <c r="B23" s="402" t="s">
        <v>1260</v>
      </c>
      <c r="C23" s="1898" t="str">
        <f>估价对象房地状况!C9</f>
        <v>区域自然环境：；人文环境；综合评价环境状况一般</v>
      </c>
      <c r="D23" s="401">
        <v>100</v>
      </c>
      <c r="E23" s="405"/>
      <c r="F23" s="401">
        <f>SUMIF(84:84,E24,85:85)-SUMIF(84:84,C24,85:85)+100</f>
        <v>100</v>
      </c>
      <c r="G23" s="403"/>
      <c r="H23" s="401">
        <f>SUMIF(84:84,G24,85:85)-SUMIF(84:84,C24,85:85)+100</f>
        <v>103</v>
      </c>
      <c r="I23" s="403"/>
      <c r="J23" s="401">
        <f>SUMIF(84:84,I24,85:85)-SUMIF(84:84,C24,85:85)+100</f>
        <v>103</v>
      </c>
      <c r="K23" s="396">
        <v>3</v>
      </c>
      <c r="L23" s="2716"/>
      <c r="M23" s="2710"/>
      <c r="N23" s="2710"/>
      <c r="O23" s="2710"/>
      <c r="P23" s="3751"/>
      <c r="Q23" s="1351" t="str">
        <f>B23</f>
        <v>自然及人文环境</v>
      </c>
      <c r="R23" s="705" t="s">
        <v>18</v>
      </c>
      <c r="S23" s="706">
        <f>F23</f>
        <v>100</v>
      </c>
      <c r="T23" s="705" t="s">
        <v>18</v>
      </c>
      <c r="U23" s="706">
        <f>H23</f>
        <v>103</v>
      </c>
      <c r="V23" s="705" t="s">
        <v>18</v>
      </c>
      <c r="W23" s="706">
        <f>J23</f>
        <v>103</v>
      </c>
      <c r="X23" s="1354"/>
      <c r="Y23" s="3744"/>
      <c r="Z23" s="1355" t="str">
        <f>Q23</f>
        <v>自然及人文环境</v>
      </c>
      <c r="AA23" s="1352">
        <f>D23/F23</f>
        <v>1</v>
      </c>
      <c r="AB23" s="1352">
        <f>D23/H23</f>
        <v>0.970873786407767</v>
      </c>
      <c r="AC23" s="1352">
        <f>D23/J23</f>
        <v>0.970873786407767</v>
      </c>
    </row>
    <row r="24" spans="1:29" ht="15.75" thickBot="1">
      <c r="A24" s="379"/>
      <c r="B24" s="407"/>
      <c r="C24" s="398" t="s">
        <v>4700</v>
      </c>
      <c r="D24" s="399"/>
      <c r="E24" s="398" t="s">
        <v>4700</v>
      </c>
      <c r="F24" s="399"/>
      <c r="G24" s="1896" t="s">
        <v>4701</v>
      </c>
      <c r="H24" s="399"/>
      <c r="I24" s="1896" t="s">
        <v>4701</v>
      </c>
      <c r="J24" s="399"/>
      <c r="K24" s="1897"/>
      <c r="L24" s="2716"/>
      <c r="M24" s="2710"/>
      <c r="N24" s="2710"/>
      <c r="O24" s="2710"/>
      <c r="P24" s="3751"/>
      <c r="Q24" s="1351"/>
      <c r="R24" s="705"/>
      <c r="S24" s="706"/>
      <c r="T24" s="705"/>
      <c r="U24" s="706"/>
      <c r="V24" s="705"/>
      <c r="W24" s="706"/>
      <c r="X24" s="1354"/>
      <c r="Y24" s="3744"/>
      <c r="Z24" s="1355"/>
      <c r="AA24" s="1352">
        <v>1</v>
      </c>
      <c r="AB24" s="1352">
        <v>1</v>
      </c>
      <c r="AC24" s="1352">
        <v>1</v>
      </c>
    </row>
    <row r="25" spans="1:29" ht="15" hidden="1">
      <c r="A25" s="379"/>
      <c r="B25" s="375" t="s">
        <v>1691</v>
      </c>
      <c r="C25" s="411"/>
      <c r="D25" s="386">
        <v>100</v>
      </c>
      <c r="E25" s="1904"/>
      <c r="F25" s="386">
        <f>SUMIF(86:86,E25,87:87)-SUMIF(86:86,C25,87:87)+100</f>
        <v>100</v>
      </c>
      <c r="G25" s="1905"/>
      <c r="H25" s="386">
        <f>SUMIF(86:86,G25,87:87)-SUMIF(86:86,C25,87:87)+100</f>
        <v>100</v>
      </c>
      <c r="I25" s="1905"/>
      <c r="J25" s="386">
        <f>SUMIF(86:86,I25,87:87)-SUMIF(86:86,C25,87:87)+100</f>
        <v>100</v>
      </c>
      <c r="K25" s="377"/>
      <c r="L25" s="2716"/>
      <c r="M25" s="2710"/>
      <c r="N25" s="2710"/>
      <c r="O25" s="2710"/>
      <c r="P25" s="3751"/>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44"/>
      <c r="Z25" s="1355" t="str">
        <f>Q25</f>
        <v>楼层-1</v>
      </c>
      <c r="AA25" s="1352">
        <f t="shared" ref="AA25:AA46" si="15">D25/F25</f>
        <v>1</v>
      </c>
      <c r="AB25" s="1352">
        <f t="shared" ref="AB25:AB46" si="16">D25/H25</f>
        <v>1</v>
      </c>
      <c r="AC25" s="1352">
        <f t="shared" ref="AC25:AC46" si="17">D25/J25</f>
        <v>1</v>
      </c>
    </row>
    <row r="26" spans="1:29" ht="15" hidden="1">
      <c r="A26" s="379"/>
      <c r="B26" s="375" t="s">
        <v>1692</v>
      </c>
      <c r="C26" s="411"/>
      <c r="D26" s="386">
        <v>100</v>
      </c>
      <c r="E26" s="1904"/>
      <c r="F26" s="386">
        <f>SUMIF(88:88,E26,89:89)-SUMIF(88:88,C26,89:89)+100</f>
        <v>100</v>
      </c>
      <c r="G26" s="1905"/>
      <c r="H26" s="386">
        <f>SUMIF(88:88,G26,89:89)-SUMIF(88:88,C26,89:89)+100</f>
        <v>100</v>
      </c>
      <c r="I26" s="1905"/>
      <c r="J26" s="386">
        <f>SUMIF(88:88,I26,89:89)-SUMIF(88:88,C26,89:89)+100</f>
        <v>100</v>
      </c>
      <c r="K26" s="377"/>
      <c r="L26" s="2716"/>
      <c r="M26" s="2710"/>
      <c r="N26" s="2710"/>
      <c r="O26" s="2710"/>
      <c r="P26" s="3751"/>
      <c r="Q26" s="1351" t="str">
        <f t="shared" si="11"/>
        <v>朝向</v>
      </c>
      <c r="R26" s="705" t="s">
        <v>18</v>
      </c>
      <c r="S26" s="706">
        <f t="shared" si="12"/>
        <v>100</v>
      </c>
      <c r="T26" s="705" t="s">
        <v>18</v>
      </c>
      <c r="U26" s="706">
        <f t="shared" si="13"/>
        <v>100</v>
      </c>
      <c r="V26" s="705" t="s">
        <v>18</v>
      </c>
      <c r="W26" s="706">
        <f t="shared" si="14"/>
        <v>100</v>
      </c>
      <c r="X26" s="1354"/>
      <c r="Y26" s="3744"/>
      <c r="Z26" s="1355" t="str">
        <f>Q26</f>
        <v>朝向</v>
      </c>
      <c r="AA26" s="1352">
        <f t="shared" si="15"/>
        <v>1</v>
      </c>
      <c r="AB26" s="1352">
        <f t="shared" si="16"/>
        <v>1</v>
      </c>
      <c r="AC26" s="1352">
        <f t="shared" si="17"/>
        <v>1</v>
      </c>
    </row>
    <row r="27" spans="1:29" s="108" customFormat="1" ht="15" hidden="1">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1"/>
      <c r="M27" s="2712"/>
      <c r="N27" s="2712"/>
      <c r="O27" s="2712"/>
      <c r="P27" s="3751"/>
      <c r="Q27" s="1342">
        <f t="shared" si="11"/>
        <v>111</v>
      </c>
      <c r="R27" s="701" t="s">
        <v>18</v>
      </c>
      <c r="S27" s="702">
        <f t="shared" si="12"/>
        <v>100</v>
      </c>
      <c r="T27" s="701" t="s">
        <v>18</v>
      </c>
      <c r="U27" s="702">
        <f t="shared" si="13"/>
        <v>100</v>
      </c>
      <c r="V27" s="701" t="s">
        <v>18</v>
      </c>
      <c r="W27" s="702">
        <f t="shared" si="14"/>
        <v>100</v>
      </c>
      <c r="X27" s="703"/>
      <c r="Y27" s="3744"/>
      <c r="Z27" s="52">
        <f>Q27</f>
        <v>111</v>
      </c>
      <c r="AA27" s="1352">
        <f t="shared" si="15"/>
        <v>1</v>
      </c>
      <c r="AB27" s="1352">
        <f t="shared" si="16"/>
        <v>1</v>
      </c>
      <c r="AC27" s="1352">
        <f t="shared" si="17"/>
        <v>1</v>
      </c>
    </row>
    <row r="28" spans="1:29" ht="15" hidden="1">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16"/>
      <c r="M28" s="2710"/>
      <c r="N28" s="2710"/>
      <c r="O28" s="2710"/>
      <c r="P28" s="3751"/>
      <c r="Q28" s="1351">
        <f t="shared" si="11"/>
        <v>111</v>
      </c>
      <c r="R28" s="705" t="s">
        <v>18</v>
      </c>
      <c r="S28" s="706">
        <f t="shared" si="12"/>
        <v>100</v>
      </c>
      <c r="T28" s="705" t="s">
        <v>18</v>
      </c>
      <c r="U28" s="706">
        <f t="shared" si="13"/>
        <v>100</v>
      </c>
      <c r="V28" s="705" t="s">
        <v>18</v>
      </c>
      <c r="W28" s="706">
        <f t="shared" si="14"/>
        <v>100</v>
      </c>
      <c r="X28" s="1354"/>
      <c r="Y28" s="3744"/>
      <c r="Z28" s="1355">
        <f t="shared" ref="Z28:Z46" si="18">Q28</f>
        <v>111</v>
      </c>
      <c r="AA28" s="1352">
        <f t="shared" si="15"/>
        <v>1</v>
      </c>
      <c r="AB28" s="1352">
        <f t="shared" si="16"/>
        <v>1</v>
      </c>
      <c r="AC28" s="1352">
        <f t="shared" si="17"/>
        <v>1</v>
      </c>
    </row>
    <row r="29" spans="1:29" ht="15" hidden="1">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6"/>
      <c r="M29" s="2710"/>
      <c r="N29" s="2710"/>
      <c r="O29" s="2710"/>
      <c r="P29" s="3751"/>
      <c r="Q29" s="1351">
        <f t="shared" si="11"/>
        <v>111</v>
      </c>
      <c r="R29" s="705" t="s">
        <v>18</v>
      </c>
      <c r="S29" s="706">
        <f t="shared" si="12"/>
        <v>100</v>
      </c>
      <c r="T29" s="705" t="s">
        <v>18</v>
      </c>
      <c r="U29" s="706">
        <f t="shared" si="13"/>
        <v>100</v>
      </c>
      <c r="V29" s="705" t="s">
        <v>18</v>
      </c>
      <c r="W29" s="706">
        <f t="shared" si="14"/>
        <v>100</v>
      </c>
      <c r="X29" s="1354"/>
      <c r="Y29" s="3744"/>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6"/>
      <c r="M30" s="2710"/>
      <c r="N30" s="2710"/>
      <c r="O30" s="2710"/>
      <c r="P30" s="3751"/>
      <c r="Q30" s="1351">
        <f t="shared" si="11"/>
        <v>111</v>
      </c>
      <c r="R30" s="705" t="s">
        <v>18</v>
      </c>
      <c r="S30" s="706">
        <f t="shared" si="12"/>
        <v>100</v>
      </c>
      <c r="T30" s="705" t="s">
        <v>18</v>
      </c>
      <c r="U30" s="706">
        <f t="shared" si="13"/>
        <v>100</v>
      </c>
      <c r="V30" s="705" t="s">
        <v>18</v>
      </c>
      <c r="W30" s="706">
        <f t="shared" si="14"/>
        <v>100</v>
      </c>
      <c r="X30" s="1354"/>
      <c r="Y30" s="3744"/>
      <c r="Z30" s="1355">
        <f t="shared" si="18"/>
        <v>111</v>
      </c>
      <c r="AA30" s="1352">
        <f t="shared" si="15"/>
        <v>1</v>
      </c>
      <c r="AB30" s="1352">
        <f t="shared" si="16"/>
        <v>1</v>
      </c>
      <c r="AC30" s="1352">
        <f t="shared" si="17"/>
        <v>1</v>
      </c>
    </row>
    <row r="31" spans="1:29" ht="15.75" hidden="1"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6"/>
      <c r="M31" s="2710"/>
      <c r="N31" s="2710"/>
      <c r="O31" s="2710"/>
      <c r="P31" s="3751"/>
      <c r="Q31" s="1351">
        <f t="shared" si="11"/>
        <v>111</v>
      </c>
      <c r="R31" s="705" t="s">
        <v>18</v>
      </c>
      <c r="S31" s="706">
        <f t="shared" si="12"/>
        <v>100</v>
      </c>
      <c r="T31" s="705" t="s">
        <v>18</v>
      </c>
      <c r="U31" s="706">
        <f t="shared" si="13"/>
        <v>100</v>
      </c>
      <c r="V31" s="705" t="s">
        <v>18</v>
      </c>
      <c r="W31" s="706">
        <f t="shared" si="14"/>
        <v>100</v>
      </c>
      <c r="X31" s="1354"/>
      <c r="Y31" s="3744"/>
      <c r="Z31" s="1355">
        <f t="shared" si="18"/>
        <v>111</v>
      </c>
      <c r="AA31" s="1352">
        <f t="shared" si="15"/>
        <v>1</v>
      </c>
      <c r="AB31" s="1352">
        <f t="shared" si="16"/>
        <v>1</v>
      </c>
      <c r="AC31" s="1352">
        <f t="shared" si="17"/>
        <v>1</v>
      </c>
    </row>
    <row r="32" spans="1:29" ht="15">
      <c r="A32" s="391" t="s">
        <v>1693</v>
      </c>
      <c r="B32" s="63" t="s">
        <v>1694</v>
      </c>
      <c r="C32" s="1908" t="s">
        <v>4724</v>
      </c>
      <c r="D32" s="418">
        <v>100</v>
      </c>
      <c r="E32" s="1908" t="s">
        <v>4724</v>
      </c>
      <c r="F32" s="412">
        <f>SUMIF(100:100,E32,101:101)-SUMIF(100:100,C32,101:101)+100</f>
        <v>100</v>
      </c>
      <c r="G32" s="1908" t="s">
        <v>4724</v>
      </c>
      <c r="H32" s="418">
        <f>SUMIF(100:100,G32,101:101)-SUMIF(100:100,C32,101:101)+100</f>
        <v>100</v>
      </c>
      <c r="I32" s="1908" t="s">
        <v>4724</v>
      </c>
      <c r="J32" s="386">
        <f>SUMIF(100:100,I32,101:101)-SUMIF(100:100,C32,101:101)+100</f>
        <v>100</v>
      </c>
      <c r="K32" s="377">
        <v>2</v>
      </c>
      <c r="L32" s="2716"/>
      <c r="M32" s="2710"/>
      <c r="N32" s="2710"/>
      <c r="O32" s="2710"/>
      <c r="P32" s="3745" t="s">
        <v>1695</v>
      </c>
      <c r="Q32" s="1351" t="str">
        <f t="shared" si="11"/>
        <v>建筑类型</v>
      </c>
      <c r="R32" s="705" t="s">
        <v>18</v>
      </c>
      <c r="S32" s="706">
        <f t="shared" si="12"/>
        <v>100</v>
      </c>
      <c r="T32" s="705" t="s">
        <v>18</v>
      </c>
      <c r="U32" s="706">
        <f t="shared" si="13"/>
        <v>100</v>
      </c>
      <c r="V32" s="705" t="s">
        <v>18</v>
      </c>
      <c r="W32" s="706">
        <f t="shared" si="14"/>
        <v>100</v>
      </c>
      <c r="X32" s="1354"/>
      <c r="Y32" s="3748" t="s">
        <v>1695</v>
      </c>
      <c r="Z32" s="1355" t="str">
        <f t="shared" si="18"/>
        <v>建筑类型</v>
      </c>
      <c r="AA32" s="1352">
        <f t="shared" si="15"/>
        <v>1</v>
      </c>
      <c r="AB32" s="1352">
        <f t="shared" si="16"/>
        <v>1</v>
      </c>
      <c r="AC32" s="1352">
        <f t="shared" si="17"/>
        <v>1</v>
      </c>
    </row>
    <row r="33" spans="1:29" s="422" customFormat="1" ht="15">
      <c r="A33" s="419"/>
      <c r="B33" s="375" t="s">
        <v>1696</v>
      </c>
      <c r="C33" s="420">
        <v>250000</v>
      </c>
      <c r="D33" s="127">
        <v>100</v>
      </c>
      <c r="E33" s="381">
        <v>340000</v>
      </c>
      <c r="F33" s="376">
        <f>LOOKUP(E33,103:103,104:104)-LOOKUP(C33,103:103,104:104)+100</f>
        <v>100</v>
      </c>
      <c r="G33" s="380">
        <v>95303</v>
      </c>
      <c r="H33" s="127">
        <f>LOOKUP(G33,103:103,104:104)-LOOKUP(C33,103:103,104:104)+100</f>
        <v>99</v>
      </c>
      <c r="I33" s="381">
        <v>276232</v>
      </c>
      <c r="J33" s="127">
        <f>LOOKUP(I33,103:103,104:104)-LOOKUP(C33,103:103,104:104)+100</f>
        <v>100</v>
      </c>
      <c r="K33" s="1892"/>
      <c r="L33" s="2715"/>
      <c r="M33" s="2717"/>
      <c r="N33" s="2717"/>
      <c r="O33" s="2717"/>
      <c r="P33" s="3746"/>
      <c r="Q33" s="707" t="str">
        <f t="shared" si="11"/>
        <v>项目建筑规模</v>
      </c>
      <c r="R33" s="708" t="s">
        <v>18</v>
      </c>
      <c r="S33" s="709">
        <f t="shared" si="12"/>
        <v>100</v>
      </c>
      <c r="T33" s="708" t="s">
        <v>18</v>
      </c>
      <c r="U33" s="709">
        <f t="shared" si="13"/>
        <v>99</v>
      </c>
      <c r="V33" s="708" t="s">
        <v>18</v>
      </c>
      <c r="W33" s="709">
        <f t="shared" si="14"/>
        <v>100</v>
      </c>
      <c r="X33" s="710"/>
      <c r="Y33" s="3748"/>
      <c r="Z33" s="711" t="str">
        <f t="shared" si="18"/>
        <v>项目建筑规模</v>
      </c>
      <c r="AA33" s="1352">
        <f t="shared" si="15"/>
        <v>1</v>
      </c>
      <c r="AB33" s="1352">
        <f t="shared" si="16"/>
        <v>1.0101010101010102</v>
      </c>
      <c r="AC33" s="1352">
        <f t="shared" si="17"/>
        <v>1</v>
      </c>
    </row>
    <row r="34" spans="1:29" ht="15">
      <c r="A34" s="423"/>
      <c r="B34" s="375" t="s">
        <v>1697</v>
      </c>
      <c r="C34" s="1909" t="s">
        <v>4726</v>
      </c>
      <c r="D34" s="386">
        <v>100</v>
      </c>
      <c r="E34" s="1909" t="s">
        <v>4726</v>
      </c>
      <c r="F34" s="412">
        <f>SUMIF(105:105,E34,106:106)-SUMIF(105:105,C34,106:106)+100</f>
        <v>100</v>
      </c>
      <c r="G34" s="1909" t="s">
        <v>4726</v>
      </c>
      <c r="H34" s="386">
        <f>SUMIF(105:105,G34,106:106)-SUMIF(105:105,C34,106:106)+100</f>
        <v>100</v>
      </c>
      <c r="I34" s="1909" t="s">
        <v>4726</v>
      </c>
      <c r="J34" s="386">
        <f>SUMIF(105:105,I34,106:106)-SUMIF(105:105,C34,106:106)+100</f>
        <v>100</v>
      </c>
      <c r="K34" s="377">
        <v>2</v>
      </c>
      <c r="L34" s="2716"/>
      <c r="M34" s="2710"/>
      <c r="N34" s="2710"/>
      <c r="O34" s="2710"/>
      <c r="P34" s="3746"/>
      <c r="Q34" s="1351" t="str">
        <f t="shared" si="11"/>
        <v>建筑结构</v>
      </c>
      <c r="R34" s="705" t="s">
        <v>18</v>
      </c>
      <c r="S34" s="706">
        <f t="shared" si="12"/>
        <v>100</v>
      </c>
      <c r="T34" s="705" t="s">
        <v>18</v>
      </c>
      <c r="U34" s="706">
        <f t="shared" si="13"/>
        <v>100</v>
      </c>
      <c r="V34" s="705" t="s">
        <v>18</v>
      </c>
      <c r="W34" s="706">
        <f t="shared" si="14"/>
        <v>100</v>
      </c>
      <c r="X34" s="1354"/>
      <c r="Y34" s="3748"/>
      <c r="Z34" s="1355" t="str">
        <f t="shared" si="18"/>
        <v>建筑结构</v>
      </c>
      <c r="AA34" s="1352">
        <f t="shared" si="15"/>
        <v>1</v>
      </c>
      <c r="AB34" s="1352">
        <f t="shared" si="16"/>
        <v>1</v>
      </c>
      <c r="AC34" s="1352">
        <f t="shared" si="17"/>
        <v>1</v>
      </c>
    </row>
    <row r="35" spans="1:29" ht="15" hidden="1">
      <c r="A35" s="423"/>
      <c r="B35" s="375" t="s">
        <v>1698</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6"/>
      <c r="M35" s="2710"/>
      <c r="N35" s="2710"/>
      <c r="O35" s="2710"/>
      <c r="P35" s="3746"/>
      <c r="Q35" s="1351" t="str">
        <f t="shared" si="11"/>
        <v>建筑品质</v>
      </c>
      <c r="R35" s="705" t="s">
        <v>18</v>
      </c>
      <c r="S35" s="706">
        <f t="shared" si="12"/>
        <v>100</v>
      </c>
      <c r="T35" s="705" t="s">
        <v>18</v>
      </c>
      <c r="U35" s="706">
        <f t="shared" si="13"/>
        <v>100</v>
      </c>
      <c r="V35" s="705" t="s">
        <v>18</v>
      </c>
      <c r="W35" s="706">
        <f t="shared" si="14"/>
        <v>100</v>
      </c>
      <c r="X35" s="1354"/>
      <c r="Y35" s="3748"/>
      <c r="Z35" s="1355" t="str">
        <f t="shared" si="18"/>
        <v>建筑品质</v>
      </c>
      <c r="AA35" s="1352">
        <f t="shared" si="15"/>
        <v>1</v>
      </c>
      <c r="AB35" s="1352">
        <f t="shared" si="16"/>
        <v>1</v>
      </c>
      <c r="AC35" s="1352">
        <f t="shared" si="17"/>
        <v>1</v>
      </c>
    </row>
    <row r="36" spans="1:29" ht="15">
      <c r="A36" s="423"/>
      <c r="B36" s="375" t="s">
        <v>1699</v>
      </c>
      <c r="C36" s="1904" t="s">
        <v>4728</v>
      </c>
      <c r="D36" s="386">
        <v>100</v>
      </c>
      <c r="E36" s="1904" t="s">
        <v>4728</v>
      </c>
      <c r="F36" s="412">
        <f>SUMIF(109:109,E36,110:110)-SUMIF(109:109,C36,110:110)+100</f>
        <v>100</v>
      </c>
      <c r="G36" s="1904" t="s">
        <v>4728</v>
      </c>
      <c r="H36" s="386">
        <f>SUMIF(109:109,G36,110:110)-SUMIF(109:109,C36,110:110)+100</f>
        <v>100</v>
      </c>
      <c r="I36" s="1904" t="s">
        <v>4728</v>
      </c>
      <c r="J36" s="386">
        <f>SUMIF(109:109,I36,110:110)-SUMIF(109:109,C36,110:110)+100</f>
        <v>100</v>
      </c>
      <c r="K36" s="377">
        <v>1</v>
      </c>
      <c r="L36" s="2716"/>
      <c r="M36" s="2710"/>
      <c r="N36" s="2710"/>
      <c r="O36" s="2710"/>
      <c r="P36" s="3746"/>
      <c r="Q36" s="1351" t="str">
        <f t="shared" si="11"/>
        <v>公共部分装修</v>
      </c>
      <c r="R36" s="705" t="s">
        <v>18</v>
      </c>
      <c r="S36" s="706">
        <f t="shared" si="12"/>
        <v>100</v>
      </c>
      <c r="T36" s="705" t="s">
        <v>18</v>
      </c>
      <c r="U36" s="706">
        <f t="shared" si="13"/>
        <v>100</v>
      </c>
      <c r="V36" s="705" t="s">
        <v>18</v>
      </c>
      <c r="W36" s="706">
        <f t="shared" si="14"/>
        <v>100</v>
      </c>
      <c r="X36" s="1354"/>
      <c r="Y36" s="3748"/>
      <c r="Z36" s="1355" t="str">
        <f t="shared" si="18"/>
        <v>公共部分装修</v>
      </c>
      <c r="AA36" s="1352">
        <f t="shared" si="15"/>
        <v>1</v>
      </c>
      <c r="AB36" s="1352">
        <f t="shared" si="16"/>
        <v>1</v>
      </c>
      <c r="AC36" s="1352">
        <f t="shared" si="17"/>
        <v>1</v>
      </c>
    </row>
    <row r="37" spans="1:29" s="108" customFormat="1" ht="15">
      <c r="A37" s="424"/>
      <c r="B37" s="375" t="s">
        <v>1700</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1</v>
      </c>
      <c r="L37" s="2711"/>
      <c r="M37" s="2712"/>
      <c r="N37" s="2712"/>
      <c r="O37" s="2712"/>
      <c r="P37" s="3746"/>
      <c r="Q37" s="1342" t="str">
        <f t="shared" si="11"/>
        <v>成新度</v>
      </c>
      <c r="R37" s="701" t="s">
        <v>18</v>
      </c>
      <c r="S37" s="702">
        <f t="shared" si="12"/>
        <v>100</v>
      </c>
      <c r="T37" s="701" t="s">
        <v>18</v>
      </c>
      <c r="U37" s="702">
        <f t="shared" si="13"/>
        <v>100</v>
      </c>
      <c r="V37" s="701" t="s">
        <v>18</v>
      </c>
      <c r="W37" s="702">
        <f t="shared" si="14"/>
        <v>100</v>
      </c>
      <c r="X37" s="703"/>
      <c r="Y37" s="3748"/>
      <c r="Z37" s="52" t="str">
        <f t="shared" si="18"/>
        <v>成新度</v>
      </c>
      <c r="AA37" s="704">
        <f t="shared" si="15"/>
        <v>1</v>
      </c>
      <c r="AB37" s="704">
        <f t="shared" si="16"/>
        <v>1</v>
      </c>
      <c r="AC37" s="704">
        <f t="shared" si="17"/>
        <v>1</v>
      </c>
    </row>
    <row r="38" spans="1:29" ht="15">
      <c r="A38" s="423"/>
      <c r="B38" s="375" t="s">
        <v>1701</v>
      </c>
      <c r="C38" s="1904" t="s">
        <v>4730</v>
      </c>
      <c r="D38" s="386">
        <v>100</v>
      </c>
      <c r="E38" s="1904" t="s">
        <v>4730</v>
      </c>
      <c r="F38" s="412">
        <f>SUMIF(114:114,E38,115:115)-SUMIF(114:114,C38,115:115)+100</f>
        <v>100</v>
      </c>
      <c r="G38" s="1904" t="s">
        <v>4730</v>
      </c>
      <c r="H38" s="386">
        <f>SUMIF(114:114,G38,115:115)-SUMIF(114:114,C38,115:115)+100</f>
        <v>100</v>
      </c>
      <c r="I38" s="1904" t="s">
        <v>4730</v>
      </c>
      <c r="J38" s="386">
        <f>SUMIF(114:114,I38,115:115)-SUMIF(114:114,C38,115:115)+100</f>
        <v>100</v>
      </c>
      <c r="K38" s="377">
        <v>2</v>
      </c>
      <c r="L38" s="2716"/>
      <c r="M38" s="2710"/>
      <c r="N38" s="2710"/>
      <c r="O38" s="2710"/>
      <c r="P38" s="3746" t="s">
        <v>1695</v>
      </c>
      <c r="Q38" s="1351" t="str">
        <f t="shared" si="11"/>
        <v>物业管理</v>
      </c>
      <c r="R38" s="705" t="s">
        <v>18</v>
      </c>
      <c r="S38" s="706">
        <f t="shared" si="12"/>
        <v>100</v>
      </c>
      <c r="T38" s="705" t="s">
        <v>18</v>
      </c>
      <c r="U38" s="706">
        <f t="shared" si="13"/>
        <v>100</v>
      </c>
      <c r="V38" s="705" t="s">
        <v>18</v>
      </c>
      <c r="W38" s="706">
        <f t="shared" si="14"/>
        <v>100</v>
      </c>
      <c r="X38" s="1354"/>
      <c r="Y38" s="3748" t="s">
        <v>1695</v>
      </c>
      <c r="Z38" s="1355" t="str">
        <f t="shared" si="18"/>
        <v>物业管理</v>
      </c>
      <c r="AA38" s="1352">
        <f t="shared" si="15"/>
        <v>1</v>
      </c>
      <c r="AB38" s="1352">
        <f t="shared" si="16"/>
        <v>1</v>
      </c>
      <c r="AC38" s="1352">
        <f t="shared" si="17"/>
        <v>1</v>
      </c>
    </row>
    <row r="39" spans="1:29" ht="15">
      <c r="A39" s="423"/>
      <c r="B39" s="375" t="s">
        <v>1702</v>
      </c>
      <c r="C39" s="1904" t="s">
        <v>4702</v>
      </c>
      <c r="D39" s="386">
        <v>100</v>
      </c>
      <c r="E39" s="1904" t="s">
        <v>4702</v>
      </c>
      <c r="F39" s="412">
        <f>SUMIF(116:116,E39,117:117)-SUMIF(116:116,C39,117:117)+100</f>
        <v>100</v>
      </c>
      <c r="G39" s="1904" t="s">
        <v>4702</v>
      </c>
      <c r="H39" s="386">
        <f>SUMIF(116:116,G39,117:117)-SUMIF(116:116,C39,117:117)+100</f>
        <v>100</v>
      </c>
      <c r="I39" s="1904" t="s">
        <v>4702</v>
      </c>
      <c r="J39" s="386">
        <f>SUMIF(116:116,I39,117:117)-SUMIF(116:116,C39,117:117)+100</f>
        <v>100</v>
      </c>
      <c r="K39" s="377">
        <v>1</v>
      </c>
      <c r="L39" s="2716"/>
      <c r="M39" s="2710"/>
      <c r="N39" s="2710"/>
      <c r="O39" s="2710"/>
      <c r="P39" s="3746"/>
      <c r="Q39" s="1351" t="str">
        <f t="shared" si="11"/>
        <v>市政基础设施</v>
      </c>
      <c r="R39" s="705" t="s">
        <v>18</v>
      </c>
      <c r="S39" s="706">
        <f t="shared" si="12"/>
        <v>100</v>
      </c>
      <c r="T39" s="705" t="s">
        <v>18</v>
      </c>
      <c r="U39" s="706">
        <f t="shared" si="13"/>
        <v>100</v>
      </c>
      <c r="V39" s="705" t="s">
        <v>18</v>
      </c>
      <c r="W39" s="706">
        <f t="shared" si="14"/>
        <v>100</v>
      </c>
      <c r="X39" s="1354"/>
      <c r="Y39" s="3748"/>
      <c r="Z39" s="1355" t="str">
        <f t="shared" si="18"/>
        <v>市政基础设施</v>
      </c>
      <c r="AA39" s="1352">
        <f t="shared" si="15"/>
        <v>1</v>
      </c>
      <c r="AB39" s="1352">
        <f t="shared" si="16"/>
        <v>1</v>
      </c>
      <c r="AC39" s="1352">
        <f t="shared" si="17"/>
        <v>1</v>
      </c>
    </row>
    <row r="40" spans="1:29" ht="15" hidden="1">
      <c r="A40" s="423"/>
      <c r="B40" s="375" t="s">
        <v>1703</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6"/>
      <c r="M40" s="2710"/>
      <c r="N40" s="2710"/>
      <c r="O40" s="2710"/>
      <c r="P40" s="3746"/>
      <c r="Q40" s="1351" t="str">
        <f t="shared" si="11"/>
        <v>房型</v>
      </c>
      <c r="R40" s="705" t="s">
        <v>18</v>
      </c>
      <c r="S40" s="706">
        <f t="shared" si="12"/>
        <v>100</v>
      </c>
      <c r="T40" s="705" t="s">
        <v>18</v>
      </c>
      <c r="U40" s="706">
        <f t="shared" si="13"/>
        <v>100</v>
      </c>
      <c r="V40" s="705" t="s">
        <v>18</v>
      </c>
      <c r="W40" s="706">
        <f t="shared" si="14"/>
        <v>100</v>
      </c>
      <c r="X40" s="1354"/>
      <c r="Y40" s="3748"/>
      <c r="Z40" s="1355" t="str">
        <f t="shared" si="18"/>
        <v>房型</v>
      </c>
      <c r="AA40" s="1352">
        <f t="shared" si="15"/>
        <v>1</v>
      </c>
      <c r="AB40" s="1352">
        <f t="shared" si="16"/>
        <v>1</v>
      </c>
      <c r="AC40" s="1352">
        <f t="shared" si="17"/>
        <v>1</v>
      </c>
    </row>
    <row r="41" spans="1:29" s="422" customFormat="1" ht="28.5" hidden="1">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5"/>
      <c r="M41" s="2717"/>
      <c r="N41" s="2717"/>
      <c r="O41" s="2717"/>
      <c r="P41" s="3746"/>
      <c r="Q41" s="707" t="str">
        <f t="shared" si="11"/>
        <v>单套/主力户型建筑面积</v>
      </c>
      <c r="R41" s="708" t="s">
        <v>18</v>
      </c>
      <c r="S41" s="709">
        <f t="shared" si="12"/>
        <v>100</v>
      </c>
      <c r="T41" s="708" t="s">
        <v>18</v>
      </c>
      <c r="U41" s="709">
        <f t="shared" si="13"/>
        <v>100</v>
      </c>
      <c r="V41" s="708" t="s">
        <v>18</v>
      </c>
      <c r="W41" s="709">
        <f t="shared" si="14"/>
        <v>100</v>
      </c>
      <c r="X41" s="710"/>
      <c r="Y41" s="3748"/>
      <c r="Z41" s="711" t="str">
        <f t="shared" si="18"/>
        <v>单套/主力户型建筑面积</v>
      </c>
      <c r="AA41" s="1352">
        <f t="shared" si="15"/>
        <v>1</v>
      </c>
      <c r="AB41" s="1352">
        <f t="shared" si="16"/>
        <v>1</v>
      </c>
      <c r="AC41" s="1352">
        <f t="shared" si="17"/>
        <v>1</v>
      </c>
    </row>
    <row r="42" spans="1:29" ht="15.75" thickBot="1">
      <c r="A42" s="423"/>
      <c r="B42" s="375" t="s">
        <v>1705</v>
      </c>
      <c r="C42" s="1904" t="s">
        <v>4728</v>
      </c>
      <c r="D42" s="386">
        <v>100</v>
      </c>
      <c r="E42" s="1904" t="s">
        <v>4728</v>
      </c>
      <c r="F42" s="412">
        <f>SUMIF(122:122,E42,123:123)-SUMIF(122:122,C42,123:123)+100</f>
        <v>100</v>
      </c>
      <c r="G42" s="1904" t="s">
        <v>4739</v>
      </c>
      <c r="H42" s="386">
        <f>SUMIF(122:122,G42,123:123)-SUMIF(122:122,C42,123:123)+100</f>
        <v>97</v>
      </c>
      <c r="I42" s="1904" t="s">
        <v>4728</v>
      </c>
      <c r="J42" s="386">
        <f>SUMIF(122:122,I42,123:123)-SUMIF(122:122,C42,123:123)+100</f>
        <v>100</v>
      </c>
      <c r="K42" s="377">
        <v>1</v>
      </c>
      <c r="L42" s="2716"/>
      <c r="M42" s="2710"/>
      <c r="N42" s="2710"/>
      <c r="O42" s="2710"/>
      <c r="P42" s="3746"/>
      <c r="Q42" s="1351" t="str">
        <f t="shared" si="11"/>
        <v>内部装修</v>
      </c>
      <c r="R42" s="705" t="s">
        <v>18</v>
      </c>
      <c r="S42" s="706">
        <f t="shared" si="12"/>
        <v>100</v>
      </c>
      <c r="T42" s="705" t="s">
        <v>18</v>
      </c>
      <c r="U42" s="706">
        <f t="shared" si="13"/>
        <v>97</v>
      </c>
      <c r="V42" s="705" t="s">
        <v>18</v>
      </c>
      <c r="W42" s="706">
        <f t="shared" si="14"/>
        <v>100</v>
      </c>
      <c r="X42" s="1354"/>
      <c r="Y42" s="3748"/>
      <c r="Z42" s="1355" t="str">
        <f t="shared" si="18"/>
        <v>内部装修</v>
      </c>
      <c r="AA42" s="1352">
        <f t="shared" si="15"/>
        <v>1</v>
      </c>
      <c r="AB42" s="1352">
        <f t="shared" si="16"/>
        <v>1.0309278350515463</v>
      </c>
      <c r="AC42" s="1352">
        <f t="shared" si="17"/>
        <v>1</v>
      </c>
    </row>
    <row r="43" spans="1:29" ht="15.75" hidden="1" customHeight="1">
      <c r="A43" s="423"/>
      <c r="B43" s="375" t="s">
        <v>1706</v>
      </c>
      <c r="C43" s="1904" t="s">
        <v>4701</v>
      </c>
      <c r="D43" s="386">
        <v>100</v>
      </c>
      <c r="E43" s="1904" t="s">
        <v>4701</v>
      </c>
      <c r="F43" s="412">
        <f>SUMIF(124:124,E43,125:125)-SUMIF(124:124,C43,125:125)+100</f>
        <v>100</v>
      </c>
      <c r="G43" s="1904" t="s">
        <v>4701</v>
      </c>
      <c r="H43" s="386">
        <f>SUMIF(124:124,G43,125:125)-SUMIF(124:124,C43,125:125)+100</f>
        <v>100</v>
      </c>
      <c r="I43" s="1904" t="s">
        <v>4701</v>
      </c>
      <c r="J43" s="386">
        <f>SUMIF(124:124,I43,125:125)-SUMIF(124:124,C43,125:125)+100</f>
        <v>100</v>
      </c>
      <c r="K43" s="377"/>
      <c r="L43" s="2716"/>
      <c r="M43" s="2710"/>
      <c r="N43" s="2710"/>
      <c r="O43" s="2710"/>
      <c r="P43" s="3746"/>
      <c r="Q43" s="1351" t="str">
        <f t="shared" si="11"/>
        <v>内部装修维护情况</v>
      </c>
      <c r="R43" s="705" t="s">
        <v>18</v>
      </c>
      <c r="S43" s="706">
        <f t="shared" si="12"/>
        <v>100</v>
      </c>
      <c r="T43" s="705" t="s">
        <v>18</v>
      </c>
      <c r="U43" s="706">
        <f t="shared" si="13"/>
        <v>100</v>
      </c>
      <c r="V43" s="705" t="s">
        <v>18</v>
      </c>
      <c r="W43" s="706">
        <f t="shared" si="14"/>
        <v>100</v>
      </c>
      <c r="X43" s="1354"/>
      <c r="Y43" s="3748"/>
      <c r="Z43" s="1355" t="str">
        <f t="shared" si="18"/>
        <v>内部装修维护情况</v>
      </c>
      <c r="AA43" s="1352">
        <f t="shared" si="15"/>
        <v>1</v>
      </c>
      <c r="AB43" s="1352">
        <f t="shared" si="16"/>
        <v>1</v>
      </c>
      <c r="AC43" s="1352">
        <f t="shared" si="17"/>
        <v>1</v>
      </c>
    </row>
    <row r="44" spans="1:29" s="108" customFormat="1" ht="15.75"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1"/>
      <c r="M44" s="2712"/>
      <c r="N44" s="2712"/>
      <c r="O44" s="2712"/>
      <c r="P44" s="3746"/>
      <c r="Q44" s="1342">
        <f t="shared" si="11"/>
        <v>111</v>
      </c>
      <c r="R44" s="701" t="s">
        <v>18</v>
      </c>
      <c r="S44" s="702">
        <f t="shared" si="12"/>
        <v>100</v>
      </c>
      <c r="T44" s="701" t="s">
        <v>18</v>
      </c>
      <c r="U44" s="702">
        <f t="shared" si="13"/>
        <v>100</v>
      </c>
      <c r="V44" s="701" t="s">
        <v>18</v>
      </c>
      <c r="W44" s="702">
        <f t="shared" si="14"/>
        <v>100</v>
      </c>
      <c r="X44" s="703"/>
      <c r="Y44" s="3748"/>
      <c r="Z44" s="52">
        <f t="shared" si="18"/>
        <v>111</v>
      </c>
      <c r="AA44" s="704">
        <f t="shared" si="15"/>
        <v>1</v>
      </c>
      <c r="AB44" s="704">
        <f t="shared" si="16"/>
        <v>1</v>
      </c>
      <c r="AC44" s="704">
        <f t="shared" si="17"/>
        <v>1</v>
      </c>
    </row>
    <row r="45" spans="1:29" ht="15.75" hidden="1" customHeigh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6"/>
      <c r="M45" s="2710"/>
      <c r="N45" s="2710"/>
      <c r="O45" s="2710"/>
      <c r="P45" s="3746"/>
      <c r="Q45" s="1351">
        <f t="shared" si="11"/>
        <v>111</v>
      </c>
      <c r="R45" s="705" t="s">
        <v>18</v>
      </c>
      <c r="S45" s="706">
        <f t="shared" si="12"/>
        <v>100</v>
      </c>
      <c r="T45" s="705" t="s">
        <v>18</v>
      </c>
      <c r="U45" s="706">
        <f t="shared" si="13"/>
        <v>100</v>
      </c>
      <c r="V45" s="705" t="s">
        <v>18</v>
      </c>
      <c r="W45" s="706">
        <f t="shared" si="14"/>
        <v>100</v>
      </c>
      <c r="X45" s="1354"/>
      <c r="Y45" s="3748"/>
      <c r="Z45" s="1355">
        <f t="shared" si="18"/>
        <v>111</v>
      </c>
      <c r="AA45" s="1352">
        <f t="shared" si="15"/>
        <v>1</v>
      </c>
      <c r="AB45" s="1352">
        <f t="shared" si="16"/>
        <v>1</v>
      </c>
      <c r="AC45" s="1352">
        <f t="shared" si="17"/>
        <v>1</v>
      </c>
    </row>
    <row r="46" spans="1:29" ht="15.75" hidden="1" customHeight="1"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6"/>
      <c r="M46" s="2710"/>
      <c r="N46" s="2710"/>
      <c r="O46" s="2710"/>
      <c r="P46" s="3747"/>
      <c r="Q46" s="1351">
        <f t="shared" si="11"/>
        <v>111</v>
      </c>
      <c r="R46" s="705" t="s">
        <v>17</v>
      </c>
      <c r="S46" s="706">
        <f t="shared" si="12"/>
        <v>100</v>
      </c>
      <c r="T46" s="705" t="s">
        <v>17</v>
      </c>
      <c r="U46" s="706">
        <f t="shared" si="13"/>
        <v>100</v>
      </c>
      <c r="V46" s="705" t="s">
        <v>17</v>
      </c>
      <c r="W46" s="706">
        <f t="shared" si="14"/>
        <v>100</v>
      </c>
      <c r="X46" s="1354"/>
      <c r="Y46" s="3749"/>
      <c r="Z46" s="1355">
        <f t="shared" si="18"/>
        <v>111</v>
      </c>
      <c r="AA46" s="1352">
        <f t="shared" si="15"/>
        <v>1</v>
      </c>
      <c r="AB46" s="1352">
        <f t="shared" si="16"/>
        <v>1</v>
      </c>
      <c r="AC46" s="1352">
        <f t="shared" si="17"/>
        <v>1</v>
      </c>
    </row>
    <row r="47" spans="1:29" ht="15">
      <c r="A47" s="430" t="s">
        <v>1707</v>
      </c>
      <c r="B47" s="431"/>
      <c r="C47" s="1154" t="s">
        <v>16</v>
      </c>
      <c r="D47" s="1155"/>
      <c r="E47" s="1156">
        <v>42000</v>
      </c>
      <c r="F47" s="1157"/>
      <c r="G47" s="1158">
        <v>50000</v>
      </c>
      <c r="H47" s="1159"/>
      <c r="I47" s="1156">
        <v>50000</v>
      </c>
      <c r="J47" s="1159"/>
      <c r="K47" s="1910"/>
      <c r="L47" s="2718"/>
      <c r="M47" s="2719"/>
      <c r="N47" s="2710"/>
      <c r="O47" s="2719"/>
      <c r="P47" s="3741" t="str">
        <f>A47</f>
        <v>成交单价（元/平方米）</v>
      </c>
      <c r="Q47" s="3741"/>
      <c r="R47" s="3742">
        <f>E47</f>
        <v>42000</v>
      </c>
      <c r="S47" s="3742"/>
      <c r="T47" s="3742">
        <f>G47</f>
        <v>50000</v>
      </c>
      <c r="U47" s="3742"/>
      <c r="V47" s="3742">
        <f>I47</f>
        <v>50000</v>
      </c>
      <c r="W47" s="3742"/>
      <c r="X47" s="690"/>
      <c r="Y47" s="712"/>
      <c r="Z47" s="690"/>
      <c r="AA47" s="690"/>
      <c r="AB47" s="690"/>
      <c r="AC47" s="690"/>
    </row>
    <row r="48" spans="1:29" ht="15.75" thickBot="1">
      <c r="A48" s="437" t="s">
        <v>1708</v>
      </c>
      <c r="B48" s="438"/>
      <c r="C48" s="1160">
        <f>R49</f>
        <v>42534</v>
      </c>
      <c r="D48" s="2313" t="s">
        <v>2136</v>
      </c>
      <c r="E48" s="1161">
        <f>R48</f>
        <v>42000</v>
      </c>
      <c r="F48" s="2314"/>
      <c r="G48" s="1160">
        <f>T48</f>
        <v>43667</v>
      </c>
      <c r="H48" s="2314"/>
      <c r="I48" s="1161">
        <f>V48</f>
        <v>41934</v>
      </c>
      <c r="J48" s="2314"/>
      <c r="K48" s="2315">
        <f>F48+H48+J48</f>
        <v>0</v>
      </c>
      <c r="L48" s="2718"/>
      <c r="M48" s="2719"/>
      <c r="N48" s="2719"/>
      <c r="O48" s="2719"/>
      <c r="P48" s="3741" t="str">
        <f>A48</f>
        <v>比较价值（元/平方米）</v>
      </c>
      <c r="Q48" s="3741"/>
      <c r="R48" s="3742">
        <f>IF(F1="售价",ROUND(PRODUCT(R47,AA7:AA46),0),ROUND(PRODUCT(R47,AA7:AA46),1))</f>
        <v>42000</v>
      </c>
      <c r="S48" s="3742"/>
      <c r="T48" s="3742">
        <f>IF(F1="售价",ROUND(PRODUCT(T47,AB7:AB46),0),ROUND(PRODUCT(T47,AB7:AB46),1))</f>
        <v>43667</v>
      </c>
      <c r="U48" s="3742"/>
      <c r="V48" s="3742">
        <f>IF(F1="售价",ROUND(PRODUCT(V47,AC7:AC46),0),ROUND(PRODUCT(V47,AC7:AC46),1))</f>
        <v>41934</v>
      </c>
      <c r="W48" s="3742"/>
      <c r="X48" s="690"/>
      <c r="Y48" s="690"/>
      <c r="Z48" s="690"/>
      <c r="AA48" s="690"/>
      <c r="AB48" s="690"/>
      <c r="AC48" s="690"/>
    </row>
    <row r="49" spans="1:29" ht="15.75" thickBot="1">
      <c r="A49" s="441" t="s">
        <v>1709</v>
      </c>
      <c r="B49" s="442"/>
      <c r="C49" s="1162">
        <f>R49</f>
        <v>42534</v>
      </c>
      <c r="D49" s="1163"/>
      <c r="E49" s="1163"/>
      <c r="F49" s="1163"/>
      <c r="G49" s="1163"/>
      <c r="H49" s="1163"/>
      <c r="I49" s="1163"/>
      <c r="J49" s="1163"/>
      <c r="K49" s="1911"/>
      <c r="L49" s="2718"/>
      <c r="M49" s="2719"/>
      <c r="N49" s="2719"/>
      <c r="O49" s="2719"/>
      <c r="P49" s="3738" t="str">
        <f>A49</f>
        <v>估价对象XX用房的比较价值（楼面单价，元/平方米）</v>
      </c>
      <c r="Q49" s="3739"/>
      <c r="R49" s="3740">
        <f>IF(F1="售价",ROUND(IF(D48="简单平均",AVERAGE(R48:V48),R48*F48+T48*H48+V48*J48),0),ROUND(IF(D48="简单平均",AVERAGE(R48:V48),R48*F48+T48*H48+V48*J48),1))</f>
        <v>42534</v>
      </c>
      <c r="S49" s="3740"/>
      <c r="T49" s="3740"/>
      <c r="U49" s="3740"/>
      <c r="V49" s="3740"/>
      <c r="W49" s="3740"/>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1710</v>
      </c>
      <c r="D52" s="447"/>
      <c r="E52" s="448">
        <f>IF(E47&lt;E48,E48/E47-1,E47/E48-1)</f>
        <v>0</v>
      </c>
      <c r="F52" s="449" t="str">
        <f>IF(OR(E52&gt;=0.3,E52&lt;=-0.3),"超过30%","")</f>
        <v/>
      </c>
      <c r="G52" s="448">
        <f>IF(G47&lt;G48,G48/G47-1,G47/G48-1)</f>
        <v>0.14502942725628043</v>
      </c>
      <c r="H52" s="449" t="str">
        <f>IF(OR(G52&gt;=0.3,G52&lt;=-0.3),"超过30%","")</f>
        <v/>
      </c>
      <c r="I52" s="448">
        <f>IF(I47&lt;I48,I48/I47-1,I47/I48-1)</f>
        <v>0.19234988314971146</v>
      </c>
      <c r="J52" s="449" t="str">
        <f>IF(OR(I52&gt;=0.3,I52&lt;=-0.3),"超过30%","")</f>
        <v/>
      </c>
      <c r="K52" s="2724"/>
      <c r="L52" s="2720"/>
      <c r="M52" s="2719"/>
      <c r="N52" s="2719"/>
      <c r="O52" s="2719"/>
    </row>
    <row r="53" spans="1:29" ht="13.5" customHeight="1">
      <c r="A53" s="2719"/>
      <c r="B53" s="2719"/>
      <c r="C53" s="446" t="s">
        <v>1711</v>
      </c>
      <c r="D53" s="450"/>
      <c r="E53" s="448">
        <f>IF(E48&lt;G48,G48/E48-1,E48/G48-1)</f>
        <v>3.9690476190476165E-2</v>
      </c>
      <c r="F53" s="449" t="str">
        <f>IF(OR(E53&gt;=0.2,E53&lt;=-0.2),"超过20%","")</f>
        <v/>
      </c>
      <c r="G53" s="448">
        <f>IF(G48&lt;I48,I48/G48-1,G48/I48-1)</f>
        <v>4.1326846949969021E-2</v>
      </c>
      <c r="H53" s="449" t="str">
        <f>IF(OR(G53&gt;=0.2,G53&lt;=-0.2),"超过20%","")</f>
        <v/>
      </c>
      <c r="I53" s="448">
        <f>IF(I48&lt;E48,E48/I48-1,I48/E48-1)</f>
        <v>1.5739018457576748E-3</v>
      </c>
      <c r="J53" s="449" t="str">
        <f>IF(OR(I53&gt;=0.2,I53&lt;=-0.2),"超过20%","")</f>
        <v/>
      </c>
      <c r="K53" s="2724"/>
      <c r="L53" s="2720"/>
      <c r="M53" s="2719"/>
      <c r="N53" s="2719"/>
      <c r="O53" s="2719"/>
    </row>
    <row r="54" spans="1:29" s="451" customFormat="1" ht="13.5" customHeight="1">
      <c r="A54" s="2722"/>
      <c r="B54" s="2722"/>
      <c r="C54" s="446" t="s">
        <v>1712</v>
      </c>
      <c r="D54" s="450"/>
      <c r="E54" s="448">
        <f>IF(E47&lt;G47,G47/E47-1,E47/G47-1)</f>
        <v>0.19047619047619047</v>
      </c>
      <c r="F54" s="449" t="str">
        <f>IF(OR(E54&gt;=0.3,E54&lt;=-0.3),"超过30%","")</f>
        <v/>
      </c>
      <c r="G54" s="448">
        <f>IF(G47&lt;I47,I47/G47-1,G47/I47-1)</f>
        <v>0</v>
      </c>
      <c r="H54" s="449" t="str">
        <f>IF(OR(G54&gt;=0.3,G54&lt;=-0.3),"超过30%","")</f>
        <v/>
      </c>
      <c r="I54" s="448">
        <f>IF(I47&lt;E47,E47/I47-1,I47/E47-1)</f>
        <v>0.19047619047619047</v>
      </c>
      <c r="J54" s="449" t="str">
        <f>IF(OR(I54&gt;=0.3,I54&lt;=-0.3),"超过30%","")</f>
        <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4" t="s">
        <v>1713</v>
      </c>
      <c r="B57" s="690"/>
      <c r="C57" s="695"/>
      <c r="D57" s="695"/>
      <c r="E57" s="695"/>
      <c r="F57" s="696"/>
      <c r="G57" s="696"/>
      <c r="H57" s="695"/>
      <c r="I57" s="695"/>
      <c r="J57" s="695"/>
      <c r="K57" s="941"/>
      <c r="L57" s="942"/>
      <c r="M57" s="940"/>
      <c r="N57" s="940"/>
      <c r="O57" s="940"/>
      <c r="P57" s="1914"/>
      <c r="Q57" s="453"/>
    </row>
    <row r="58" spans="1:29" s="457" customFormat="1" ht="15">
      <c r="A58" s="454" t="s">
        <v>1714</v>
      </c>
      <c r="B58" s="455"/>
      <c r="C58" s="1185" t="str">
        <f>YEAR(C7)&amp;"-"&amp;MONTH(C7)</f>
        <v>2023-4</v>
      </c>
      <c r="D58" s="1184">
        <f>EDATE(C58,-1)</f>
        <v>44986</v>
      </c>
      <c r="E58" s="1184">
        <f>EDATE(D58,-1)</f>
        <v>44958</v>
      </c>
      <c r="F58" s="1184">
        <f t="shared" ref="F58:O58" si="19">EDATE(E58,-1)</f>
        <v>44927</v>
      </c>
      <c r="G58" s="1184">
        <f t="shared" si="19"/>
        <v>44896</v>
      </c>
      <c r="H58" s="1184">
        <f t="shared" si="19"/>
        <v>44866</v>
      </c>
      <c r="I58" s="1184">
        <f t="shared" si="19"/>
        <v>44835</v>
      </c>
      <c r="J58" s="1184">
        <f t="shared" si="19"/>
        <v>44805</v>
      </c>
      <c r="K58" s="1184">
        <f t="shared" si="19"/>
        <v>44774</v>
      </c>
      <c r="L58" s="1184">
        <f t="shared" si="19"/>
        <v>44743</v>
      </c>
      <c r="M58" s="1184">
        <f t="shared" si="19"/>
        <v>44713</v>
      </c>
      <c r="N58" s="1184">
        <f t="shared" si="19"/>
        <v>44682</v>
      </c>
      <c r="O58" s="1184">
        <f t="shared" si="19"/>
        <v>44652</v>
      </c>
      <c r="P58" s="1180"/>
    </row>
    <row r="59" spans="1:29" s="108" customFormat="1" ht="15">
      <c r="A59" s="458"/>
      <c r="B59" s="1915"/>
      <c r="C59" s="1182">
        <v>100</v>
      </c>
      <c r="D59" s="460"/>
      <c r="E59" s="461"/>
      <c r="F59" s="461"/>
      <c r="G59" s="461"/>
      <c r="H59" s="461"/>
      <c r="I59" s="461"/>
      <c r="J59" s="461"/>
      <c r="K59" s="461"/>
      <c r="L59" s="461"/>
      <c r="M59" s="462"/>
      <c r="N59" s="461"/>
      <c r="O59" s="462"/>
      <c r="P59" s="1916"/>
    </row>
    <row r="60" spans="1:29" s="108" customFormat="1" ht="15.75" thickBot="1">
      <c r="A60" s="464" t="s">
        <v>1715</v>
      </c>
      <c r="B60" s="465"/>
      <c r="C60" s="466"/>
      <c r="D60" s="467"/>
      <c r="E60" s="467"/>
      <c r="F60" s="467"/>
      <c r="G60" s="467"/>
      <c r="H60" s="467"/>
      <c r="I60" s="467"/>
      <c r="J60" s="467"/>
      <c r="K60" s="467"/>
      <c r="L60" s="467"/>
      <c r="M60" s="468"/>
      <c r="N60" s="467"/>
      <c r="O60" s="468"/>
      <c r="P60" s="1916"/>
      <c r="Q60" s="453"/>
    </row>
    <row r="61" spans="1:29" s="108" customFormat="1" ht="15">
      <c r="A61" s="470" t="s">
        <v>1716</v>
      </c>
      <c r="B61" s="459"/>
      <c r="C61" s="471" t="s">
        <v>1717</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1718</v>
      </c>
      <c r="B63" s="477" t="s">
        <v>1684</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1687</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1688</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8"/>
      <c r="Q67" s="453"/>
    </row>
    <row r="68" spans="1:17" ht="15">
      <c r="A68" s="483"/>
      <c r="B68" s="497"/>
      <c r="C68" s="498">
        <v>0</v>
      </c>
      <c r="D68" s="498">
        <v>1</v>
      </c>
      <c r="E68" s="498">
        <v>2</v>
      </c>
      <c r="F68" s="498">
        <v>3</v>
      </c>
      <c r="G68" s="498">
        <v>4</v>
      </c>
      <c r="H68" s="498"/>
      <c r="I68" s="498"/>
      <c r="J68" s="498"/>
      <c r="K68" s="499"/>
      <c r="L68" s="500"/>
      <c r="M68" s="501"/>
      <c r="N68" s="933"/>
      <c r="O68" s="933"/>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2"/>
      <c r="Q76" s="453"/>
    </row>
    <row r="77" spans="1:17" ht="15.75" thickBot="1">
      <c r="A77" s="483"/>
      <c r="B77" s="492"/>
      <c r="C77" s="493">
        <v>100</v>
      </c>
      <c r="D77" s="493">
        <f>C77-$K15</f>
        <v>95</v>
      </c>
      <c r="E77" s="493">
        <f>D77-$K15</f>
        <v>90</v>
      </c>
      <c r="F77" s="493">
        <f>E77-$K15</f>
        <v>85</v>
      </c>
      <c r="G77" s="493">
        <f>F77-$K15</f>
        <v>80</v>
      </c>
      <c r="H77" s="493"/>
      <c r="I77" s="493"/>
      <c r="J77" s="493"/>
      <c r="K77" s="493"/>
      <c r="L77" s="493"/>
      <c r="M77" s="494"/>
      <c r="N77" s="934"/>
      <c r="O77" s="934"/>
      <c r="P77" s="1918"/>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18"/>
      <c r="Q78" s="453"/>
    </row>
    <row r="79" spans="1:17" ht="15.75" thickBot="1">
      <c r="A79" s="483"/>
      <c r="B79" s="492"/>
      <c r="C79" s="493">
        <v>100</v>
      </c>
      <c r="D79" s="493">
        <f>C79-$K17</f>
        <v>95</v>
      </c>
      <c r="E79" s="493">
        <f>D79-$K17</f>
        <v>90</v>
      </c>
      <c r="F79" s="493">
        <f>E79-$K17</f>
        <v>85</v>
      </c>
      <c r="G79" s="493">
        <f>F79-$K17</f>
        <v>80</v>
      </c>
      <c r="H79" s="493"/>
      <c r="I79" s="493"/>
      <c r="J79" s="493"/>
      <c r="K79" s="493"/>
      <c r="L79" s="493"/>
      <c r="M79" s="494"/>
      <c r="N79" s="934"/>
      <c r="O79" s="934"/>
      <c r="P79" s="1918"/>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18"/>
      <c r="Q80" s="453"/>
    </row>
    <row r="81" spans="1:17" ht="15.75" thickBot="1">
      <c r="A81" s="483"/>
      <c r="B81" s="492"/>
      <c r="C81" s="493">
        <v>100</v>
      </c>
      <c r="D81" s="493">
        <f>C81-$K19</f>
        <v>95</v>
      </c>
      <c r="E81" s="493">
        <f>D81-$K19</f>
        <v>90</v>
      </c>
      <c r="F81" s="493">
        <f>E81-$K19</f>
        <v>85</v>
      </c>
      <c r="G81" s="493">
        <f>F81-$K19</f>
        <v>80</v>
      </c>
      <c r="H81" s="493"/>
      <c r="I81" s="493"/>
      <c r="J81" s="493"/>
      <c r="K81" s="493"/>
      <c r="L81" s="493"/>
      <c r="M81" s="494"/>
      <c r="N81" s="934"/>
      <c r="O81" s="934"/>
      <c r="P81" s="1918"/>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18"/>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18"/>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18"/>
      <c r="Q84" s="453"/>
    </row>
    <row r="85" spans="1:17" ht="15.75" thickBot="1">
      <c r="A85" s="483"/>
      <c r="B85" s="492"/>
      <c r="C85" s="493">
        <v>100</v>
      </c>
      <c r="D85" s="493">
        <f>C85-$K23</f>
        <v>97</v>
      </c>
      <c r="E85" s="493">
        <f>D85-$K23</f>
        <v>94</v>
      </c>
      <c r="F85" s="493">
        <f>E85-$K23</f>
        <v>91</v>
      </c>
      <c r="G85" s="493">
        <f>F85-$K23</f>
        <v>88</v>
      </c>
      <c r="H85" s="493"/>
      <c r="I85" s="493"/>
      <c r="J85" s="493"/>
      <c r="K85" s="493"/>
      <c r="L85" s="493"/>
      <c r="M85" s="494"/>
      <c r="N85" s="934"/>
      <c r="O85" s="934"/>
      <c r="P85" s="1918"/>
      <c r="Q85" s="453"/>
    </row>
    <row r="86" spans="1:17" s="108" customFormat="1" ht="15.75" thickTop="1">
      <c r="A86" s="528"/>
      <c r="B86" s="487" t="s">
        <v>1733</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8"/>
      <c r="Q87" s="453"/>
    </row>
    <row r="88" spans="1:17" s="108" customFormat="1" ht="15.75" thickTop="1">
      <c r="A88" s="528"/>
      <c r="B88" s="487" t="s">
        <v>1734</v>
      </c>
      <c r="C88" s="503"/>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8"/>
      <c r="Q89" s="453"/>
    </row>
    <row r="90" spans="1:17" s="422" customFormat="1" ht="15.75" thickTop="1">
      <c r="A90" s="502"/>
      <c r="B90" s="487">
        <f>B27</f>
        <v>111</v>
      </c>
      <c r="C90" s="503"/>
      <c r="D90" s="503"/>
      <c r="E90" s="503"/>
      <c r="F90" s="503"/>
      <c r="G90" s="503"/>
      <c r="H90" s="504"/>
      <c r="I90" s="504"/>
      <c r="J90" s="504"/>
      <c r="K90" s="504"/>
      <c r="L90" s="505"/>
      <c r="M90" s="506"/>
      <c r="N90" s="935"/>
      <c r="O90" s="935"/>
      <c r="P90" s="1919"/>
      <c r="Q90" s="508"/>
    </row>
    <row r="91" spans="1:17" s="422" customFormat="1" ht="15.75" thickBot="1">
      <c r="A91" s="502"/>
      <c r="B91" s="492"/>
      <c r="C91" s="509"/>
      <c r="D91" s="509"/>
      <c r="E91" s="509"/>
      <c r="F91" s="509"/>
      <c r="G91" s="509"/>
      <c r="H91" s="511"/>
      <c r="I91" s="511"/>
      <c r="J91" s="511"/>
      <c r="K91" s="511"/>
      <c r="L91" s="511"/>
      <c r="M91" s="512"/>
      <c r="N91" s="935"/>
      <c r="O91" s="935"/>
      <c r="P91" s="1919"/>
      <c r="Q91" s="508"/>
    </row>
    <row r="92" spans="1:17" ht="15.75" thickTop="1">
      <c r="A92" s="483"/>
      <c r="B92" s="487">
        <f>B28</f>
        <v>111</v>
      </c>
      <c r="C92" s="503"/>
      <c r="D92" s="503"/>
      <c r="E92" s="503"/>
      <c r="F92" s="503"/>
      <c r="G92" s="532"/>
      <c r="H92" s="532"/>
      <c r="I92" s="532"/>
      <c r="J92" s="532"/>
      <c r="K92" s="533"/>
      <c r="L92" s="534"/>
      <c r="M92" s="535"/>
      <c r="N92" s="933"/>
      <c r="O92" s="933"/>
      <c r="P92" s="1918"/>
      <c r="Q92" s="453"/>
    </row>
    <row r="93" spans="1:17" ht="15.75" thickBot="1">
      <c r="A93" s="483"/>
      <c r="B93" s="492"/>
      <c r="C93" s="509"/>
      <c r="D93" s="485"/>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1693</v>
      </c>
      <c r="B100" s="477" t="s">
        <v>1735</v>
      </c>
      <c r="C100" s="3854" t="s">
        <v>4725</v>
      </c>
      <c r="D100" s="479"/>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18"/>
      <c r="Q101" s="453"/>
    </row>
    <row r="102" spans="1:17" ht="15.75" thickTop="1">
      <c r="A102" s="483"/>
      <c r="B102" s="487" t="s">
        <v>1736</v>
      </c>
      <c r="C102" s="527" t="str">
        <f>C103&amp;"(含)"&amp;"-"&amp;D103</f>
        <v>0(含)-200000</v>
      </c>
      <c r="D102" s="527" t="str">
        <f t="shared" ref="D102:L102" si="26">D103&amp;"(含)"&amp;"-"&amp;E103</f>
        <v>200000(含)-400000</v>
      </c>
      <c r="E102" s="527" t="str">
        <f t="shared" si="26"/>
        <v>400000(含)-800000</v>
      </c>
      <c r="F102" s="527" t="str">
        <f t="shared" si="26"/>
        <v>800000(含)-1000000</v>
      </c>
      <c r="G102" s="527" t="str">
        <f t="shared" si="26"/>
        <v>1000000(含)-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8"/>
      <c r="Q102" s="453"/>
    </row>
    <row r="103" spans="1:17" s="422" customFormat="1">
      <c r="A103" s="542"/>
      <c r="B103" s="543"/>
      <c r="C103" s="544">
        <v>0</v>
      </c>
      <c r="D103" s="544">
        <v>200000</v>
      </c>
      <c r="E103" s="544">
        <v>400000</v>
      </c>
      <c r="F103" s="544">
        <v>800000</v>
      </c>
      <c r="G103" s="544">
        <v>1000000</v>
      </c>
      <c r="H103" s="544"/>
      <c r="I103" s="544"/>
      <c r="J103" s="545"/>
      <c r="K103" s="545"/>
      <c r="L103" s="546"/>
      <c r="M103" s="547"/>
      <c r="N103" s="935"/>
      <c r="O103" s="935"/>
      <c r="P103" s="1919"/>
      <c r="Q103" s="508"/>
    </row>
    <row r="104" spans="1:17" s="422" customFormat="1" ht="15.75" thickBot="1">
      <c r="A104" s="502"/>
      <c r="B104" s="492"/>
      <c r="C104" s="509">
        <v>100</v>
      </c>
      <c r="D104" s="485">
        <v>101</v>
      </c>
      <c r="E104" s="485">
        <v>102</v>
      </c>
      <c r="F104" s="485">
        <v>103</v>
      </c>
      <c r="G104" s="485">
        <v>104</v>
      </c>
      <c r="H104" s="485"/>
      <c r="I104" s="485"/>
      <c r="J104" s="485"/>
      <c r="K104" s="485"/>
      <c r="L104" s="485"/>
      <c r="M104" s="485"/>
      <c r="N104" s="934"/>
      <c r="O104" s="934"/>
      <c r="P104" s="1919"/>
      <c r="Q104" s="508"/>
    </row>
    <row r="105" spans="1:17" ht="15" thickTop="1">
      <c r="A105" s="548"/>
      <c r="B105" s="487" t="s">
        <v>1737</v>
      </c>
      <c r="C105" s="3855" t="s">
        <v>4727</v>
      </c>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18"/>
      <c r="Q106" s="453"/>
    </row>
    <row r="107" spans="1:17" ht="15" thickTop="1">
      <c r="A107" s="548"/>
      <c r="B107" s="487" t="s">
        <v>1738</v>
      </c>
      <c r="C107" s="532"/>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8"/>
      <c r="Q108" s="453"/>
    </row>
    <row r="109" spans="1:17" ht="15" thickTop="1">
      <c r="A109" s="548"/>
      <c r="B109" s="487" t="s">
        <v>1739</v>
      </c>
      <c r="C109" s="3855" t="s">
        <v>4729</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29">C110-$K36</f>
        <v>99</v>
      </c>
      <c r="E110" s="493">
        <f t="shared" si="29"/>
        <v>98</v>
      </c>
      <c r="F110" s="493">
        <f t="shared" si="29"/>
        <v>97</v>
      </c>
      <c r="G110" s="493">
        <f t="shared" si="29"/>
        <v>96</v>
      </c>
      <c r="H110" s="493">
        <f t="shared" si="29"/>
        <v>95</v>
      </c>
      <c r="I110" s="493">
        <f t="shared" si="29"/>
        <v>94</v>
      </c>
      <c r="J110" s="493">
        <f t="shared" si="29"/>
        <v>93</v>
      </c>
      <c r="K110" s="493">
        <f t="shared" si="29"/>
        <v>92</v>
      </c>
      <c r="L110" s="493">
        <f t="shared" si="29"/>
        <v>91</v>
      </c>
      <c r="M110" s="493">
        <f t="shared" si="29"/>
        <v>90</v>
      </c>
      <c r="N110" s="934"/>
      <c r="O110" s="934"/>
      <c r="P110" s="1918"/>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19"/>
      <c r="Q113" s="508"/>
    </row>
    <row r="114" spans="1:17" ht="15" thickTop="1">
      <c r="A114" s="548"/>
      <c r="B114" s="487" t="s">
        <v>1740</v>
      </c>
      <c r="C114" s="3855" t="s">
        <v>4731</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18"/>
      <c r="Q115" s="453"/>
    </row>
    <row r="116" spans="1:17" ht="15" thickTop="1">
      <c r="A116" s="548"/>
      <c r="B116" s="487" t="s">
        <v>1741</v>
      </c>
      <c r="C116" s="3855" t="s">
        <v>4732</v>
      </c>
      <c r="D116" s="503"/>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18"/>
      <c r="Q117" s="453"/>
    </row>
    <row r="118" spans="1:17" ht="15" thickTop="1">
      <c r="A118" s="548"/>
      <c r="B118" s="487" t="s">
        <v>1742</v>
      </c>
      <c r="C118" s="532"/>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8"/>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1743</v>
      </c>
      <c r="C122" s="3855" t="s">
        <v>4729</v>
      </c>
      <c r="D122" s="3855" t="s">
        <v>4737</v>
      </c>
      <c r="E122" s="3855" t="s">
        <v>4738</v>
      </c>
      <c r="F122" s="3867" t="s">
        <v>4740</v>
      </c>
      <c r="G122" s="532"/>
      <c r="H122" s="532"/>
      <c r="I122" s="532"/>
      <c r="J122" s="532"/>
      <c r="K122" s="533"/>
      <c r="L122" s="534"/>
      <c r="M122" s="535"/>
      <c r="N122" s="933"/>
      <c r="O122" s="933"/>
      <c r="P122" s="1918"/>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4"/>
      <c r="O123" s="934"/>
      <c r="P123" s="1918"/>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19"/>
      <c r="Q126" s="508"/>
    </row>
    <row r="127" spans="1:17" s="422" customFormat="1" ht="15.75" thickBot="1">
      <c r="A127" s="502"/>
      <c r="B127" s="492"/>
      <c r="C127" s="509"/>
      <c r="D127" s="485"/>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1745</v>
      </c>
    </row>
    <row r="137" spans="1:17" ht="15">
      <c r="B137" s="1926" t="s">
        <v>1746</v>
      </c>
      <c r="C137" s="1927"/>
      <c r="D137" s="1927"/>
      <c r="E137" s="1927"/>
      <c r="F137" s="1927"/>
      <c r="G137" s="1928"/>
      <c r="H137" s="1929"/>
      <c r="I137" s="1930" t="s">
        <v>1747</v>
      </c>
      <c r="J137" s="1927"/>
      <c r="K137" s="1931"/>
    </row>
    <row r="138" spans="1:17" ht="15">
      <c r="B138" s="1932"/>
      <c r="C138" s="137" t="s">
        <v>1748</v>
      </c>
      <c r="D138" s="137" t="s">
        <v>1749</v>
      </c>
      <c r="E138" s="1933" t="s">
        <v>1750</v>
      </c>
      <c r="F138" s="1934" t="s">
        <v>1751</v>
      </c>
      <c r="G138" s="137" t="s">
        <v>1749</v>
      </c>
      <c r="H138" s="138" t="s">
        <v>1750</v>
      </c>
      <c r="I138" s="1935"/>
      <c r="J138" s="137" t="s">
        <v>1752</v>
      </c>
      <c r="K138" s="138" t="s">
        <v>1753</v>
      </c>
    </row>
    <row r="139" spans="1:17" ht="15">
      <c r="B139" s="867">
        <v>6</v>
      </c>
      <c r="C139" s="868">
        <v>96</v>
      </c>
      <c r="D139" s="1936" t="s">
        <v>1754</v>
      </c>
      <c r="E139" s="869">
        <v>100</v>
      </c>
      <c r="F139" s="870">
        <v>102.5</v>
      </c>
      <c r="G139" s="1936" t="s">
        <v>1754</v>
      </c>
      <c r="H139" s="871">
        <v>105</v>
      </c>
      <c r="I139" s="1937" t="s">
        <v>1755</v>
      </c>
      <c r="J139" s="868">
        <v>20</v>
      </c>
      <c r="K139" s="872">
        <f>C145/(J139-2)</f>
        <v>4.0555555555555553E-3</v>
      </c>
    </row>
    <row r="140" spans="1:17" ht="15">
      <c r="B140" s="873">
        <v>5</v>
      </c>
      <c r="C140" s="874">
        <v>100</v>
      </c>
      <c r="D140" s="874"/>
      <c r="E140" s="875"/>
      <c r="F140" s="876">
        <v>102</v>
      </c>
      <c r="G140" s="874"/>
      <c r="H140" s="877"/>
      <c r="I140" s="1938" t="s">
        <v>1756</v>
      </c>
      <c r="J140" s="271">
        <f>ROUNDUP((J139-1)/2,0)</f>
        <v>10</v>
      </c>
      <c r="K140" s="878">
        <v>100</v>
      </c>
    </row>
    <row r="141" spans="1:17" ht="15">
      <c r="B141" s="873">
        <v>4</v>
      </c>
      <c r="C141" s="874">
        <v>102</v>
      </c>
      <c r="D141" s="874"/>
      <c r="E141" s="875"/>
      <c r="F141" s="876">
        <v>101.5</v>
      </c>
      <c r="G141" s="874"/>
      <c r="H141" s="877"/>
      <c r="I141" s="1938" t="s">
        <v>1757</v>
      </c>
      <c r="J141" s="271">
        <v>1</v>
      </c>
      <c r="K141" s="879">
        <f>ROUND(100+(J141-J140)*K139*100,1)</f>
        <v>96.4</v>
      </c>
    </row>
    <row r="142" spans="1:17" ht="15">
      <c r="B142" s="873">
        <v>3</v>
      </c>
      <c r="C142" s="874">
        <v>103</v>
      </c>
      <c r="D142" s="874"/>
      <c r="E142" s="875"/>
      <c r="F142" s="876">
        <v>101</v>
      </c>
      <c r="G142" s="874"/>
      <c r="H142" s="877"/>
      <c r="I142" s="1938" t="s">
        <v>1758</v>
      </c>
      <c r="J142" s="271">
        <f>J139</f>
        <v>20</v>
      </c>
      <c r="K142" s="880">
        <v>95</v>
      </c>
    </row>
    <row r="143" spans="1:17" ht="15">
      <c r="B143" s="873">
        <v>2</v>
      </c>
      <c r="C143" s="874">
        <v>100</v>
      </c>
      <c r="D143" s="874"/>
      <c r="E143" s="875"/>
      <c r="F143" s="876">
        <v>100.5</v>
      </c>
      <c r="G143" s="874"/>
      <c r="H143" s="877"/>
      <c r="I143" s="1938" t="s">
        <v>1759</v>
      </c>
      <c r="J143" s="874">
        <v>15</v>
      </c>
      <c r="K143" s="879">
        <f>ROUND(100+(J143-J140)*K139*100,1)</f>
        <v>102</v>
      </c>
    </row>
    <row r="144" spans="1:17" ht="15">
      <c r="B144" s="873">
        <v>1</v>
      </c>
      <c r="C144" s="874">
        <v>98</v>
      </c>
      <c r="D144" s="1939" t="s">
        <v>1760</v>
      </c>
      <c r="E144" s="875">
        <v>102</v>
      </c>
      <c r="F144" s="881">
        <v>100</v>
      </c>
      <c r="G144" s="1939" t="s">
        <v>1760</v>
      </c>
      <c r="H144" s="877">
        <v>105</v>
      </c>
      <c r="I144" s="1938" t="s">
        <v>1759</v>
      </c>
      <c r="J144" s="874">
        <v>18</v>
      </c>
      <c r="K144" s="879">
        <f>ROUND(100+(J144-J140)*K139*100,1)</f>
        <v>103.2</v>
      </c>
    </row>
    <row r="145" spans="2:11" ht="15.75" thickBot="1">
      <c r="B145" s="1940" t="s">
        <v>1761</v>
      </c>
      <c r="C145" s="882">
        <f>ROUND(MAX(C139:C144)/MIN(C139:C144)-1,3)</f>
        <v>7.2999999999999995E-2</v>
      </c>
      <c r="D145" s="883"/>
      <c r="E145" s="883"/>
      <c r="F145" s="1941" t="s">
        <v>1762</v>
      </c>
      <c r="G145" s="1942"/>
      <c r="H145" s="1943"/>
      <c r="I145" s="1944" t="s">
        <v>1759</v>
      </c>
      <c r="J145" s="884">
        <v>8</v>
      </c>
      <c r="K145" s="885">
        <f>ROUND(100+(J145-J140)*K139*100,1)</f>
        <v>99.2</v>
      </c>
    </row>
    <row r="147" spans="2:11">
      <c r="B147" s="1925" t="s">
        <v>1763</v>
      </c>
    </row>
    <row r="148" spans="2:11">
      <c r="B148" s="1925"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北京融泰房地产开发有限公司：</v>
      </c>
    </row>
    <row r="4" spans="1:1" ht="36">
      <c r="A4" s="1479" t="str">
        <f>"受贵公司委托，我公司对"&amp;项目基本情况!S1&amp;"进行了预评估。"</f>
        <v>受贵公司委托，我公司对北京市通州区马驹桥镇国家环保产业园区YZ00-073-6004、6006地块R2二类居住用地房地产抵押价值进行了预评估。</v>
      </c>
    </row>
    <row r="5" spans="1:1" ht="18.75">
      <c r="A5" s="1480" t="s">
        <v>899</v>
      </c>
    </row>
    <row r="6" spans="1:1" ht="18.75">
      <c r="A6" s="1481" t="s">
        <v>900</v>
      </c>
    </row>
    <row r="7" spans="1:1" ht="7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马驹桥镇国家环保产业园区YZ00-073-6004、6006地块R2二类居住用地房地产，为北京融泰房地产开发有限公司所有。根据《国有土地使用证》[]，估价对象（分摊）出让国有建设用地使用权面积为15906.02平方米，建筑面积为57457.87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马驹桥镇国家环保产业园区YZ00-073-6004、6006地块R2二类居住用地房地产,属北京融泰房地产开发有限公司开发建设的，该项目尚在开发建设中。根据《国有土地使用证》[]，估价对象（分摊）出让国有建设用地使用权面积为15906.02平方米，规划建筑面积为57457.87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为估价委托人在向建行城建支行办理贷款手续过程中，确定房地产抵押贷款额度提供参考依据而评估房地产抵押价值。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2023年4月19日（评估专业人员实地查勘之日）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本次评估采用的主估价方法为成本法和假设开发法。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c r="E1" s="3420"/>
      <c r="F1" s="1878"/>
      <c r="G1" s="1234" t="s">
        <v>1766</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28"/>
      <c r="M2" s="2729"/>
      <c r="N2" s="2729"/>
      <c r="O2" s="2729"/>
      <c r="P2" s="1948"/>
      <c r="Q2" s="912"/>
      <c r="R2" s="912"/>
      <c r="S2" s="912"/>
      <c r="T2" s="912"/>
      <c r="U2" s="912"/>
      <c r="V2" s="912"/>
      <c r="W2" s="912"/>
      <c r="X2" s="912"/>
      <c r="Y2" s="912"/>
      <c r="Z2" s="912"/>
      <c r="AA2" s="912"/>
      <c r="AB2" s="912"/>
      <c r="AC2" s="1949"/>
    </row>
    <row r="3" spans="1:29" s="352" customFormat="1" ht="28.5" customHeight="1" thickBot="1">
      <c r="A3" s="203" t="s">
        <v>1463</v>
      </c>
      <c r="B3" s="558">
        <f>IF(C2="——",C49,ROUND(B2*10000/D3,0))</f>
        <v>0</v>
      </c>
      <c r="C3" s="354" t="s">
        <v>1767</v>
      </c>
      <c r="D3" s="353">
        <f>IF(D1="",'数据-汇总表'!E3,SUMIF('数据-汇总表'!$C19:$C33,D1,'数据-汇总表'!$E19:$E33))</f>
        <v>57457.869999999995</v>
      </c>
      <c r="E3" s="1950"/>
      <c r="F3" s="909"/>
      <c r="G3" s="908"/>
      <c r="H3" s="908"/>
      <c r="I3" s="908"/>
      <c r="J3" s="908"/>
      <c r="K3" s="910"/>
      <c r="L3" s="2728"/>
      <c r="M3" s="2729"/>
      <c r="N3" s="2729"/>
      <c r="O3" s="2729"/>
      <c r="P3" s="1948"/>
      <c r="Q3" s="912"/>
      <c r="R3" s="912"/>
      <c r="S3" s="912"/>
      <c r="T3" s="912"/>
      <c r="U3" s="912"/>
      <c r="V3" s="912"/>
      <c r="W3" s="912"/>
      <c r="X3" s="912"/>
      <c r="Y3" s="912"/>
      <c r="Z3" s="912"/>
      <c r="AA3" s="912"/>
      <c r="AB3" s="912"/>
      <c r="AC3" s="1950"/>
    </row>
    <row r="4" spans="1:29" ht="15">
      <c r="A4" s="355" t="s">
        <v>1768</v>
      </c>
      <c r="B4" s="356"/>
      <c r="C4" s="3724" t="s">
        <v>1769</v>
      </c>
      <c r="D4" s="3725"/>
      <c r="E4" s="3726" t="s">
        <v>1770</v>
      </c>
      <c r="F4" s="3727"/>
      <c r="G4" s="3724" t="s">
        <v>1771</v>
      </c>
      <c r="H4" s="3725"/>
      <c r="I4" s="3724" t="s">
        <v>1772</v>
      </c>
      <c r="J4" s="3725"/>
      <c r="K4" s="559" t="s">
        <v>1773</v>
      </c>
      <c r="L4" s="2709"/>
      <c r="M4" s="2710"/>
      <c r="N4" s="2710"/>
      <c r="O4" s="2710"/>
      <c r="P4" s="3728" t="s">
        <v>1774</v>
      </c>
      <c r="Q4" s="3729"/>
      <c r="R4" s="3711" t="s">
        <v>1770</v>
      </c>
      <c r="S4" s="3712"/>
      <c r="T4" s="3711" t="s">
        <v>1771</v>
      </c>
      <c r="U4" s="3712"/>
      <c r="V4" s="3736" t="s">
        <v>1772</v>
      </c>
      <c r="W4" s="3736"/>
      <c r="X4" s="1354"/>
      <c r="Y4" s="3711" t="s">
        <v>1774</v>
      </c>
      <c r="Z4" s="3712"/>
      <c r="AA4" s="3706" t="s">
        <v>1770</v>
      </c>
      <c r="AB4" s="3736" t="s">
        <v>1771</v>
      </c>
      <c r="AC4" s="3706" t="s">
        <v>1772</v>
      </c>
    </row>
    <row r="5" spans="1:29" ht="15">
      <c r="A5" s="358"/>
      <c r="B5" s="359"/>
      <c r="C5" s="3717" t="s">
        <v>1672</v>
      </c>
      <c r="D5" s="3718"/>
      <c r="E5" s="3715" t="s">
        <v>1673</v>
      </c>
      <c r="F5" s="3716"/>
      <c r="G5" s="3717" t="s">
        <v>1674</v>
      </c>
      <c r="H5" s="3718"/>
      <c r="I5" s="3717" t="s">
        <v>1675</v>
      </c>
      <c r="J5" s="3718"/>
      <c r="K5" s="559"/>
      <c r="L5" s="2709"/>
      <c r="M5" s="2710"/>
      <c r="N5" s="2710"/>
      <c r="O5" s="2710"/>
      <c r="P5" s="3730"/>
      <c r="Q5" s="3731"/>
      <c r="R5" s="3713"/>
      <c r="S5" s="3714"/>
      <c r="T5" s="3713"/>
      <c r="U5" s="3714"/>
      <c r="V5" s="3736"/>
      <c r="W5" s="3736"/>
      <c r="X5" s="1354"/>
      <c r="Y5" s="3713"/>
      <c r="Z5" s="3714"/>
      <c r="AA5" s="3707"/>
      <c r="AB5" s="3736"/>
      <c r="AC5" s="3707"/>
    </row>
    <row r="6" spans="1:29" ht="15.75" thickBot="1">
      <c r="A6" s="360"/>
      <c r="B6" s="361"/>
      <c r="C6" s="3719" t="s">
        <v>1676</v>
      </c>
      <c r="D6" s="3720"/>
      <c r="E6" s="3721" t="s">
        <v>1676</v>
      </c>
      <c r="F6" s="3722"/>
      <c r="G6" s="3719" t="s">
        <v>1676</v>
      </c>
      <c r="H6" s="3720"/>
      <c r="I6" s="3719" t="s">
        <v>1676</v>
      </c>
      <c r="J6" s="3720"/>
      <c r="K6" s="559" t="s">
        <v>1677</v>
      </c>
      <c r="L6" s="2709"/>
      <c r="M6" s="2710"/>
      <c r="N6" s="2710"/>
      <c r="O6" s="2710"/>
      <c r="P6" s="3732"/>
      <c r="Q6" s="3733"/>
      <c r="R6" s="3713"/>
      <c r="S6" s="3714"/>
      <c r="T6" s="3734"/>
      <c r="U6" s="3735"/>
      <c r="V6" s="3736"/>
      <c r="W6" s="3736"/>
      <c r="X6" s="1354"/>
      <c r="Y6" s="3734"/>
      <c r="Z6" s="3735"/>
      <c r="AA6" s="3708"/>
      <c r="AB6" s="3736"/>
      <c r="AC6" s="3708"/>
    </row>
    <row r="7" spans="1:29" s="108" customFormat="1" ht="15.75" thickBot="1">
      <c r="A7" s="362" t="s">
        <v>1678</v>
      </c>
      <c r="B7" s="363"/>
      <c r="C7" s="364">
        <f>'数据-取费表'!B2</f>
        <v>45035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09" t="s">
        <v>1679</v>
      </c>
      <c r="Q7" s="3737"/>
      <c r="R7" s="701" t="s">
        <v>14</v>
      </c>
      <c r="S7" s="702">
        <f t="shared" ref="S7:S15" si="0">F7</f>
        <v>0</v>
      </c>
      <c r="T7" s="701" t="s">
        <v>14</v>
      </c>
      <c r="U7" s="702">
        <f t="shared" ref="U7:U15" si="1">H7</f>
        <v>0</v>
      </c>
      <c r="V7" s="701" t="s">
        <v>14</v>
      </c>
      <c r="W7" s="702">
        <f t="shared" ref="W7:W15" si="2">J7</f>
        <v>0</v>
      </c>
      <c r="X7" s="703"/>
      <c r="Y7" s="3709" t="s">
        <v>1679</v>
      </c>
      <c r="Z7" s="3710"/>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709" t="s">
        <v>1682</v>
      </c>
      <c r="Q8" s="3710"/>
      <c r="R8" s="701" t="s">
        <v>14</v>
      </c>
      <c r="S8" s="702">
        <f t="shared" si="0"/>
        <v>100</v>
      </c>
      <c r="T8" s="701" t="s">
        <v>14</v>
      </c>
      <c r="U8" s="702">
        <f t="shared" si="1"/>
        <v>100</v>
      </c>
      <c r="V8" s="701" t="s">
        <v>14</v>
      </c>
      <c r="W8" s="702">
        <f t="shared" si="2"/>
        <v>100</v>
      </c>
      <c r="X8" s="703"/>
      <c r="Y8" s="3709" t="s">
        <v>1682</v>
      </c>
      <c r="Z8" s="3710"/>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723" t="s">
        <v>1685</v>
      </c>
      <c r="Q9" s="1342" t="str">
        <f t="shared" ref="Q9:Q15" si="6">B9</f>
        <v>用途</v>
      </c>
      <c r="R9" s="701" t="s">
        <v>14</v>
      </c>
      <c r="S9" s="702">
        <f t="shared" si="0"/>
        <v>100</v>
      </c>
      <c r="T9" s="701" t="s">
        <v>14</v>
      </c>
      <c r="U9" s="702">
        <f t="shared" si="1"/>
        <v>100</v>
      </c>
      <c r="V9" s="701" t="s">
        <v>14</v>
      </c>
      <c r="W9" s="702">
        <f t="shared" si="2"/>
        <v>100</v>
      </c>
      <c r="X9" s="703"/>
      <c r="Y9" s="3653" t="s">
        <v>1686</v>
      </c>
      <c r="Z9" s="52" t="str">
        <f t="shared" ref="Z9:Z15" si="7">Q9</f>
        <v>用途</v>
      </c>
      <c r="AA9" s="704">
        <f t="shared" si="3"/>
        <v>1</v>
      </c>
      <c r="AB9" s="704">
        <f t="shared" si="4"/>
        <v>1</v>
      </c>
      <c r="AC9" s="704">
        <f t="shared" si="5"/>
        <v>1</v>
      </c>
    </row>
    <row r="10" spans="1:29" s="378" customFormat="1" ht="27">
      <c r="A10" s="374"/>
      <c r="B10" s="375" t="s">
        <v>1687</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723"/>
      <c r="Q10" s="1342"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723"/>
      <c r="Q11" s="1342" t="str">
        <f t="shared" si="6"/>
        <v>容积率</v>
      </c>
      <c r="R11" s="701" t="s">
        <v>14</v>
      </c>
      <c r="S11" s="702" t="e">
        <f t="shared" si="0"/>
        <v>#N/A</v>
      </c>
      <c r="T11" s="701" t="s">
        <v>14</v>
      </c>
      <c r="U11" s="702" t="e">
        <f t="shared" si="1"/>
        <v>#N/A</v>
      </c>
      <c r="V11" s="701" t="s">
        <v>14</v>
      </c>
      <c r="W11" s="702" t="e">
        <f t="shared" si="2"/>
        <v>#N/A</v>
      </c>
      <c r="X11" s="703"/>
      <c r="Y11" s="3653"/>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23"/>
      <c r="Q12" s="1342">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23"/>
      <c r="Q13" s="1342">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23"/>
      <c r="Q14" s="1342">
        <f t="shared" si="6"/>
        <v>111</v>
      </c>
      <c r="R14" s="701" t="s">
        <v>14</v>
      </c>
      <c r="S14" s="702">
        <f t="shared" si="0"/>
        <v>100</v>
      </c>
      <c r="T14" s="701" t="s">
        <v>14</v>
      </c>
      <c r="U14" s="702">
        <f t="shared" si="1"/>
        <v>100</v>
      </c>
      <c r="V14" s="701" t="s">
        <v>14</v>
      </c>
      <c r="W14" s="702">
        <f t="shared" si="2"/>
        <v>100</v>
      </c>
      <c r="X14" s="703"/>
      <c r="Y14" s="3653"/>
      <c r="Z14" s="52">
        <f t="shared" si="7"/>
        <v>111</v>
      </c>
      <c r="AA14" s="704">
        <f t="shared" si="3"/>
        <v>1</v>
      </c>
      <c r="AB14" s="704">
        <f t="shared" si="4"/>
        <v>1</v>
      </c>
      <c r="AC14" s="704">
        <f t="shared" si="5"/>
        <v>1</v>
      </c>
    </row>
    <row r="15" spans="1:29" ht="71.25">
      <c r="A15" s="391" t="s">
        <v>1689</v>
      </c>
      <c r="B15" s="61" t="s">
        <v>1776</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50" t="s">
        <v>1690</v>
      </c>
      <c r="Q15" s="1351" t="str">
        <f t="shared" si="6"/>
        <v>商业繁华度</v>
      </c>
      <c r="R15" s="705" t="s">
        <v>14</v>
      </c>
      <c r="S15" s="706">
        <f t="shared" si="0"/>
        <v>100</v>
      </c>
      <c r="T15" s="705" t="s">
        <v>14</v>
      </c>
      <c r="U15" s="706">
        <f t="shared" si="1"/>
        <v>100</v>
      </c>
      <c r="V15" s="705" t="s">
        <v>14</v>
      </c>
      <c r="W15" s="706">
        <f t="shared" si="2"/>
        <v>100</v>
      </c>
      <c r="X15" s="1354"/>
      <c r="Y15" s="3743"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6"/>
      <c r="M16" s="2710"/>
      <c r="N16" s="2710"/>
      <c r="O16" s="2710"/>
      <c r="P16" s="3751"/>
      <c r="Q16" s="1351"/>
      <c r="R16" s="705"/>
      <c r="S16" s="706"/>
      <c r="T16" s="705"/>
      <c r="U16" s="706"/>
      <c r="V16" s="705"/>
      <c r="W16" s="706"/>
      <c r="X16" s="1354"/>
      <c r="Y16" s="3744"/>
      <c r="Z16" s="1355"/>
      <c r="AA16" s="1352">
        <v>1</v>
      </c>
      <c r="AB16" s="1352">
        <v>1</v>
      </c>
      <c r="AC16" s="1352">
        <v>1</v>
      </c>
    </row>
    <row r="17" spans="1:29" ht="85.5">
      <c r="A17" s="379"/>
      <c r="B17" s="402" t="s">
        <v>1258</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51"/>
      <c r="Q17" s="1351" t="str">
        <f>B17</f>
        <v>交通便捷度</v>
      </c>
      <c r="R17" s="705" t="s">
        <v>14</v>
      </c>
      <c r="S17" s="706">
        <f>F17</f>
        <v>100</v>
      </c>
      <c r="T17" s="705" t="s">
        <v>14</v>
      </c>
      <c r="U17" s="706">
        <f>H17</f>
        <v>100</v>
      </c>
      <c r="V17" s="705" t="s">
        <v>14</v>
      </c>
      <c r="W17" s="706">
        <f>J17</f>
        <v>100</v>
      </c>
      <c r="X17" s="1354"/>
      <c r="Y17" s="3744"/>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6"/>
      <c r="M18" s="2710"/>
      <c r="N18" s="2710"/>
      <c r="O18" s="2710"/>
      <c r="P18" s="3751"/>
      <c r="Q18" s="1351"/>
      <c r="R18" s="705"/>
      <c r="S18" s="706"/>
      <c r="T18" s="705"/>
      <c r="U18" s="706"/>
      <c r="V18" s="705"/>
      <c r="W18" s="706"/>
      <c r="X18" s="1354"/>
      <c r="Y18" s="3744"/>
      <c r="Z18" s="1355"/>
      <c r="AA18" s="1352">
        <v>1</v>
      </c>
      <c r="AB18" s="1352">
        <v>1</v>
      </c>
      <c r="AC18" s="1352">
        <v>1</v>
      </c>
    </row>
    <row r="19" spans="1:29" ht="42.75">
      <c r="A19" s="379"/>
      <c r="B19" s="402" t="s">
        <v>1777</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51"/>
      <c r="Q19" s="1351" t="str">
        <f>B19</f>
        <v>公共配套设施</v>
      </c>
      <c r="R19" s="705" t="s">
        <v>14</v>
      </c>
      <c r="S19" s="706">
        <f>F19</f>
        <v>100</v>
      </c>
      <c r="T19" s="705" t="s">
        <v>14</v>
      </c>
      <c r="U19" s="706">
        <f>H19</f>
        <v>100</v>
      </c>
      <c r="V19" s="705" t="s">
        <v>14</v>
      </c>
      <c r="W19" s="706">
        <f>J19</f>
        <v>100</v>
      </c>
      <c r="X19" s="1354"/>
      <c r="Y19" s="3744"/>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6"/>
      <c r="M20" s="2710"/>
      <c r="N20" s="2710"/>
      <c r="O20" s="2710"/>
      <c r="P20" s="3751"/>
      <c r="Q20" s="1351"/>
      <c r="R20" s="705"/>
      <c r="S20" s="706"/>
      <c r="T20" s="705"/>
      <c r="U20" s="706"/>
      <c r="V20" s="705"/>
      <c r="W20" s="706"/>
      <c r="X20" s="1354"/>
      <c r="Y20" s="3744"/>
      <c r="Z20" s="1355"/>
      <c r="AA20" s="1352">
        <v>1</v>
      </c>
      <c r="AB20" s="1352">
        <v>1</v>
      </c>
      <c r="AC20" s="1352">
        <v>1</v>
      </c>
    </row>
    <row r="21" spans="1:29" ht="28.5">
      <c r="A21" s="379"/>
      <c r="B21" s="1131" t="s">
        <v>1778</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51"/>
      <c r="Q21" s="1351" t="str">
        <f>B21</f>
        <v>基础设施水平</v>
      </c>
      <c r="R21" s="705" t="s">
        <v>14</v>
      </c>
      <c r="S21" s="706">
        <f>F21</f>
        <v>100</v>
      </c>
      <c r="T21" s="705" t="s">
        <v>14</v>
      </c>
      <c r="U21" s="706">
        <f>H21</f>
        <v>100</v>
      </c>
      <c r="V21" s="705" t="s">
        <v>14</v>
      </c>
      <c r="W21" s="706">
        <f>J21</f>
        <v>100</v>
      </c>
      <c r="X21" s="1354"/>
      <c r="Y21" s="3744"/>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6"/>
      <c r="M22" s="2710"/>
      <c r="N22" s="2710"/>
      <c r="O22" s="2710"/>
      <c r="P22" s="3751"/>
      <c r="Q22" s="1351"/>
      <c r="R22" s="705"/>
      <c r="S22" s="706"/>
      <c r="T22" s="705"/>
      <c r="U22" s="706"/>
      <c r="V22" s="705"/>
      <c r="W22" s="706"/>
      <c r="X22" s="1354"/>
      <c r="Y22" s="3744"/>
      <c r="Z22" s="1355"/>
      <c r="AA22" s="1352">
        <v>1</v>
      </c>
      <c r="AB22" s="1352">
        <v>1</v>
      </c>
      <c r="AC22" s="1352">
        <v>1</v>
      </c>
    </row>
    <row r="23" spans="1:29" ht="57">
      <c r="A23" s="379"/>
      <c r="B23" s="402" t="s">
        <v>1260</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51"/>
      <c r="Q23" s="1351" t="str">
        <f>B23</f>
        <v>自然及人文环境</v>
      </c>
      <c r="R23" s="705" t="s">
        <v>14</v>
      </c>
      <c r="S23" s="706">
        <f>F23</f>
        <v>100</v>
      </c>
      <c r="T23" s="705" t="s">
        <v>14</v>
      </c>
      <c r="U23" s="706">
        <f>H23</f>
        <v>100</v>
      </c>
      <c r="V23" s="705" t="s">
        <v>14</v>
      </c>
      <c r="W23" s="706">
        <f>J23</f>
        <v>100</v>
      </c>
      <c r="X23" s="1354"/>
      <c r="Y23" s="3744"/>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6"/>
      <c r="M24" s="2710"/>
      <c r="N24" s="2710"/>
      <c r="O24" s="2710"/>
      <c r="P24" s="3751"/>
      <c r="Q24" s="1351"/>
      <c r="R24" s="705"/>
      <c r="S24" s="706"/>
      <c r="T24" s="705"/>
      <c r="U24" s="706"/>
      <c r="V24" s="705"/>
      <c r="W24" s="706"/>
      <c r="X24" s="1354"/>
      <c r="Y24" s="3744"/>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51"/>
      <c r="Q25" s="1351" t="str">
        <f t="shared" ref="Q25:Q46" si="11">B25</f>
        <v>临街状况</v>
      </c>
      <c r="R25" s="705" t="s">
        <v>14</v>
      </c>
      <c r="S25" s="706">
        <f>F25</f>
        <v>100</v>
      </c>
      <c r="T25" s="705" t="s">
        <v>14</v>
      </c>
      <c r="U25" s="706">
        <f>H25</f>
        <v>100</v>
      </c>
      <c r="V25" s="705" t="s">
        <v>14</v>
      </c>
      <c r="W25" s="706">
        <f>J25</f>
        <v>100</v>
      </c>
      <c r="X25" s="1354"/>
      <c r="Y25" s="3744"/>
      <c r="Z25" s="1355" t="str">
        <f>Q25</f>
        <v>临街状况</v>
      </c>
      <c r="AA25" s="1352">
        <f t="shared" si="3"/>
        <v>1</v>
      </c>
      <c r="AB25" s="1352">
        <f t="shared" si="4"/>
        <v>1</v>
      </c>
      <c r="AC25" s="1352">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51"/>
      <c r="Q26" s="1351" t="str">
        <f t="shared" si="11"/>
        <v>平面位置/可视性</v>
      </c>
      <c r="R26" s="705" t="s">
        <v>14</v>
      </c>
      <c r="S26" s="706">
        <f>F26</f>
        <v>100</v>
      </c>
      <c r="T26" s="705" t="s">
        <v>14</v>
      </c>
      <c r="U26" s="706">
        <f>H26</f>
        <v>100</v>
      </c>
      <c r="V26" s="705" t="s">
        <v>14</v>
      </c>
      <c r="W26" s="706">
        <f>J26</f>
        <v>100</v>
      </c>
      <c r="X26" s="1354"/>
      <c r="Y26" s="3744"/>
      <c r="Z26" s="1355" t="str">
        <f>Q26</f>
        <v>平面位置/可视性</v>
      </c>
      <c r="AA26" s="1352">
        <f t="shared" si="3"/>
        <v>1</v>
      </c>
      <c r="AB26" s="1352">
        <f t="shared" si="4"/>
        <v>1</v>
      </c>
      <c r="AC26" s="1352">
        <f t="shared" si="5"/>
        <v>1</v>
      </c>
    </row>
    <row r="27" spans="1:29" s="108" customFormat="1" ht="15">
      <c r="A27" s="382"/>
      <c r="B27" s="402" t="s">
        <v>1781</v>
      </c>
      <c r="C27" s="1952"/>
      <c r="D27" s="413">
        <v>100</v>
      </c>
      <c r="E27" s="1952"/>
      <c r="F27" s="415">
        <f>SUMIF(90:90,E27,91:91)-SUMIF(90:90,C27,91:91)+100</f>
        <v>100</v>
      </c>
      <c r="G27" s="1952"/>
      <c r="H27" s="413">
        <f>SUMIF(90:90,G27,91:91)-SUMIF(90:90,C27,91:91)+100</f>
        <v>100</v>
      </c>
      <c r="I27" s="1952"/>
      <c r="J27" s="413">
        <f>SUMIF(90:90,I27,91:91)-SUMIF(90:90,C27,91:91)+100</f>
        <v>100</v>
      </c>
      <c r="K27" s="561"/>
      <c r="L27" s="2711"/>
      <c r="M27" s="2712"/>
      <c r="N27" s="2712"/>
      <c r="O27" s="2712"/>
      <c r="P27" s="3751"/>
      <c r="Q27" s="1342" t="str">
        <f t="shared" si="11"/>
        <v>人流量</v>
      </c>
      <c r="R27" s="701" t="s">
        <v>14</v>
      </c>
      <c r="S27" s="702">
        <f>F27</f>
        <v>100</v>
      </c>
      <c r="T27" s="701" t="s">
        <v>14</v>
      </c>
      <c r="U27" s="702">
        <f>H27</f>
        <v>100</v>
      </c>
      <c r="V27" s="701" t="s">
        <v>14</v>
      </c>
      <c r="W27" s="702">
        <f>J27</f>
        <v>100</v>
      </c>
      <c r="X27" s="703"/>
      <c r="Y27" s="3744"/>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51"/>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44"/>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51"/>
      <c r="Q29" s="1351">
        <f t="shared" si="11"/>
        <v>111</v>
      </c>
      <c r="R29" s="705" t="s">
        <v>14</v>
      </c>
      <c r="S29" s="706">
        <f t="shared" si="12"/>
        <v>100</v>
      </c>
      <c r="T29" s="705" t="s">
        <v>14</v>
      </c>
      <c r="U29" s="706">
        <f t="shared" si="13"/>
        <v>100</v>
      </c>
      <c r="V29" s="705" t="s">
        <v>14</v>
      </c>
      <c r="W29" s="706">
        <f t="shared" si="14"/>
        <v>100</v>
      </c>
      <c r="X29" s="1354"/>
      <c r="Y29" s="3744"/>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51"/>
      <c r="Q30" s="1351">
        <f t="shared" si="11"/>
        <v>111</v>
      </c>
      <c r="R30" s="705" t="s">
        <v>14</v>
      </c>
      <c r="S30" s="706">
        <f t="shared" si="12"/>
        <v>100</v>
      </c>
      <c r="T30" s="705" t="s">
        <v>14</v>
      </c>
      <c r="U30" s="706">
        <f t="shared" si="13"/>
        <v>100</v>
      </c>
      <c r="V30" s="705" t="s">
        <v>14</v>
      </c>
      <c r="W30" s="706">
        <f t="shared" si="14"/>
        <v>100</v>
      </c>
      <c r="X30" s="1354"/>
      <c r="Y30" s="3744"/>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51"/>
      <c r="Q31" s="1351">
        <f t="shared" si="11"/>
        <v>111</v>
      </c>
      <c r="R31" s="705" t="s">
        <v>14</v>
      </c>
      <c r="S31" s="706">
        <f t="shared" si="12"/>
        <v>100</v>
      </c>
      <c r="T31" s="705" t="s">
        <v>14</v>
      </c>
      <c r="U31" s="706">
        <f t="shared" si="13"/>
        <v>100</v>
      </c>
      <c r="V31" s="705" t="s">
        <v>14</v>
      </c>
      <c r="W31" s="706">
        <f t="shared" si="14"/>
        <v>100</v>
      </c>
      <c r="X31" s="1354"/>
      <c r="Y31" s="3744"/>
      <c r="Z31" s="1355">
        <f t="shared" si="15"/>
        <v>111</v>
      </c>
      <c r="AA31" s="1352">
        <f t="shared" si="3"/>
        <v>1</v>
      </c>
      <c r="AB31" s="1352">
        <f t="shared" si="4"/>
        <v>1</v>
      </c>
      <c r="AC31" s="1352">
        <f t="shared" si="5"/>
        <v>1</v>
      </c>
    </row>
    <row r="32" spans="1:29" ht="15">
      <c r="A32" s="391" t="s">
        <v>1693</v>
      </c>
      <c r="B32" s="63" t="s">
        <v>1783</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6"/>
      <c r="M32" s="2710"/>
      <c r="N32" s="2710"/>
      <c r="O32" s="2710"/>
      <c r="P32" s="3745" t="s">
        <v>1695</v>
      </c>
      <c r="Q32" s="1351" t="str">
        <f t="shared" si="11"/>
        <v>商业类型</v>
      </c>
      <c r="R32" s="705" t="s">
        <v>14</v>
      </c>
      <c r="S32" s="706">
        <f t="shared" si="12"/>
        <v>100</v>
      </c>
      <c r="T32" s="705" t="s">
        <v>14</v>
      </c>
      <c r="U32" s="706">
        <f t="shared" si="13"/>
        <v>100</v>
      </c>
      <c r="V32" s="705" t="s">
        <v>14</v>
      </c>
      <c r="W32" s="706">
        <f t="shared" si="14"/>
        <v>100</v>
      </c>
      <c r="X32" s="1354"/>
      <c r="Y32" s="3748"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46"/>
      <c r="Q33" s="707" t="str">
        <f t="shared" si="11"/>
        <v>项目建筑规模</v>
      </c>
      <c r="R33" s="708" t="s">
        <v>14</v>
      </c>
      <c r="S33" s="709" t="e">
        <f t="shared" si="12"/>
        <v>#N/A</v>
      </c>
      <c r="T33" s="708" t="s">
        <v>14</v>
      </c>
      <c r="U33" s="709" t="e">
        <f t="shared" si="13"/>
        <v>#N/A</v>
      </c>
      <c r="V33" s="708" t="s">
        <v>14</v>
      </c>
      <c r="W33" s="709" t="e">
        <f t="shared" si="14"/>
        <v>#N/A</v>
      </c>
      <c r="X33" s="710"/>
      <c r="Y33" s="3748"/>
      <c r="Z33" s="711" t="str">
        <f t="shared" si="15"/>
        <v>项目建筑规模</v>
      </c>
      <c r="AA33" s="1352" t="e">
        <f t="shared" si="3"/>
        <v>#N/A</v>
      </c>
      <c r="AB33" s="1352" t="e">
        <f t="shared" si="4"/>
        <v>#N/A</v>
      </c>
      <c r="AC33" s="1352" t="e">
        <f t="shared" si="5"/>
        <v>#N/A</v>
      </c>
    </row>
    <row r="34" spans="1:29" ht="15">
      <c r="A34" s="423"/>
      <c r="B34" s="375" t="s">
        <v>1697</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6"/>
      <c r="M34" s="2710"/>
      <c r="N34" s="2710"/>
      <c r="O34" s="2710"/>
      <c r="P34" s="3746"/>
      <c r="Q34" s="1351" t="str">
        <f t="shared" si="11"/>
        <v>建筑结构</v>
      </c>
      <c r="R34" s="705" t="s">
        <v>14</v>
      </c>
      <c r="S34" s="706">
        <f t="shared" si="12"/>
        <v>100</v>
      </c>
      <c r="T34" s="705" t="s">
        <v>14</v>
      </c>
      <c r="U34" s="706">
        <f t="shared" si="13"/>
        <v>100</v>
      </c>
      <c r="V34" s="705" t="s">
        <v>14</v>
      </c>
      <c r="W34" s="706">
        <f t="shared" si="14"/>
        <v>100</v>
      </c>
      <c r="X34" s="1354"/>
      <c r="Y34" s="3748"/>
      <c r="Z34" s="1355" t="str">
        <f t="shared" si="15"/>
        <v>建筑结构</v>
      </c>
      <c r="AA34" s="1352">
        <f t="shared" si="3"/>
        <v>1</v>
      </c>
      <c r="AB34" s="1352">
        <f t="shared" si="4"/>
        <v>1</v>
      </c>
      <c r="AC34" s="1352">
        <f t="shared" si="5"/>
        <v>1</v>
      </c>
    </row>
    <row r="35" spans="1:29" ht="15">
      <c r="A35" s="423"/>
      <c r="B35" s="375" t="s">
        <v>1784</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6"/>
      <c r="M35" s="2710"/>
      <c r="N35" s="2710"/>
      <c r="O35" s="2710"/>
      <c r="P35" s="3746"/>
      <c r="Q35" s="1351" t="str">
        <f t="shared" si="11"/>
        <v>公共部分装修</v>
      </c>
      <c r="R35" s="705" t="s">
        <v>14</v>
      </c>
      <c r="S35" s="706">
        <f t="shared" si="12"/>
        <v>100</v>
      </c>
      <c r="T35" s="705" t="s">
        <v>14</v>
      </c>
      <c r="U35" s="706">
        <f t="shared" si="13"/>
        <v>100</v>
      </c>
      <c r="V35" s="705" t="s">
        <v>14</v>
      </c>
      <c r="W35" s="706">
        <f t="shared" si="14"/>
        <v>100</v>
      </c>
      <c r="X35" s="1354"/>
      <c r="Y35" s="3748"/>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46"/>
      <c r="Q36" s="1351" t="str">
        <f t="shared" si="11"/>
        <v>成新度</v>
      </c>
      <c r="R36" s="705" t="s">
        <v>14</v>
      </c>
      <c r="S36" s="706" t="e">
        <f t="shared" si="12"/>
        <v>#N/A</v>
      </c>
      <c r="T36" s="705" t="s">
        <v>14</v>
      </c>
      <c r="U36" s="706" t="e">
        <f t="shared" si="13"/>
        <v>#N/A</v>
      </c>
      <c r="V36" s="705" t="s">
        <v>14</v>
      </c>
      <c r="W36" s="706" t="e">
        <f t="shared" si="14"/>
        <v>#N/A</v>
      </c>
      <c r="X36" s="1354"/>
      <c r="Y36" s="3748"/>
      <c r="Z36" s="1355" t="str">
        <f t="shared" si="15"/>
        <v>成新度</v>
      </c>
      <c r="AA36" s="1352" t="e">
        <f t="shared" si="3"/>
        <v>#N/A</v>
      </c>
      <c r="AB36" s="1352" t="e">
        <f t="shared" si="4"/>
        <v>#N/A</v>
      </c>
      <c r="AC36" s="1352" t="e">
        <f t="shared" si="5"/>
        <v>#N/A</v>
      </c>
    </row>
    <row r="37" spans="1:29" s="108" customFormat="1" ht="15">
      <c r="A37" s="424"/>
      <c r="B37" s="375" t="s">
        <v>1786</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1"/>
      <c r="M37" s="2712"/>
      <c r="N37" s="2712"/>
      <c r="O37" s="2712"/>
      <c r="P37" s="3746"/>
      <c r="Q37" s="1342" t="str">
        <f t="shared" si="11"/>
        <v>市政基础设施</v>
      </c>
      <c r="R37" s="701" t="s">
        <v>14</v>
      </c>
      <c r="S37" s="702">
        <f t="shared" si="12"/>
        <v>100</v>
      </c>
      <c r="T37" s="701" t="s">
        <v>14</v>
      </c>
      <c r="U37" s="702">
        <f t="shared" si="13"/>
        <v>100</v>
      </c>
      <c r="V37" s="701" t="s">
        <v>14</v>
      </c>
      <c r="W37" s="702">
        <f t="shared" si="14"/>
        <v>100</v>
      </c>
      <c r="X37" s="703"/>
      <c r="Y37" s="3748"/>
      <c r="Z37" s="52" t="str">
        <f t="shared" si="15"/>
        <v>市政基础设施</v>
      </c>
      <c r="AA37" s="704">
        <f t="shared" si="3"/>
        <v>1</v>
      </c>
      <c r="AB37" s="704">
        <f t="shared" si="4"/>
        <v>1</v>
      </c>
      <c r="AC37" s="704">
        <f t="shared" si="5"/>
        <v>1</v>
      </c>
    </row>
    <row r="38" spans="1:29" ht="15">
      <c r="A38" s="423"/>
      <c r="B38" s="375" t="s">
        <v>1787</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6"/>
      <c r="M38" s="2710"/>
      <c r="N38" s="2710"/>
      <c r="O38" s="2710"/>
      <c r="P38" s="3746" t="s">
        <v>1695</v>
      </c>
      <c r="Q38" s="1351" t="str">
        <f t="shared" si="11"/>
        <v>业态</v>
      </c>
      <c r="R38" s="705" t="s">
        <v>14</v>
      </c>
      <c r="S38" s="706">
        <f t="shared" si="12"/>
        <v>100</v>
      </c>
      <c r="T38" s="705" t="s">
        <v>14</v>
      </c>
      <c r="U38" s="706">
        <f t="shared" si="13"/>
        <v>100</v>
      </c>
      <c r="V38" s="705" t="s">
        <v>14</v>
      </c>
      <c r="W38" s="706">
        <f t="shared" si="14"/>
        <v>100</v>
      </c>
      <c r="X38" s="1354"/>
      <c r="Y38" s="3748" t="s">
        <v>1695</v>
      </c>
      <c r="Z38" s="1355" t="str">
        <f t="shared" si="15"/>
        <v>业态</v>
      </c>
      <c r="AA38" s="1352">
        <f t="shared" si="3"/>
        <v>1</v>
      </c>
      <c r="AB38" s="1352">
        <f t="shared" si="4"/>
        <v>1</v>
      </c>
      <c r="AC38" s="1352">
        <f t="shared" si="5"/>
        <v>1</v>
      </c>
    </row>
    <row r="39" spans="1:29" ht="15">
      <c r="A39" s="423"/>
      <c r="B39" s="375" t="s">
        <v>1788</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6"/>
      <c r="M39" s="2710"/>
      <c r="N39" s="2710"/>
      <c r="O39" s="2710"/>
      <c r="P39" s="3746"/>
      <c r="Q39" s="1351" t="str">
        <f t="shared" si="11"/>
        <v>层高</v>
      </c>
      <c r="R39" s="705" t="s">
        <v>14</v>
      </c>
      <c r="S39" s="706">
        <f t="shared" si="12"/>
        <v>100</v>
      </c>
      <c r="T39" s="705" t="s">
        <v>14</v>
      </c>
      <c r="U39" s="706">
        <f t="shared" si="13"/>
        <v>100</v>
      </c>
      <c r="V39" s="705" t="s">
        <v>14</v>
      </c>
      <c r="W39" s="706">
        <f t="shared" si="14"/>
        <v>100</v>
      </c>
      <c r="X39" s="1354"/>
      <c r="Y39" s="3748"/>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46"/>
      <c r="Q40" s="1351" t="str">
        <f t="shared" si="11"/>
        <v>单套建筑面积</v>
      </c>
      <c r="R40" s="705" t="s">
        <v>14</v>
      </c>
      <c r="S40" s="706">
        <f t="shared" si="12"/>
        <v>100</v>
      </c>
      <c r="T40" s="705" t="s">
        <v>14</v>
      </c>
      <c r="U40" s="706">
        <f t="shared" si="13"/>
        <v>100</v>
      </c>
      <c r="V40" s="705" t="s">
        <v>14</v>
      </c>
      <c r="W40" s="706">
        <f t="shared" si="14"/>
        <v>100</v>
      </c>
      <c r="X40" s="1354"/>
      <c r="Y40" s="3748"/>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46"/>
      <c r="Q41" s="707" t="str">
        <f t="shared" si="11"/>
        <v>进深比</v>
      </c>
      <c r="R41" s="708" t="s">
        <v>14</v>
      </c>
      <c r="S41" s="709">
        <f t="shared" si="12"/>
        <v>100</v>
      </c>
      <c r="T41" s="708" t="s">
        <v>14</v>
      </c>
      <c r="U41" s="709">
        <f t="shared" si="13"/>
        <v>100</v>
      </c>
      <c r="V41" s="708" t="s">
        <v>14</v>
      </c>
      <c r="W41" s="709">
        <f t="shared" si="14"/>
        <v>100</v>
      </c>
      <c r="X41" s="710"/>
      <c r="Y41" s="3748"/>
      <c r="Z41" s="711" t="str">
        <f t="shared" si="15"/>
        <v>进深比</v>
      </c>
      <c r="AA41" s="1352">
        <f t="shared" si="3"/>
        <v>1</v>
      </c>
      <c r="AB41" s="1352">
        <f t="shared" si="4"/>
        <v>1</v>
      </c>
      <c r="AC41" s="1352">
        <f t="shared" si="5"/>
        <v>1</v>
      </c>
    </row>
    <row r="42" spans="1:29" ht="15">
      <c r="A42" s="423"/>
      <c r="B42" s="375" t="s">
        <v>1791</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6"/>
      <c r="M42" s="2710"/>
      <c r="N42" s="2710"/>
      <c r="O42" s="2710"/>
      <c r="P42" s="3746"/>
      <c r="Q42" s="1351" t="str">
        <f t="shared" si="11"/>
        <v>内部装修</v>
      </c>
      <c r="R42" s="705" t="s">
        <v>14</v>
      </c>
      <c r="S42" s="706">
        <f t="shared" si="12"/>
        <v>100</v>
      </c>
      <c r="T42" s="705" t="s">
        <v>14</v>
      </c>
      <c r="U42" s="706">
        <f t="shared" si="13"/>
        <v>100</v>
      </c>
      <c r="V42" s="705" t="s">
        <v>14</v>
      </c>
      <c r="W42" s="706">
        <f t="shared" si="14"/>
        <v>100</v>
      </c>
      <c r="X42" s="1354"/>
      <c r="Y42" s="3748"/>
      <c r="Z42" s="1355" t="str">
        <f t="shared" si="15"/>
        <v>内部装修</v>
      </c>
      <c r="AA42" s="1352">
        <f t="shared" si="3"/>
        <v>1</v>
      </c>
      <c r="AB42" s="1352">
        <f t="shared" si="4"/>
        <v>1</v>
      </c>
      <c r="AC42" s="1352">
        <f t="shared" si="5"/>
        <v>1</v>
      </c>
    </row>
    <row r="43" spans="1:29" ht="15">
      <c r="A43" s="423"/>
      <c r="B43" s="375" t="s">
        <v>1706</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6"/>
      <c r="M43" s="2710"/>
      <c r="N43" s="2710"/>
      <c r="O43" s="2710"/>
      <c r="P43" s="3746"/>
      <c r="Q43" s="1351" t="str">
        <f t="shared" si="11"/>
        <v>内部装修维护情况</v>
      </c>
      <c r="R43" s="705" t="s">
        <v>14</v>
      </c>
      <c r="S43" s="706">
        <f t="shared" si="12"/>
        <v>100</v>
      </c>
      <c r="T43" s="705" t="s">
        <v>14</v>
      </c>
      <c r="U43" s="706">
        <f t="shared" si="13"/>
        <v>100</v>
      </c>
      <c r="V43" s="705" t="s">
        <v>14</v>
      </c>
      <c r="W43" s="706">
        <f t="shared" si="14"/>
        <v>100</v>
      </c>
      <c r="X43" s="1354"/>
      <c r="Y43" s="3748"/>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46"/>
      <c r="Q44" s="1342">
        <f t="shared" si="11"/>
        <v>111</v>
      </c>
      <c r="R44" s="701" t="s">
        <v>14</v>
      </c>
      <c r="S44" s="702">
        <f t="shared" si="12"/>
        <v>100</v>
      </c>
      <c r="T44" s="701" t="s">
        <v>14</v>
      </c>
      <c r="U44" s="702">
        <f t="shared" si="13"/>
        <v>100</v>
      </c>
      <c r="V44" s="701" t="s">
        <v>14</v>
      </c>
      <c r="W44" s="702">
        <f t="shared" si="14"/>
        <v>100</v>
      </c>
      <c r="X44" s="703"/>
      <c r="Y44" s="374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46"/>
      <c r="Q45" s="1351">
        <f t="shared" si="11"/>
        <v>111</v>
      </c>
      <c r="R45" s="705" t="s">
        <v>14</v>
      </c>
      <c r="S45" s="706">
        <f t="shared" si="12"/>
        <v>100</v>
      </c>
      <c r="T45" s="705" t="s">
        <v>14</v>
      </c>
      <c r="U45" s="706">
        <f t="shared" si="13"/>
        <v>100</v>
      </c>
      <c r="V45" s="705" t="s">
        <v>14</v>
      </c>
      <c r="W45" s="706">
        <f t="shared" si="14"/>
        <v>100</v>
      </c>
      <c r="X45" s="1354"/>
      <c r="Y45" s="3748"/>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47"/>
      <c r="Q46" s="1351">
        <f t="shared" si="11"/>
        <v>111</v>
      </c>
      <c r="R46" s="705" t="s">
        <v>14</v>
      </c>
      <c r="S46" s="706">
        <f t="shared" si="12"/>
        <v>100</v>
      </c>
      <c r="T46" s="705" t="s">
        <v>14</v>
      </c>
      <c r="U46" s="706">
        <f t="shared" si="13"/>
        <v>100</v>
      </c>
      <c r="V46" s="705" t="s">
        <v>14</v>
      </c>
      <c r="W46" s="706">
        <f t="shared" si="14"/>
        <v>100</v>
      </c>
      <c r="X46" s="1354"/>
      <c r="Y46" s="3749"/>
      <c r="Z46" s="1355">
        <f t="shared" si="15"/>
        <v>111</v>
      </c>
      <c r="AA46" s="1352">
        <f t="shared" si="3"/>
        <v>1</v>
      </c>
      <c r="AB46" s="1352">
        <f t="shared" si="4"/>
        <v>1</v>
      </c>
      <c r="AC46" s="1352">
        <f t="shared" si="5"/>
        <v>1</v>
      </c>
    </row>
    <row r="47" spans="1:29" ht="15">
      <c r="A47" s="430" t="s">
        <v>1707</v>
      </c>
      <c r="B47" s="431"/>
      <c r="C47" s="1154" t="s">
        <v>0</v>
      </c>
      <c r="D47" s="1155"/>
      <c r="E47" s="1156"/>
      <c r="F47" s="1157"/>
      <c r="G47" s="1158"/>
      <c r="H47" s="1159"/>
      <c r="I47" s="1156"/>
      <c r="J47" s="1159"/>
      <c r="K47" s="714"/>
      <c r="L47" s="2718"/>
      <c r="M47" s="2719"/>
      <c r="N47" s="2710"/>
      <c r="O47" s="2719"/>
      <c r="P47" s="3741" t="str">
        <f>A47</f>
        <v>成交单价（元/平方米）</v>
      </c>
      <c r="Q47" s="3741"/>
      <c r="R47" s="3736">
        <f>E47</f>
        <v>0</v>
      </c>
      <c r="S47" s="3736"/>
      <c r="T47" s="3736">
        <f>G47</f>
        <v>0</v>
      </c>
      <c r="U47" s="3736"/>
      <c r="V47" s="3736">
        <f>I47</f>
        <v>0</v>
      </c>
      <c r="W47" s="3736"/>
      <c r="X47" s="690"/>
      <c r="Y47" s="712"/>
      <c r="Z47" s="690"/>
      <c r="AA47" s="690"/>
      <c r="AB47" s="690"/>
      <c r="AC47" s="690"/>
    </row>
    <row r="48" spans="1:29" ht="15.75" thickBot="1">
      <c r="A48" s="437" t="s">
        <v>1792</v>
      </c>
      <c r="B48" s="438"/>
      <c r="C48" s="1160" t="e">
        <f>R49</f>
        <v>#DIV/0!</v>
      </c>
      <c r="D48" s="2313" t="s">
        <v>2136</v>
      </c>
      <c r="E48" s="1161" t="e">
        <f>R48</f>
        <v>#DIV/0!</v>
      </c>
      <c r="F48" s="2314"/>
      <c r="G48" s="1160" t="e">
        <f>T48</f>
        <v>#DIV/0!</v>
      </c>
      <c r="H48" s="2314"/>
      <c r="I48" s="1161" t="e">
        <f>V48</f>
        <v>#DIV/0!</v>
      </c>
      <c r="J48" s="2314"/>
      <c r="K48" s="2316">
        <f>F48+H48+J48</f>
        <v>0</v>
      </c>
      <c r="L48" s="2718"/>
      <c r="M48" s="2719"/>
      <c r="N48" s="2710"/>
      <c r="O48" s="2719"/>
      <c r="P48" s="3741" t="str">
        <f>A48</f>
        <v>比较价值（元/平方米）</v>
      </c>
      <c r="Q48" s="3741"/>
      <c r="R48" s="3742" t="e">
        <f>IF(F1="售价",ROUND(PRODUCT(R47,AA7:AA46),0),ROUND(PRODUCT(R47,AA7:AA46),1))</f>
        <v>#DIV/0!</v>
      </c>
      <c r="S48" s="3742"/>
      <c r="T48" s="3742" t="e">
        <f>IF(F1="售价",ROUND(PRODUCT(T47,AB7:AB46),0),ROUND(PRODUCT(T47,AB7:AB46),1))</f>
        <v>#DIV/0!</v>
      </c>
      <c r="U48" s="3742"/>
      <c r="V48" s="3742" t="e">
        <f>IF(F1="售价",ROUND(PRODUCT(V47,AC7:AC46),0),ROUND(PRODUCT(V47,AC7:AC46),1))</f>
        <v>#DIV/0!</v>
      </c>
      <c r="W48" s="3742"/>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18"/>
      <c r="M49" s="2719"/>
      <c r="N49" s="2710"/>
      <c r="O49" s="2719"/>
      <c r="P49" s="3738" t="str">
        <f>A49</f>
        <v>估价对象XX用房的比较价值（楼面单价，元/平方米）</v>
      </c>
      <c r="Q49" s="3739"/>
      <c r="R49" s="3740" t="e">
        <f>IF(F1="售价",ROUND(IF(D48="简单平均",AVERAGE(R48:V48),R48*F48+T48*H48+V48*J48),0),ROUND(IF(D48="简单平均",AVERAGE(R48:V48),R48*F48+T48*H48+V48*J48),1))</f>
        <v>#DIV/0!</v>
      </c>
      <c r="S49" s="3740"/>
      <c r="T49" s="3740"/>
      <c r="U49" s="3740"/>
      <c r="V49" s="3740"/>
      <c r="W49" s="3740"/>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1797</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1678</v>
      </c>
      <c r="B58" s="455"/>
      <c r="C58" s="1183" t="str">
        <f>YEAR(C7)&amp;"-"&amp;MONTH(C7)</f>
        <v>2023-4</v>
      </c>
      <c r="D58" s="1184">
        <f>EDATE(C58,-1)</f>
        <v>44986</v>
      </c>
      <c r="E58" s="1184">
        <f t="shared" ref="E58:N58" si="16">EDATE(D58,-1)</f>
        <v>44958</v>
      </c>
      <c r="F58" s="1184">
        <f t="shared" si="16"/>
        <v>44927</v>
      </c>
      <c r="G58" s="1184">
        <f t="shared" si="16"/>
        <v>44896</v>
      </c>
      <c r="H58" s="1184">
        <f t="shared" si="16"/>
        <v>44866</v>
      </c>
      <c r="I58" s="1184">
        <f t="shared" si="16"/>
        <v>44835</v>
      </c>
      <c r="J58" s="1184">
        <f t="shared" si="16"/>
        <v>44805</v>
      </c>
      <c r="K58" s="1184">
        <f t="shared" si="16"/>
        <v>44774</v>
      </c>
      <c r="L58" s="1184">
        <f t="shared" si="16"/>
        <v>44743</v>
      </c>
      <c r="M58" s="1184">
        <f t="shared" si="16"/>
        <v>44713</v>
      </c>
      <c r="N58" s="1184">
        <f t="shared" si="16"/>
        <v>44682</v>
      </c>
      <c r="O58" s="1184">
        <f>EDATE(N58,-1)</f>
        <v>44652</v>
      </c>
      <c r="P58" s="2734"/>
      <c r="Q58" s="2735"/>
      <c r="R58" s="2735"/>
      <c r="S58" s="2735"/>
      <c r="T58" s="2735"/>
      <c r="U58" s="2735"/>
      <c r="V58" s="2735"/>
      <c r="W58" s="2735"/>
      <c r="X58" s="2735"/>
      <c r="Y58" s="2735"/>
      <c r="Z58" s="2735"/>
      <c r="AA58" s="2735"/>
      <c r="AB58" s="2735"/>
      <c r="AC58" s="2735"/>
    </row>
    <row r="59" spans="1:29" s="108" customFormat="1" ht="15">
      <c r="A59" s="458"/>
      <c r="B59" s="459"/>
      <c r="C59" s="1182">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1715</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1680</v>
      </c>
      <c r="B61" s="459"/>
      <c r="C61" s="471" t="s">
        <v>1775</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1718</v>
      </c>
      <c r="B63" s="477" t="s">
        <v>1684</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1687</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1689</v>
      </c>
      <c r="B76" s="477" t="s">
        <v>1719</v>
      </c>
      <c r="C76" s="522" t="s">
        <v>1720</v>
      </c>
      <c r="D76" s="522" t="s">
        <v>1721</v>
      </c>
      <c r="E76" s="522" t="s">
        <v>1722</v>
      </c>
      <c r="F76" s="522" t="s">
        <v>1723</v>
      </c>
      <c r="G76" s="522" t="s">
        <v>1724</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1725</v>
      </c>
      <c r="C78" s="527" t="s">
        <v>1720</v>
      </c>
      <c r="D78" s="527" t="s">
        <v>1721</v>
      </c>
      <c r="E78" s="527" t="s">
        <v>1722</v>
      </c>
      <c r="F78" s="527" t="s">
        <v>1723</v>
      </c>
      <c r="G78" s="527" t="s">
        <v>1724</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1726</v>
      </c>
      <c r="C80" s="527" t="s">
        <v>1720</v>
      </c>
      <c r="D80" s="527" t="s">
        <v>1721</v>
      </c>
      <c r="E80" s="527" t="s">
        <v>1722</v>
      </c>
      <c r="F80" s="527" t="s">
        <v>1723</v>
      </c>
      <c r="G80" s="527" t="s">
        <v>1724</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1778</v>
      </c>
      <c r="C82" s="608" t="s">
        <v>1798</v>
      </c>
      <c r="D82" s="608" t="s">
        <v>1799</v>
      </c>
      <c r="E82" s="608" t="s">
        <v>1800</v>
      </c>
      <c r="F82" s="608" t="s">
        <v>1801</v>
      </c>
      <c r="G82" s="608" t="s">
        <v>1802</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1732</v>
      </c>
      <c r="C84" s="527" t="s">
        <v>1720</v>
      </c>
      <c r="D84" s="527" t="s">
        <v>1721</v>
      </c>
      <c r="E84" s="527" t="s">
        <v>1722</v>
      </c>
      <c r="F84" s="527" t="s">
        <v>1723</v>
      </c>
      <c r="G84" s="527" t="s">
        <v>1724</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1803</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3"/>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1693</v>
      </c>
      <c r="B100" s="477" t="s">
        <v>1804</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1737</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1739</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1741</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1805</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1806</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1807</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1808</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1743</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3" t="s">
        <v>1809</v>
      </c>
      <c r="C1" s="1223" t="s">
        <v>1661</v>
      </c>
      <c r="D1" s="1224"/>
      <c r="E1" s="3427"/>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57457.869999999995</v>
      </c>
      <c r="E3" s="1950"/>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1768</v>
      </c>
      <c r="B4" s="356"/>
      <c r="C4" s="3724" t="s">
        <v>1769</v>
      </c>
      <c r="D4" s="3725"/>
      <c r="E4" s="3726" t="s">
        <v>1770</v>
      </c>
      <c r="F4" s="3727"/>
      <c r="G4" s="3724" t="s">
        <v>1771</v>
      </c>
      <c r="H4" s="3725"/>
      <c r="I4" s="3724" t="s">
        <v>1772</v>
      </c>
      <c r="J4" s="3725"/>
      <c r="K4" s="559" t="s">
        <v>1773</v>
      </c>
      <c r="L4" s="2709"/>
      <c r="M4" s="2710"/>
      <c r="N4" s="2710"/>
      <c r="O4" s="2710"/>
      <c r="P4" s="3758" t="s">
        <v>1774</v>
      </c>
      <c r="Q4" s="3759"/>
      <c r="R4" s="3753" t="s">
        <v>1770</v>
      </c>
      <c r="S4" s="3754"/>
      <c r="T4" s="3753" t="s">
        <v>1771</v>
      </c>
      <c r="U4" s="3754"/>
      <c r="V4" s="3762" t="s">
        <v>1772</v>
      </c>
      <c r="W4" s="3762"/>
      <c r="X4" s="1954"/>
      <c r="Y4" s="3753" t="s">
        <v>1774</v>
      </c>
      <c r="Z4" s="3754"/>
      <c r="AA4" s="3752" t="s">
        <v>1770</v>
      </c>
      <c r="AB4" s="3752" t="s">
        <v>1771</v>
      </c>
      <c r="AC4" s="3755" t="s">
        <v>1772</v>
      </c>
    </row>
    <row r="5" spans="1:29" ht="15">
      <c r="A5" s="358"/>
      <c r="B5" s="359"/>
      <c r="C5" s="3717" t="s">
        <v>1672</v>
      </c>
      <c r="D5" s="3718"/>
      <c r="E5" s="3715" t="s">
        <v>1673</v>
      </c>
      <c r="F5" s="3716"/>
      <c r="G5" s="3717" t="s">
        <v>1674</v>
      </c>
      <c r="H5" s="3718"/>
      <c r="I5" s="3717" t="s">
        <v>1675</v>
      </c>
      <c r="J5" s="3718"/>
      <c r="K5" s="559"/>
      <c r="L5" s="2709"/>
      <c r="M5" s="2710"/>
      <c r="N5" s="2710"/>
      <c r="O5" s="2710"/>
      <c r="P5" s="3760"/>
      <c r="Q5" s="3731"/>
      <c r="R5" s="3713"/>
      <c r="S5" s="3714"/>
      <c r="T5" s="3713"/>
      <c r="U5" s="3714"/>
      <c r="V5" s="3736"/>
      <c r="W5" s="3736"/>
      <c r="X5" s="1354"/>
      <c r="Y5" s="3713"/>
      <c r="Z5" s="3714"/>
      <c r="AA5" s="3707"/>
      <c r="AB5" s="3707"/>
      <c r="AC5" s="3756"/>
    </row>
    <row r="6" spans="1:29" ht="15.75" thickBot="1">
      <c r="A6" s="360"/>
      <c r="B6" s="361"/>
      <c r="C6" s="3719" t="s">
        <v>1676</v>
      </c>
      <c r="D6" s="3720"/>
      <c r="E6" s="3721" t="s">
        <v>1676</v>
      </c>
      <c r="F6" s="3722"/>
      <c r="G6" s="3719" t="s">
        <v>1676</v>
      </c>
      <c r="H6" s="3720"/>
      <c r="I6" s="3719" t="s">
        <v>1676</v>
      </c>
      <c r="J6" s="3720"/>
      <c r="K6" s="559" t="s">
        <v>1677</v>
      </c>
      <c r="L6" s="2709"/>
      <c r="M6" s="2710"/>
      <c r="N6" s="2710"/>
      <c r="O6" s="2710"/>
      <c r="P6" s="3761"/>
      <c r="Q6" s="3733"/>
      <c r="R6" s="3713"/>
      <c r="S6" s="3714"/>
      <c r="T6" s="3734"/>
      <c r="U6" s="3735"/>
      <c r="V6" s="3736"/>
      <c r="W6" s="3736"/>
      <c r="X6" s="1354"/>
      <c r="Y6" s="3734"/>
      <c r="Z6" s="3735"/>
      <c r="AA6" s="3708"/>
      <c r="AB6" s="3708"/>
      <c r="AC6" s="3757"/>
    </row>
    <row r="7" spans="1:29" s="108" customFormat="1" ht="15.75" thickBot="1">
      <c r="A7" s="362" t="s">
        <v>1678</v>
      </c>
      <c r="B7" s="363"/>
      <c r="C7" s="364">
        <f>'数据-取费表'!B2</f>
        <v>45035</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63" t="s">
        <v>1679</v>
      </c>
      <c r="Q7" s="3737"/>
      <c r="R7" s="701" t="s">
        <v>14</v>
      </c>
      <c r="S7" s="702">
        <f t="shared" ref="S7:S15" si="0">F7</f>
        <v>0</v>
      </c>
      <c r="T7" s="701" t="s">
        <v>14</v>
      </c>
      <c r="U7" s="702">
        <f t="shared" ref="U7:U15" si="1">H7</f>
        <v>0</v>
      </c>
      <c r="V7" s="701" t="s">
        <v>14</v>
      </c>
      <c r="W7" s="702">
        <f t="shared" ref="W7:W15" si="2">J7</f>
        <v>0</v>
      </c>
      <c r="X7" s="703"/>
      <c r="Y7" s="3709" t="s">
        <v>1679</v>
      </c>
      <c r="Z7" s="3710"/>
      <c r="AA7" s="704" t="e">
        <f>D7/F7</f>
        <v>#DIV/0!</v>
      </c>
      <c r="AB7" s="704" t="e">
        <f>D7/H7</f>
        <v>#DIV/0!</v>
      </c>
      <c r="AC7" s="1955"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63" t="s">
        <v>1682</v>
      </c>
      <c r="Q8" s="3710"/>
      <c r="R8" s="701" t="s">
        <v>14</v>
      </c>
      <c r="S8" s="702">
        <f t="shared" si="0"/>
        <v>100</v>
      </c>
      <c r="T8" s="701" t="s">
        <v>14</v>
      </c>
      <c r="U8" s="702">
        <f t="shared" si="1"/>
        <v>100</v>
      </c>
      <c r="V8" s="701" t="s">
        <v>14</v>
      </c>
      <c r="W8" s="702">
        <f t="shared" si="2"/>
        <v>100</v>
      </c>
      <c r="X8" s="703"/>
      <c r="Y8" s="3709" t="s">
        <v>1682</v>
      </c>
      <c r="Z8" s="3710"/>
      <c r="AA8" s="704">
        <f t="shared" ref="AA8:AA47" si="3">D8/F8</f>
        <v>1</v>
      </c>
      <c r="AB8" s="704">
        <f t="shared" ref="AB8:AB47" si="4">D8/H8</f>
        <v>1</v>
      </c>
      <c r="AC8" s="1955">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723" t="s">
        <v>1685</v>
      </c>
      <c r="Q9" s="1342" t="str">
        <f t="shared" ref="Q9:Q15" si="6">B9</f>
        <v>用途</v>
      </c>
      <c r="R9" s="701" t="s">
        <v>14</v>
      </c>
      <c r="S9" s="702">
        <f t="shared" si="0"/>
        <v>100</v>
      </c>
      <c r="T9" s="701" t="s">
        <v>14</v>
      </c>
      <c r="U9" s="702">
        <f t="shared" si="1"/>
        <v>100</v>
      </c>
      <c r="V9" s="701" t="s">
        <v>14</v>
      </c>
      <c r="W9" s="702">
        <f t="shared" si="2"/>
        <v>100</v>
      </c>
      <c r="X9" s="703"/>
      <c r="Y9" s="3653" t="s">
        <v>1686</v>
      </c>
      <c r="Z9" s="52" t="str">
        <f t="shared" ref="Z9:Z15" si="7">Q9</f>
        <v>用途</v>
      </c>
      <c r="AA9" s="704">
        <f t="shared" si="3"/>
        <v>1</v>
      </c>
      <c r="AB9" s="704">
        <f t="shared" si="4"/>
        <v>1</v>
      </c>
      <c r="AC9" s="1955">
        <f t="shared" si="5"/>
        <v>1</v>
      </c>
    </row>
    <row r="10" spans="1:29" s="378" customFormat="1" ht="27">
      <c r="A10" s="374"/>
      <c r="B10" s="375" t="s">
        <v>1687</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723"/>
      <c r="Q10" s="1342"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1955">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23"/>
      <c r="Q11" s="1342" t="str">
        <f t="shared" si="6"/>
        <v>容积率</v>
      </c>
      <c r="R11" s="701" t="s">
        <v>14</v>
      </c>
      <c r="S11" s="702">
        <f t="shared" si="0"/>
        <v>100</v>
      </c>
      <c r="T11" s="701" t="s">
        <v>14</v>
      </c>
      <c r="U11" s="702">
        <f t="shared" si="1"/>
        <v>100</v>
      </c>
      <c r="V11" s="701" t="s">
        <v>14</v>
      </c>
      <c r="W11" s="702">
        <f t="shared" si="2"/>
        <v>100</v>
      </c>
      <c r="X11" s="703"/>
      <c r="Y11" s="3653"/>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1"/>
      <c r="M12" s="2712"/>
      <c r="N12" s="2712"/>
      <c r="O12" s="2712"/>
      <c r="P12" s="3723"/>
      <c r="Q12" s="1342">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6"/>
      <c r="M13" s="2710"/>
      <c r="N13" s="2710"/>
      <c r="O13" s="2710"/>
      <c r="P13" s="3723"/>
      <c r="Q13" s="1342">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6"/>
      <c r="M14" s="2710"/>
      <c r="N14" s="2710"/>
      <c r="O14" s="2710"/>
      <c r="P14" s="3723"/>
      <c r="Q14" s="1342">
        <f t="shared" si="6"/>
        <v>111</v>
      </c>
      <c r="R14" s="701" t="s">
        <v>14</v>
      </c>
      <c r="S14" s="702">
        <f t="shared" si="0"/>
        <v>100</v>
      </c>
      <c r="T14" s="701" t="s">
        <v>14</v>
      </c>
      <c r="U14" s="702">
        <f t="shared" si="1"/>
        <v>100</v>
      </c>
      <c r="V14" s="701" t="s">
        <v>14</v>
      </c>
      <c r="W14" s="702">
        <f t="shared" si="2"/>
        <v>100</v>
      </c>
      <c r="X14" s="703"/>
      <c r="Y14" s="3653"/>
      <c r="Z14" s="52">
        <f t="shared" si="7"/>
        <v>111</v>
      </c>
      <c r="AA14" s="704">
        <f t="shared" si="3"/>
        <v>1</v>
      </c>
      <c r="AB14" s="704">
        <f t="shared" si="4"/>
        <v>1</v>
      </c>
      <c r="AC14" s="1955">
        <f t="shared" si="5"/>
        <v>1</v>
      </c>
    </row>
    <row r="15" spans="1:29" ht="71.25">
      <c r="A15" s="391" t="s">
        <v>1689</v>
      </c>
      <c r="B15" s="577" t="s">
        <v>1810</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750" t="s">
        <v>1690</v>
      </c>
      <c r="Q15" s="1351" t="str">
        <f t="shared" si="6"/>
        <v>办公集聚程度</v>
      </c>
      <c r="R15" s="705" t="s">
        <v>14</v>
      </c>
      <c r="S15" s="706">
        <f t="shared" si="0"/>
        <v>100</v>
      </c>
      <c r="T15" s="705" t="s">
        <v>14</v>
      </c>
      <c r="U15" s="706">
        <f t="shared" si="1"/>
        <v>100</v>
      </c>
      <c r="V15" s="705" t="s">
        <v>14</v>
      </c>
      <c r="W15" s="706">
        <f t="shared" si="2"/>
        <v>100</v>
      </c>
      <c r="X15" s="1354"/>
      <c r="Y15" s="3743" t="s">
        <v>1690</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6"/>
      <c r="M16" s="2710"/>
      <c r="N16" s="2710"/>
      <c r="O16" s="2710"/>
      <c r="P16" s="3751"/>
      <c r="Q16" s="1351"/>
      <c r="R16" s="705"/>
      <c r="S16" s="706"/>
      <c r="T16" s="705"/>
      <c r="U16" s="706"/>
      <c r="V16" s="705"/>
      <c r="W16" s="706"/>
      <c r="X16" s="1354"/>
      <c r="Y16" s="3744"/>
      <c r="Z16" s="1355"/>
      <c r="AA16" s="1352">
        <v>1</v>
      </c>
      <c r="AB16" s="1352">
        <v>1</v>
      </c>
      <c r="AC16" s="1958">
        <v>1</v>
      </c>
    </row>
    <row r="17" spans="1:29" ht="71.25">
      <c r="A17" s="379"/>
      <c r="B17" s="579" t="s">
        <v>1258</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751"/>
      <c r="Q17" s="1351" t="str">
        <f>B17</f>
        <v>交通便捷度</v>
      </c>
      <c r="R17" s="705" t="s">
        <v>14</v>
      </c>
      <c r="S17" s="706">
        <f>F17</f>
        <v>100</v>
      </c>
      <c r="T17" s="705" t="s">
        <v>14</v>
      </c>
      <c r="U17" s="706">
        <f>H17</f>
        <v>100</v>
      </c>
      <c r="V17" s="705" t="s">
        <v>14</v>
      </c>
      <c r="W17" s="706">
        <f>J17</f>
        <v>100</v>
      </c>
      <c r="X17" s="1354"/>
      <c r="Y17" s="3744"/>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6"/>
      <c r="M18" s="2710"/>
      <c r="N18" s="2710"/>
      <c r="O18" s="2710"/>
      <c r="P18" s="3751"/>
      <c r="Q18" s="1351"/>
      <c r="R18" s="705"/>
      <c r="S18" s="706"/>
      <c r="T18" s="705"/>
      <c r="U18" s="706"/>
      <c r="V18" s="705"/>
      <c r="W18" s="706"/>
      <c r="X18" s="1354"/>
      <c r="Y18" s="3744"/>
      <c r="Z18" s="1355"/>
      <c r="AA18" s="1352">
        <v>1</v>
      </c>
      <c r="AB18" s="1352">
        <v>1</v>
      </c>
      <c r="AC18" s="1958">
        <v>1</v>
      </c>
    </row>
    <row r="19" spans="1:29" ht="42.75">
      <c r="A19" s="379"/>
      <c r="B19" s="579" t="s">
        <v>1811</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751"/>
      <c r="Q19" s="1351" t="str">
        <f>B19</f>
        <v>公共配套设施</v>
      </c>
      <c r="R19" s="705" t="s">
        <v>14</v>
      </c>
      <c r="S19" s="706">
        <f>F19</f>
        <v>100</v>
      </c>
      <c r="T19" s="705" t="s">
        <v>14</v>
      </c>
      <c r="U19" s="706">
        <f>H19</f>
        <v>100</v>
      </c>
      <c r="V19" s="705" t="s">
        <v>14</v>
      </c>
      <c r="W19" s="706">
        <f>J19</f>
        <v>100</v>
      </c>
      <c r="X19" s="1354"/>
      <c r="Y19" s="3744"/>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6"/>
      <c r="M20" s="2710"/>
      <c r="N20" s="2710"/>
      <c r="O20" s="2710"/>
      <c r="P20" s="3751"/>
      <c r="Q20" s="1351"/>
      <c r="R20" s="705"/>
      <c r="S20" s="706"/>
      <c r="T20" s="705"/>
      <c r="U20" s="706"/>
      <c r="V20" s="705"/>
      <c r="W20" s="706"/>
      <c r="X20" s="1354"/>
      <c r="Y20" s="3744"/>
      <c r="Z20" s="1355"/>
      <c r="AA20" s="1352">
        <v>1</v>
      </c>
      <c r="AB20" s="1352">
        <v>1</v>
      </c>
      <c r="AC20" s="1958">
        <v>1</v>
      </c>
    </row>
    <row r="21" spans="1:29" ht="28.5">
      <c r="A21" s="379"/>
      <c r="B21" s="581" t="s">
        <v>1812</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751"/>
      <c r="Q21" s="1351" t="str">
        <f>B21</f>
        <v>基础设施水平</v>
      </c>
      <c r="R21" s="705" t="s">
        <v>14</v>
      </c>
      <c r="S21" s="706">
        <f>F21</f>
        <v>100</v>
      </c>
      <c r="T21" s="705" t="s">
        <v>14</v>
      </c>
      <c r="U21" s="706">
        <f>H21</f>
        <v>100</v>
      </c>
      <c r="V21" s="705" t="s">
        <v>14</v>
      </c>
      <c r="W21" s="706">
        <f>J21</f>
        <v>100</v>
      </c>
      <c r="X21" s="1354"/>
      <c r="Y21" s="3744"/>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6"/>
      <c r="M22" s="2710"/>
      <c r="N22" s="2710"/>
      <c r="O22" s="2710"/>
      <c r="P22" s="3751"/>
      <c r="Q22" s="1351"/>
      <c r="R22" s="705"/>
      <c r="S22" s="706"/>
      <c r="T22" s="705"/>
      <c r="U22" s="706"/>
      <c r="V22" s="705"/>
      <c r="W22" s="706"/>
      <c r="X22" s="1354"/>
      <c r="Y22" s="3744"/>
      <c r="Z22" s="1355"/>
      <c r="AA22" s="1352">
        <v>1</v>
      </c>
      <c r="AB22" s="1352">
        <v>1</v>
      </c>
      <c r="AC22" s="1958">
        <v>1</v>
      </c>
    </row>
    <row r="23" spans="1:29" ht="42.75">
      <c r="A23" s="379"/>
      <c r="B23" s="579" t="s">
        <v>1813</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751"/>
      <c r="Q23" s="1351" t="str">
        <f>B23</f>
        <v>环境质量</v>
      </c>
      <c r="R23" s="705" t="s">
        <v>14</v>
      </c>
      <c r="S23" s="706">
        <f>F23</f>
        <v>100</v>
      </c>
      <c r="T23" s="705" t="s">
        <v>14</v>
      </c>
      <c r="U23" s="706">
        <f>H23</f>
        <v>100</v>
      </c>
      <c r="V23" s="705" t="s">
        <v>14</v>
      </c>
      <c r="W23" s="706">
        <f>J23</f>
        <v>100</v>
      </c>
      <c r="X23" s="1354"/>
      <c r="Y23" s="3744"/>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6"/>
      <c r="M24" s="2710"/>
      <c r="N24" s="2710"/>
      <c r="O24" s="2710"/>
      <c r="P24" s="3751"/>
      <c r="Q24" s="1351"/>
      <c r="R24" s="705"/>
      <c r="S24" s="706"/>
      <c r="T24" s="705"/>
      <c r="U24" s="706"/>
      <c r="V24" s="705"/>
      <c r="W24" s="706"/>
      <c r="X24" s="1354"/>
      <c r="Y24" s="3744"/>
      <c r="Z24" s="1355"/>
      <c r="AA24" s="1352">
        <v>1</v>
      </c>
      <c r="AB24" s="1352">
        <v>1</v>
      </c>
      <c r="AC24" s="1958">
        <v>1</v>
      </c>
    </row>
    <row r="25" spans="1:29" ht="27">
      <c r="A25" s="358"/>
      <c r="B25" s="579" t="s">
        <v>1814</v>
      </c>
      <c r="C25" s="1906"/>
      <c r="D25" s="386">
        <v>100</v>
      </c>
      <c r="E25" s="385"/>
      <c r="F25" s="386">
        <f>SUMIF(87:87,E26,88:88)-SUMIF(87:87,C26,88:88)+100</f>
        <v>100</v>
      </c>
      <c r="G25" s="1906"/>
      <c r="H25" s="386">
        <f>SUMIF(87:87,G26,88:88)-SUMIF(87:87,C26,88:88)+100</f>
        <v>100</v>
      </c>
      <c r="I25" s="385"/>
      <c r="J25" s="386">
        <f>SUMIF(87:87,I26,88:88)-SUMIF(87:87,C26,88:88)+100</f>
        <v>100</v>
      </c>
      <c r="K25" s="563"/>
      <c r="L25" s="2716"/>
      <c r="M25" s="2710"/>
      <c r="N25" s="2710"/>
      <c r="O25" s="2710"/>
      <c r="P25" s="3751"/>
      <c r="Q25" s="1351" t="str">
        <f>B25</f>
        <v>毗邻道路的类型与等级</v>
      </c>
      <c r="R25" s="705" t="s">
        <v>14</v>
      </c>
      <c r="S25" s="706">
        <f>F25</f>
        <v>100</v>
      </c>
      <c r="T25" s="705" t="s">
        <v>14</v>
      </c>
      <c r="U25" s="706">
        <f>H25</f>
        <v>100</v>
      </c>
      <c r="V25" s="705" t="s">
        <v>14</v>
      </c>
      <c r="W25" s="706">
        <f>J25</f>
        <v>100</v>
      </c>
      <c r="X25" s="1354"/>
      <c r="Y25" s="3744"/>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6"/>
      <c r="M26" s="2710"/>
      <c r="N26" s="2710"/>
      <c r="O26" s="2710"/>
      <c r="P26" s="3751"/>
      <c r="Q26" s="1351"/>
      <c r="R26" s="705"/>
      <c r="S26" s="706"/>
      <c r="T26" s="705"/>
      <c r="U26" s="706"/>
      <c r="V26" s="705"/>
      <c r="W26" s="706"/>
      <c r="X26" s="1354"/>
      <c r="Y26" s="3744"/>
      <c r="Z26" s="1355"/>
      <c r="AA26" s="1352">
        <v>1</v>
      </c>
      <c r="AB26" s="1352">
        <v>1</v>
      </c>
      <c r="AC26" s="1958">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751"/>
      <c r="Q27" s="1351" t="str">
        <f t="shared" ref="Q27:Q47" si="11">B27</f>
        <v>楼层</v>
      </c>
      <c r="R27" s="705" t="s">
        <v>14</v>
      </c>
      <c r="S27" s="706">
        <f>F27</f>
        <v>100</v>
      </c>
      <c r="T27" s="705" t="s">
        <v>14</v>
      </c>
      <c r="U27" s="706">
        <f>H27</f>
        <v>100</v>
      </c>
      <c r="V27" s="705" t="s">
        <v>14</v>
      </c>
      <c r="W27" s="706">
        <f>J27</f>
        <v>100</v>
      </c>
      <c r="X27" s="1354"/>
      <c r="Y27" s="3744"/>
      <c r="Z27" s="1355" t="str">
        <f>Q27</f>
        <v>楼层</v>
      </c>
      <c r="AA27" s="1352">
        <f t="shared" si="3"/>
        <v>1</v>
      </c>
      <c r="AB27" s="1352">
        <f t="shared" si="4"/>
        <v>1</v>
      </c>
      <c r="AC27" s="1958">
        <f t="shared" si="5"/>
        <v>1</v>
      </c>
    </row>
    <row r="28" spans="1:29" s="108" customFormat="1" ht="15">
      <c r="A28" s="382"/>
      <c r="B28" s="579" t="s">
        <v>1815</v>
      </c>
      <c r="C28" s="1961"/>
      <c r="D28" s="413">
        <v>100</v>
      </c>
      <c r="E28" s="1952"/>
      <c r="F28" s="413">
        <f>SUMIF(91:91,E28,92:92)-SUMIF(91:91,C28,92:92)+100</f>
        <v>100</v>
      </c>
      <c r="G28" s="1961"/>
      <c r="H28" s="413">
        <f>SUMIF(91:91,G28,92:92)-SUMIF(91:91,C28,92:92)+100</f>
        <v>100</v>
      </c>
      <c r="I28" s="1952"/>
      <c r="J28" s="413">
        <f>SUMIF(91:91,I28,92:92)-SUMIF(91:91,C28,92:92)+100</f>
        <v>100</v>
      </c>
      <c r="K28" s="561"/>
      <c r="L28" s="2711"/>
      <c r="M28" s="2712"/>
      <c r="N28" s="2712"/>
      <c r="O28" s="2712"/>
      <c r="P28" s="3751"/>
      <c r="Q28" s="1342" t="str">
        <f t="shared" si="11"/>
        <v>朝向</v>
      </c>
      <c r="R28" s="701" t="s">
        <v>14</v>
      </c>
      <c r="S28" s="702">
        <f>F28</f>
        <v>100</v>
      </c>
      <c r="T28" s="701" t="s">
        <v>14</v>
      </c>
      <c r="U28" s="702">
        <f>H28</f>
        <v>100</v>
      </c>
      <c r="V28" s="701" t="s">
        <v>14</v>
      </c>
      <c r="W28" s="702">
        <f>J28</f>
        <v>100</v>
      </c>
      <c r="X28" s="703"/>
      <c r="Y28" s="3744"/>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6"/>
      <c r="M29" s="2710"/>
      <c r="N29" s="2710"/>
      <c r="O29" s="2710"/>
      <c r="P29" s="3751"/>
      <c r="Q29" s="1351">
        <f t="shared" si="11"/>
        <v>111</v>
      </c>
      <c r="R29" s="705" t="s">
        <v>14</v>
      </c>
      <c r="S29" s="706">
        <f t="shared" ref="S29:S47" si="12">F29</f>
        <v>100</v>
      </c>
      <c r="T29" s="705" t="s">
        <v>14</v>
      </c>
      <c r="U29" s="706">
        <f t="shared" ref="U29:U47" si="13">H29</f>
        <v>100</v>
      </c>
      <c r="V29" s="705" t="s">
        <v>14</v>
      </c>
      <c r="W29" s="706">
        <f t="shared" ref="W29:W47" si="14">J29</f>
        <v>100</v>
      </c>
      <c r="X29" s="1354"/>
      <c r="Y29" s="3744"/>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6"/>
      <c r="M30" s="2710"/>
      <c r="N30" s="2710"/>
      <c r="O30" s="2710"/>
      <c r="P30" s="3751"/>
      <c r="Q30" s="1351">
        <f t="shared" si="11"/>
        <v>111</v>
      </c>
      <c r="R30" s="705" t="s">
        <v>14</v>
      </c>
      <c r="S30" s="706">
        <f t="shared" si="12"/>
        <v>100</v>
      </c>
      <c r="T30" s="705" t="s">
        <v>14</v>
      </c>
      <c r="U30" s="706">
        <f t="shared" si="13"/>
        <v>100</v>
      </c>
      <c r="V30" s="705" t="s">
        <v>14</v>
      </c>
      <c r="W30" s="706">
        <f t="shared" si="14"/>
        <v>100</v>
      </c>
      <c r="X30" s="1354"/>
      <c r="Y30" s="3744"/>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6"/>
      <c r="M31" s="2710"/>
      <c r="N31" s="2710"/>
      <c r="O31" s="2710"/>
      <c r="P31" s="3751"/>
      <c r="Q31" s="1351">
        <f t="shared" si="11"/>
        <v>111</v>
      </c>
      <c r="R31" s="705" t="s">
        <v>14</v>
      </c>
      <c r="S31" s="706">
        <f t="shared" si="12"/>
        <v>100</v>
      </c>
      <c r="T31" s="705" t="s">
        <v>14</v>
      </c>
      <c r="U31" s="706">
        <f t="shared" si="13"/>
        <v>100</v>
      </c>
      <c r="V31" s="705" t="s">
        <v>14</v>
      </c>
      <c r="W31" s="706">
        <f t="shared" si="14"/>
        <v>100</v>
      </c>
      <c r="X31" s="1354"/>
      <c r="Y31" s="3744"/>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6"/>
      <c r="M32" s="2710"/>
      <c r="N32" s="2710"/>
      <c r="O32" s="2710"/>
      <c r="P32" s="3751"/>
      <c r="Q32" s="1351">
        <f t="shared" si="11"/>
        <v>111</v>
      </c>
      <c r="R32" s="705" t="s">
        <v>14</v>
      </c>
      <c r="S32" s="706">
        <f t="shared" si="12"/>
        <v>100</v>
      </c>
      <c r="T32" s="705" t="s">
        <v>14</v>
      </c>
      <c r="U32" s="706">
        <f t="shared" si="13"/>
        <v>100</v>
      </c>
      <c r="V32" s="705" t="s">
        <v>14</v>
      </c>
      <c r="W32" s="706">
        <f t="shared" si="14"/>
        <v>100</v>
      </c>
      <c r="X32" s="1354"/>
      <c r="Y32" s="3744"/>
      <c r="Z32" s="1355">
        <f t="shared" si="15"/>
        <v>111</v>
      </c>
      <c r="AA32" s="1352">
        <f t="shared" si="3"/>
        <v>1</v>
      </c>
      <c r="AB32" s="1352">
        <f t="shared" si="4"/>
        <v>1</v>
      </c>
      <c r="AC32" s="1958">
        <f t="shared" si="5"/>
        <v>1</v>
      </c>
    </row>
    <row r="33" spans="1:29" ht="15">
      <c r="A33" s="391" t="s">
        <v>1693</v>
      </c>
      <c r="B33" s="63" t="s">
        <v>1816</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6"/>
      <c r="M33" s="2710"/>
      <c r="N33" s="2710"/>
      <c r="O33" s="2710"/>
      <c r="P33" s="3745" t="s">
        <v>1695</v>
      </c>
      <c r="Q33" s="1351" t="str">
        <f t="shared" si="11"/>
        <v>建筑类型</v>
      </c>
      <c r="R33" s="705" t="s">
        <v>14</v>
      </c>
      <c r="S33" s="706">
        <f t="shared" si="12"/>
        <v>100</v>
      </c>
      <c r="T33" s="705" t="s">
        <v>14</v>
      </c>
      <c r="U33" s="706">
        <f t="shared" si="13"/>
        <v>100</v>
      </c>
      <c r="V33" s="705" t="s">
        <v>14</v>
      </c>
      <c r="W33" s="706">
        <f t="shared" si="14"/>
        <v>100</v>
      </c>
      <c r="X33" s="1354"/>
      <c r="Y33" s="3748" t="s">
        <v>1695</v>
      </c>
      <c r="Z33" s="1355" t="str">
        <f t="shared" si="15"/>
        <v>建筑类型</v>
      </c>
      <c r="AA33" s="1352">
        <f t="shared" si="3"/>
        <v>1</v>
      </c>
      <c r="AB33" s="1352">
        <f t="shared" si="4"/>
        <v>1</v>
      </c>
      <c r="AC33" s="1958">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746"/>
      <c r="Q34" s="707" t="str">
        <f t="shared" si="11"/>
        <v>项目建筑规模</v>
      </c>
      <c r="R34" s="708" t="s">
        <v>14</v>
      </c>
      <c r="S34" s="709" t="e">
        <f t="shared" si="12"/>
        <v>#N/A</v>
      </c>
      <c r="T34" s="708" t="s">
        <v>14</v>
      </c>
      <c r="U34" s="709" t="e">
        <f t="shared" si="13"/>
        <v>#N/A</v>
      </c>
      <c r="V34" s="708" t="s">
        <v>14</v>
      </c>
      <c r="W34" s="709" t="e">
        <f t="shared" si="14"/>
        <v>#N/A</v>
      </c>
      <c r="X34" s="710"/>
      <c r="Y34" s="3748"/>
      <c r="Z34" s="711" t="str">
        <f t="shared" si="15"/>
        <v>项目建筑规模</v>
      </c>
      <c r="AA34" s="1352" t="e">
        <f t="shared" si="3"/>
        <v>#N/A</v>
      </c>
      <c r="AB34" s="1352" t="e">
        <f t="shared" si="4"/>
        <v>#N/A</v>
      </c>
      <c r="AC34" s="1958"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746"/>
      <c r="Q35" s="1351" t="str">
        <f t="shared" si="11"/>
        <v>建筑结构</v>
      </c>
      <c r="R35" s="705" t="s">
        <v>14</v>
      </c>
      <c r="S35" s="706">
        <f t="shared" si="12"/>
        <v>100</v>
      </c>
      <c r="T35" s="705" t="s">
        <v>14</v>
      </c>
      <c r="U35" s="706">
        <f t="shared" si="13"/>
        <v>100</v>
      </c>
      <c r="V35" s="705" t="s">
        <v>14</v>
      </c>
      <c r="W35" s="706">
        <f t="shared" si="14"/>
        <v>100</v>
      </c>
      <c r="X35" s="1354"/>
      <c r="Y35" s="3748"/>
      <c r="Z35" s="1355" t="str">
        <f t="shared" si="15"/>
        <v>建筑结构</v>
      </c>
      <c r="AA35" s="1352">
        <f t="shared" si="3"/>
        <v>1</v>
      </c>
      <c r="AB35" s="1352">
        <f t="shared" si="4"/>
        <v>1</v>
      </c>
      <c r="AC35" s="1958">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746"/>
      <c r="Q36" s="1351" t="str">
        <f t="shared" si="11"/>
        <v>公共部分装修</v>
      </c>
      <c r="R36" s="705" t="s">
        <v>14</v>
      </c>
      <c r="S36" s="706">
        <f t="shared" si="12"/>
        <v>100</v>
      </c>
      <c r="T36" s="705" t="s">
        <v>14</v>
      </c>
      <c r="U36" s="706">
        <f t="shared" si="13"/>
        <v>100</v>
      </c>
      <c r="V36" s="705" t="s">
        <v>14</v>
      </c>
      <c r="W36" s="706">
        <f t="shared" si="14"/>
        <v>100</v>
      </c>
      <c r="X36" s="1354"/>
      <c r="Y36" s="3748"/>
      <c r="Z36" s="1355" t="str">
        <f t="shared" si="15"/>
        <v>公共部分装修</v>
      </c>
      <c r="AA36" s="1352">
        <f t="shared" si="3"/>
        <v>1</v>
      </c>
      <c r="AB36" s="1352">
        <f t="shared" si="4"/>
        <v>1</v>
      </c>
      <c r="AC36" s="1958">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746"/>
      <c r="Q37" s="1351" t="str">
        <f t="shared" si="11"/>
        <v>成新度</v>
      </c>
      <c r="R37" s="705" t="s">
        <v>14</v>
      </c>
      <c r="S37" s="706" t="e">
        <f t="shared" si="12"/>
        <v>#N/A</v>
      </c>
      <c r="T37" s="705" t="s">
        <v>14</v>
      </c>
      <c r="U37" s="706" t="e">
        <f t="shared" si="13"/>
        <v>#N/A</v>
      </c>
      <c r="V37" s="705" t="s">
        <v>14</v>
      </c>
      <c r="W37" s="706" t="e">
        <f t="shared" si="14"/>
        <v>#N/A</v>
      </c>
      <c r="X37" s="1354"/>
      <c r="Y37" s="3748"/>
      <c r="Z37" s="1355" t="str">
        <f t="shared" si="15"/>
        <v>成新度</v>
      </c>
      <c r="AA37" s="1352" t="e">
        <f t="shared" si="3"/>
        <v>#N/A</v>
      </c>
      <c r="AB37" s="1352" t="e">
        <f t="shared" si="4"/>
        <v>#N/A</v>
      </c>
      <c r="AC37" s="1958"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46"/>
      <c r="Q38" s="1342" t="str">
        <f t="shared" si="11"/>
        <v>写字楼等级</v>
      </c>
      <c r="R38" s="701" t="s">
        <v>14</v>
      </c>
      <c r="S38" s="702">
        <f t="shared" si="12"/>
        <v>100</v>
      </c>
      <c r="T38" s="701" t="s">
        <v>14</v>
      </c>
      <c r="U38" s="702">
        <f t="shared" si="13"/>
        <v>100</v>
      </c>
      <c r="V38" s="701" t="s">
        <v>14</v>
      </c>
      <c r="W38" s="702">
        <f t="shared" si="14"/>
        <v>100</v>
      </c>
      <c r="X38" s="703"/>
      <c r="Y38" s="3748"/>
      <c r="Z38" s="52" t="str">
        <f t="shared" si="15"/>
        <v>写字楼等级</v>
      </c>
      <c r="AA38" s="704">
        <f t="shared" si="3"/>
        <v>1</v>
      </c>
      <c r="AB38" s="704">
        <f t="shared" si="4"/>
        <v>1</v>
      </c>
      <c r="AC38" s="1955">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746" t="s">
        <v>1695</v>
      </c>
      <c r="Q39" s="1351" t="str">
        <f t="shared" si="11"/>
        <v>物业管理</v>
      </c>
      <c r="R39" s="705" t="s">
        <v>14</v>
      </c>
      <c r="S39" s="706">
        <f t="shared" si="12"/>
        <v>100</v>
      </c>
      <c r="T39" s="705" t="s">
        <v>14</v>
      </c>
      <c r="U39" s="706">
        <f t="shared" si="13"/>
        <v>100</v>
      </c>
      <c r="V39" s="705" t="s">
        <v>14</v>
      </c>
      <c r="W39" s="706">
        <f t="shared" si="14"/>
        <v>100</v>
      </c>
      <c r="X39" s="1354"/>
      <c r="Y39" s="3748" t="s">
        <v>1695</v>
      </c>
      <c r="Z39" s="1355" t="str">
        <f t="shared" si="15"/>
        <v>物业管理</v>
      </c>
      <c r="AA39" s="1352">
        <f t="shared" si="3"/>
        <v>1</v>
      </c>
      <c r="AB39" s="1352">
        <f t="shared" si="4"/>
        <v>1</v>
      </c>
      <c r="AC39" s="1958">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46"/>
      <c r="Q40" s="1351" t="str">
        <f t="shared" si="11"/>
        <v>市政基础设施</v>
      </c>
      <c r="R40" s="705" t="s">
        <v>14</v>
      </c>
      <c r="S40" s="706">
        <f t="shared" si="12"/>
        <v>100</v>
      </c>
      <c r="T40" s="705" t="s">
        <v>14</v>
      </c>
      <c r="U40" s="706">
        <f t="shared" si="13"/>
        <v>100</v>
      </c>
      <c r="V40" s="705" t="s">
        <v>14</v>
      </c>
      <c r="W40" s="706">
        <f t="shared" si="14"/>
        <v>100</v>
      </c>
      <c r="X40" s="1354"/>
      <c r="Y40" s="3748"/>
      <c r="Z40" s="1355" t="str">
        <f t="shared" si="15"/>
        <v>市政基础设施</v>
      </c>
      <c r="AA40" s="1352">
        <f t="shared" si="3"/>
        <v>1</v>
      </c>
      <c r="AB40" s="1352">
        <f t="shared" si="4"/>
        <v>1</v>
      </c>
      <c r="AC40" s="1958">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46"/>
      <c r="Q41" s="1351" t="str">
        <f t="shared" si="11"/>
        <v>层高</v>
      </c>
      <c r="R41" s="705" t="s">
        <v>14</v>
      </c>
      <c r="S41" s="706">
        <f t="shared" si="12"/>
        <v>100</v>
      </c>
      <c r="T41" s="705" t="s">
        <v>14</v>
      </c>
      <c r="U41" s="706">
        <f t="shared" si="13"/>
        <v>100</v>
      </c>
      <c r="V41" s="705" t="s">
        <v>14</v>
      </c>
      <c r="W41" s="706">
        <f t="shared" si="14"/>
        <v>100</v>
      </c>
      <c r="X41" s="1354"/>
      <c r="Y41" s="3748"/>
      <c r="Z41" s="1355" t="str">
        <f t="shared" si="15"/>
        <v>层高</v>
      </c>
      <c r="AA41" s="1352">
        <f t="shared" si="3"/>
        <v>1</v>
      </c>
      <c r="AB41" s="1352">
        <f t="shared" si="4"/>
        <v>1</v>
      </c>
      <c r="AC41" s="1958">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46"/>
      <c r="Q42" s="707" t="str">
        <f t="shared" si="11"/>
        <v>单套建筑面积</v>
      </c>
      <c r="R42" s="708" t="s">
        <v>14</v>
      </c>
      <c r="S42" s="709">
        <f t="shared" si="12"/>
        <v>100</v>
      </c>
      <c r="T42" s="708" t="s">
        <v>14</v>
      </c>
      <c r="U42" s="709">
        <f t="shared" si="13"/>
        <v>100</v>
      </c>
      <c r="V42" s="708" t="s">
        <v>14</v>
      </c>
      <c r="W42" s="709">
        <f t="shared" si="14"/>
        <v>100</v>
      </c>
      <c r="X42" s="710"/>
      <c r="Y42" s="3748"/>
      <c r="Z42" s="711" t="str">
        <f t="shared" si="15"/>
        <v>单套建筑面积</v>
      </c>
      <c r="AA42" s="1352">
        <f t="shared" si="3"/>
        <v>1</v>
      </c>
      <c r="AB42" s="1352">
        <f t="shared" si="4"/>
        <v>1</v>
      </c>
      <c r="AC42" s="1958">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746"/>
      <c r="Q43" s="1351" t="str">
        <f t="shared" si="11"/>
        <v>内部装修</v>
      </c>
      <c r="R43" s="705" t="s">
        <v>14</v>
      </c>
      <c r="S43" s="706">
        <f t="shared" si="12"/>
        <v>100</v>
      </c>
      <c r="T43" s="705" t="s">
        <v>14</v>
      </c>
      <c r="U43" s="706">
        <f t="shared" si="13"/>
        <v>100</v>
      </c>
      <c r="V43" s="705" t="s">
        <v>14</v>
      </c>
      <c r="W43" s="706">
        <f t="shared" si="14"/>
        <v>100</v>
      </c>
      <c r="X43" s="1354"/>
      <c r="Y43" s="3748"/>
      <c r="Z43" s="1355" t="str">
        <f t="shared" si="15"/>
        <v>内部装修</v>
      </c>
      <c r="AA43" s="1352">
        <f t="shared" si="3"/>
        <v>1</v>
      </c>
      <c r="AB43" s="1352">
        <f t="shared" si="4"/>
        <v>1</v>
      </c>
      <c r="AC43" s="1958">
        <f t="shared" si="5"/>
        <v>1</v>
      </c>
    </row>
    <row r="44" spans="1:29" ht="15">
      <c r="A44" s="423"/>
      <c r="B44" s="375" t="s">
        <v>1706</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6"/>
      <c r="M44" s="2710"/>
      <c r="N44" s="2710"/>
      <c r="O44" s="2710"/>
      <c r="P44" s="3746"/>
      <c r="Q44" s="1351" t="str">
        <f t="shared" si="11"/>
        <v>内部装修维护情况</v>
      </c>
      <c r="R44" s="705" t="s">
        <v>14</v>
      </c>
      <c r="S44" s="706">
        <f t="shared" si="12"/>
        <v>100</v>
      </c>
      <c r="T44" s="705" t="s">
        <v>14</v>
      </c>
      <c r="U44" s="706">
        <f t="shared" si="13"/>
        <v>100</v>
      </c>
      <c r="V44" s="705" t="s">
        <v>14</v>
      </c>
      <c r="W44" s="706">
        <f t="shared" si="14"/>
        <v>100</v>
      </c>
      <c r="X44" s="1354"/>
      <c r="Y44" s="3748"/>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46"/>
      <c r="Q45" s="1342">
        <f t="shared" si="11"/>
        <v>111</v>
      </c>
      <c r="R45" s="701" t="s">
        <v>14</v>
      </c>
      <c r="S45" s="702">
        <f t="shared" si="12"/>
        <v>100</v>
      </c>
      <c r="T45" s="701" t="s">
        <v>14</v>
      </c>
      <c r="U45" s="702">
        <f t="shared" si="13"/>
        <v>100</v>
      </c>
      <c r="V45" s="701" t="s">
        <v>14</v>
      </c>
      <c r="W45" s="702">
        <f t="shared" si="14"/>
        <v>100</v>
      </c>
      <c r="X45" s="703"/>
      <c r="Y45" s="3748"/>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46"/>
      <c r="Q46" s="1351">
        <f t="shared" si="11"/>
        <v>111</v>
      </c>
      <c r="R46" s="705" t="s">
        <v>14</v>
      </c>
      <c r="S46" s="706">
        <f t="shared" si="12"/>
        <v>100</v>
      </c>
      <c r="T46" s="705" t="s">
        <v>14</v>
      </c>
      <c r="U46" s="706">
        <f t="shared" si="13"/>
        <v>100</v>
      </c>
      <c r="V46" s="705" t="s">
        <v>14</v>
      </c>
      <c r="W46" s="706">
        <f t="shared" si="14"/>
        <v>100</v>
      </c>
      <c r="X46" s="1354"/>
      <c r="Y46" s="3748"/>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47"/>
      <c r="Q47" s="1351">
        <f t="shared" si="11"/>
        <v>111</v>
      </c>
      <c r="R47" s="705" t="s">
        <v>14</v>
      </c>
      <c r="S47" s="706">
        <f t="shared" si="12"/>
        <v>100</v>
      </c>
      <c r="T47" s="705" t="s">
        <v>14</v>
      </c>
      <c r="U47" s="706">
        <f t="shared" si="13"/>
        <v>100</v>
      </c>
      <c r="V47" s="705" t="s">
        <v>14</v>
      </c>
      <c r="W47" s="706">
        <f t="shared" si="14"/>
        <v>100</v>
      </c>
      <c r="X47" s="1354"/>
      <c r="Y47" s="3749"/>
      <c r="Z47" s="1355">
        <f t="shared" si="15"/>
        <v>111</v>
      </c>
      <c r="AA47" s="1352">
        <f t="shared" si="3"/>
        <v>1</v>
      </c>
      <c r="AB47" s="1352">
        <f t="shared" si="4"/>
        <v>1</v>
      </c>
      <c r="AC47" s="1958">
        <f t="shared" si="5"/>
        <v>1</v>
      </c>
    </row>
    <row r="48" spans="1:29" ht="15">
      <c r="A48" s="430" t="s">
        <v>1707</v>
      </c>
      <c r="B48" s="431"/>
      <c r="C48" s="1154" t="s">
        <v>0</v>
      </c>
      <c r="D48" s="1155"/>
      <c r="E48" s="1156"/>
      <c r="F48" s="1157"/>
      <c r="G48" s="1158"/>
      <c r="H48" s="1159"/>
      <c r="I48" s="1156"/>
      <c r="J48" s="436"/>
      <c r="K48" s="714"/>
      <c r="L48" s="2718"/>
      <c r="M48" s="2710"/>
      <c r="N48" s="2710"/>
      <c r="O48" s="2710"/>
      <c r="P48" s="3723" t="str">
        <f>A48</f>
        <v>成交单价（元/平方米）</v>
      </c>
      <c r="Q48" s="3741"/>
      <c r="R48" s="3742">
        <f>E48</f>
        <v>0</v>
      </c>
      <c r="S48" s="3742"/>
      <c r="T48" s="3742">
        <f>G48</f>
        <v>0</v>
      </c>
      <c r="U48" s="3742"/>
      <c r="V48" s="3742">
        <f>I48</f>
        <v>0</v>
      </c>
      <c r="W48" s="3742"/>
      <c r="X48" s="397"/>
      <c r="Y48" s="712"/>
      <c r="Z48" s="397"/>
      <c r="AA48" s="397"/>
      <c r="AB48" s="397"/>
      <c r="AC48" s="578"/>
    </row>
    <row r="49" spans="1:29" ht="15.75" thickBot="1">
      <c r="A49" s="437" t="s">
        <v>1792</v>
      </c>
      <c r="B49" s="438"/>
      <c r="C49" s="1160" t="e">
        <f>R50</f>
        <v>#DIV/0!</v>
      </c>
      <c r="D49" s="2313" t="s">
        <v>2136</v>
      </c>
      <c r="E49" s="1161" t="e">
        <f>R49</f>
        <v>#DIV/0!</v>
      </c>
      <c r="F49" s="2314"/>
      <c r="G49" s="1160" t="e">
        <f>T49</f>
        <v>#DIV/0!</v>
      </c>
      <c r="H49" s="2314"/>
      <c r="I49" s="1161" t="e">
        <f>V49</f>
        <v>#DIV/0!</v>
      </c>
      <c r="J49" s="2314"/>
      <c r="K49" s="2316">
        <f>F49+H49+J49</f>
        <v>0</v>
      </c>
      <c r="L49" s="2718"/>
      <c r="M49" s="2710"/>
      <c r="N49" s="2710"/>
      <c r="O49" s="2710"/>
      <c r="P49" s="3723" t="str">
        <f>A49</f>
        <v>比较价值（元/平方米）</v>
      </c>
      <c r="Q49" s="3741"/>
      <c r="R49" s="3742" t="e">
        <f>IF(F1="售价",ROUND(PRODUCT(R48,AA7:AA47),0),ROUND(PRODUCT(R48,AA7:AA47),1))</f>
        <v>#DIV/0!</v>
      </c>
      <c r="S49" s="3742"/>
      <c r="T49" s="3742" t="e">
        <f>IF(F1="售价",ROUND(PRODUCT(T48,AB7:AB47),0),ROUND(PRODUCT(T48,AB7:AB47),1))</f>
        <v>#DIV/0!</v>
      </c>
      <c r="U49" s="3742"/>
      <c r="V49" s="3742" t="e">
        <f>IF(F1="售价",ROUND(PRODUCT(V48,AC7:AC47),0),ROUND(PRODUCT(V48,AC7:AC47),1))</f>
        <v>#DIV/0!</v>
      </c>
      <c r="W49" s="3742"/>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8"/>
      <c r="M50" s="2710"/>
      <c r="N50" s="2710"/>
      <c r="O50" s="2710"/>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1797</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1678</v>
      </c>
      <c r="B59" s="455"/>
      <c r="C59" s="1183" t="str">
        <f>YEAR(C7)&amp;"-"&amp;MONTH(C7)</f>
        <v>2023-4</v>
      </c>
      <c r="D59" s="1184">
        <f>EDATE(C59,-1)</f>
        <v>44986</v>
      </c>
      <c r="E59" s="1184">
        <f>EDATE(D59,-1)</f>
        <v>44958</v>
      </c>
      <c r="F59" s="1184">
        <f t="shared" ref="F59:O59" si="16">EDATE(E59,-1)</f>
        <v>44927</v>
      </c>
      <c r="G59" s="1184">
        <f t="shared" si="16"/>
        <v>44896</v>
      </c>
      <c r="H59" s="1184">
        <f t="shared" si="16"/>
        <v>44866</v>
      </c>
      <c r="I59" s="1184">
        <f t="shared" si="16"/>
        <v>44835</v>
      </c>
      <c r="J59" s="1184">
        <f t="shared" si="16"/>
        <v>44805</v>
      </c>
      <c r="K59" s="1184">
        <f t="shared" si="16"/>
        <v>44774</v>
      </c>
      <c r="L59" s="1184">
        <f t="shared" si="16"/>
        <v>44743</v>
      </c>
      <c r="M59" s="1184">
        <f t="shared" si="16"/>
        <v>44713</v>
      </c>
      <c r="N59" s="1184">
        <f t="shared" si="16"/>
        <v>44682</v>
      </c>
      <c r="O59" s="1184">
        <f t="shared" si="16"/>
        <v>44652</v>
      </c>
      <c r="P59" s="2753"/>
      <c r="Q59" s="2735"/>
      <c r="R59" s="2735"/>
      <c r="S59" s="2735"/>
      <c r="T59" s="2735"/>
      <c r="U59" s="2735"/>
      <c r="V59" s="2735"/>
      <c r="W59" s="2735"/>
      <c r="X59" s="2735"/>
      <c r="Y59" s="2735"/>
      <c r="Z59" s="2735"/>
      <c r="AA59" s="2735"/>
      <c r="AB59" s="2735"/>
      <c r="AC59" s="2735"/>
    </row>
    <row r="60" spans="1:29" s="108" customFormat="1" ht="15">
      <c r="A60" s="458"/>
      <c r="B60" s="459"/>
      <c r="C60" s="1182">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1680</v>
      </c>
      <c r="B62" s="459"/>
      <c r="C62" s="471" t="s">
        <v>1775</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1718</v>
      </c>
      <c r="B64" s="477" t="s">
        <v>1684</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1687</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1689</v>
      </c>
      <c r="B77" s="477" t="s">
        <v>1820</v>
      </c>
      <c r="C77" s="522" t="s">
        <v>1720</v>
      </c>
      <c r="D77" s="522" t="s">
        <v>1721</v>
      </c>
      <c r="E77" s="522" t="s">
        <v>1722</v>
      </c>
      <c r="F77" s="522" t="s">
        <v>1723</v>
      </c>
      <c r="G77" s="522" t="s">
        <v>1724</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1725</v>
      </c>
      <c r="C79" s="527" t="s">
        <v>1720</v>
      </c>
      <c r="D79" s="527" t="s">
        <v>1721</v>
      </c>
      <c r="E79" s="527" t="s">
        <v>1722</v>
      </c>
      <c r="F79" s="527" t="s">
        <v>1723</v>
      </c>
      <c r="G79" s="527" t="s">
        <v>1724</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1726</v>
      </c>
      <c r="C81" s="527" t="s">
        <v>1720</v>
      </c>
      <c r="D81" s="527" t="s">
        <v>1721</v>
      </c>
      <c r="E81" s="527" t="s">
        <v>1722</v>
      </c>
      <c r="F81" s="527" t="s">
        <v>1723</v>
      </c>
      <c r="G81" s="527" t="s">
        <v>1724</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1812</v>
      </c>
      <c r="C83" s="608" t="s">
        <v>1798</v>
      </c>
      <c r="D83" s="608" t="s">
        <v>1799</v>
      </c>
      <c r="E83" s="608" t="s">
        <v>1800</v>
      </c>
      <c r="F83" s="608" t="s">
        <v>1801</v>
      </c>
      <c r="G83" s="608" t="s">
        <v>1802</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1821</v>
      </c>
      <c r="C85" s="527" t="s">
        <v>1720</v>
      </c>
      <c r="D85" s="527" t="s">
        <v>1721</v>
      </c>
      <c r="E85" s="527" t="s">
        <v>1722</v>
      </c>
      <c r="F85" s="527" t="s">
        <v>1723</v>
      </c>
      <c r="G85" s="527" t="s">
        <v>1724</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1822</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1693</v>
      </c>
      <c r="B101" s="477" t="s">
        <v>1735</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1737</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1739</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1823</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1740</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1741</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1824</v>
      </c>
      <c r="C119" s="532"/>
      <c r="D119" s="532"/>
      <c r="E119" s="532"/>
      <c r="F119" s="532"/>
      <c r="G119" s="532"/>
      <c r="H119" s="532"/>
      <c r="I119" s="532"/>
      <c r="J119" s="532"/>
      <c r="K119" s="532"/>
      <c r="L119" s="1964"/>
      <c r="M119" s="1965"/>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1807</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1743</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3" t="s">
        <v>1825</v>
      </c>
      <c r="C1" s="1223" t="s">
        <v>1661</v>
      </c>
      <c r="D1" s="1224"/>
      <c r="E1" s="3427"/>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57457.869999999995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24" t="s">
        <v>1769</v>
      </c>
      <c r="D4" s="3725"/>
      <c r="E4" s="3726" t="s">
        <v>1770</v>
      </c>
      <c r="F4" s="3727"/>
      <c r="G4" s="3724" t="s">
        <v>1771</v>
      </c>
      <c r="H4" s="3725"/>
      <c r="I4" s="3724" t="s">
        <v>1772</v>
      </c>
      <c r="J4" s="3725"/>
      <c r="K4" s="559" t="s">
        <v>1773</v>
      </c>
      <c r="L4" s="913"/>
      <c r="M4" s="914"/>
      <c r="N4" s="914"/>
      <c r="O4" s="914"/>
      <c r="P4" s="3728" t="s">
        <v>1774</v>
      </c>
      <c r="Q4" s="3729"/>
      <c r="R4" s="3711" t="s">
        <v>1770</v>
      </c>
      <c r="S4" s="3712"/>
      <c r="T4" s="3711" t="s">
        <v>1771</v>
      </c>
      <c r="U4" s="3712"/>
      <c r="V4" s="3736" t="s">
        <v>1772</v>
      </c>
      <c r="W4" s="3736"/>
      <c r="X4" s="1354"/>
      <c r="Y4" s="3711" t="s">
        <v>1774</v>
      </c>
      <c r="Z4" s="3712"/>
      <c r="AA4" s="3706" t="s">
        <v>1770</v>
      </c>
      <c r="AB4" s="3707" t="s">
        <v>1771</v>
      </c>
      <c r="AC4" s="3706" t="s">
        <v>1772</v>
      </c>
    </row>
    <row r="5" spans="1:29" ht="15">
      <c r="A5" s="358"/>
      <c r="B5" s="359"/>
      <c r="C5" s="3717" t="s">
        <v>1672</v>
      </c>
      <c r="D5" s="3718"/>
      <c r="E5" s="3715" t="s">
        <v>1673</v>
      </c>
      <c r="F5" s="3716"/>
      <c r="G5" s="3717" t="s">
        <v>1674</v>
      </c>
      <c r="H5" s="3718"/>
      <c r="I5" s="3717" t="s">
        <v>1675</v>
      </c>
      <c r="J5" s="3718"/>
      <c r="K5" s="559"/>
      <c r="L5" s="913"/>
      <c r="M5" s="914"/>
      <c r="N5" s="914"/>
      <c r="O5" s="914"/>
      <c r="P5" s="3730"/>
      <c r="Q5" s="3731"/>
      <c r="R5" s="3713"/>
      <c r="S5" s="3714"/>
      <c r="T5" s="3713"/>
      <c r="U5" s="3714"/>
      <c r="V5" s="3736"/>
      <c r="W5" s="3736"/>
      <c r="X5" s="1354"/>
      <c r="Y5" s="3713"/>
      <c r="Z5" s="3714"/>
      <c r="AA5" s="3707"/>
      <c r="AB5" s="3707"/>
      <c r="AC5" s="3707"/>
    </row>
    <row r="6" spans="1:29" ht="15.75" thickBot="1">
      <c r="A6" s="360"/>
      <c r="B6" s="361"/>
      <c r="C6" s="3719" t="s">
        <v>1676</v>
      </c>
      <c r="D6" s="3720"/>
      <c r="E6" s="3721" t="s">
        <v>1676</v>
      </c>
      <c r="F6" s="3722"/>
      <c r="G6" s="3719" t="s">
        <v>1676</v>
      </c>
      <c r="H6" s="3720"/>
      <c r="I6" s="3719" t="s">
        <v>1676</v>
      </c>
      <c r="J6" s="3720"/>
      <c r="K6" s="559" t="s">
        <v>1677</v>
      </c>
      <c r="L6" s="913"/>
      <c r="M6" s="914"/>
      <c r="N6" s="914"/>
      <c r="O6" s="914"/>
      <c r="P6" s="3732"/>
      <c r="Q6" s="3733"/>
      <c r="R6" s="3713"/>
      <c r="S6" s="3714"/>
      <c r="T6" s="3734"/>
      <c r="U6" s="3735"/>
      <c r="V6" s="3736"/>
      <c r="W6" s="3736"/>
      <c r="X6" s="1354"/>
      <c r="Y6" s="3734"/>
      <c r="Z6" s="3735"/>
      <c r="AA6" s="3708"/>
      <c r="AB6" s="3708"/>
      <c r="AC6" s="3708"/>
    </row>
    <row r="7" spans="1:29" s="108" customFormat="1" ht="15.75" thickBot="1">
      <c r="A7" s="362" t="s">
        <v>1678</v>
      </c>
      <c r="B7" s="363"/>
      <c r="C7" s="364">
        <f>'数据-取费表'!B2</f>
        <v>45035</v>
      </c>
      <c r="D7" s="365">
        <v>100</v>
      </c>
      <c r="E7" s="366"/>
      <c r="F7" s="367">
        <f>SUMIF(52:52,YEAR(E7)&amp;"-"&amp;MONTH(E7),53:53)</f>
        <v>0</v>
      </c>
      <c r="G7" s="366"/>
      <c r="H7" s="365">
        <f>SUMIF(52:52,YEAR(G7)&amp;"-"&amp;MONTH(G7),53:53)</f>
        <v>0</v>
      </c>
      <c r="I7" s="366"/>
      <c r="J7" s="365">
        <f>SUMIF(52:52,YEAR(I7)&amp;"-"&amp;MONTH(I7),53:53)</f>
        <v>0</v>
      </c>
      <c r="K7" s="560"/>
      <c r="L7" s="915"/>
      <c r="M7" s="916"/>
      <c r="N7" s="916"/>
      <c r="O7" s="916"/>
      <c r="P7" s="3709" t="s">
        <v>1679</v>
      </c>
      <c r="Q7" s="3737"/>
      <c r="R7" s="701" t="s">
        <v>14</v>
      </c>
      <c r="S7" s="702">
        <f t="shared" ref="S7:S15" si="0">F7</f>
        <v>0</v>
      </c>
      <c r="T7" s="701" t="s">
        <v>14</v>
      </c>
      <c r="U7" s="702">
        <f t="shared" ref="U7:U15" si="1">H7</f>
        <v>0</v>
      </c>
      <c r="V7" s="701" t="s">
        <v>14</v>
      </c>
      <c r="W7" s="702">
        <f t="shared" ref="W7:W15" si="2">J7</f>
        <v>0</v>
      </c>
      <c r="X7" s="703"/>
      <c r="Y7" s="3709" t="s">
        <v>1679</v>
      </c>
      <c r="Z7" s="3710"/>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9" t="s">
        <v>1682</v>
      </c>
      <c r="Q8" s="3710"/>
      <c r="R8" s="701" t="s">
        <v>14</v>
      </c>
      <c r="S8" s="702">
        <f t="shared" si="0"/>
        <v>100</v>
      </c>
      <c r="T8" s="701" t="s">
        <v>14</v>
      </c>
      <c r="U8" s="702">
        <f t="shared" si="1"/>
        <v>100</v>
      </c>
      <c r="V8" s="701" t="s">
        <v>14</v>
      </c>
      <c r="W8" s="702">
        <f t="shared" si="2"/>
        <v>100</v>
      </c>
      <c r="X8" s="703"/>
      <c r="Y8" s="3709" t="s">
        <v>1682</v>
      </c>
      <c r="Z8" s="3710"/>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1" t="s">
        <v>1685</v>
      </c>
      <c r="Q9" s="1342" t="str">
        <f t="shared" ref="Q9:Q15" si="6">B9</f>
        <v>用途</v>
      </c>
      <c r="R9" s="701" t="s">
        <v>14</v>
      </c>
      <c r="S9" s="702">
        <f t="shared" si="0"/>
        <v>100</v>
      </c>
      <c r="T9" s="701" t="s">
        <v>14</v>
      </c>
      <c r="U9" s="702">
        <f t="shared" si="1"/>
        <v>100</v>
      </c>
      <c r="V9" s="701" t="s">
        <v>14</v>
      </c>
      <c r="W9" s="702">
        <f t="shared" si="2"/>
        <v>100</v>
      </c>
      <c r="X9" s="703"/>
      <c r="Y9" s="3653" t="s">
        <v>1686</v>
      </c>
      <c r="Z9" s="52" t="str">
        <f t="shared" ref="Z9:Z15" si="7">Q9</f>
        <v>用途</v>
      </c>
      <c r="AA9" s="704">
        <f t="shared" si="3"/>
        <v>1</v>
      </c>
      <c r="AB9" s="704">
        <f t="shared" si="4"/>
        <v>1</v>
      </c>
      <c r="AC9" s="704">
        <f t="shared" si="5"/>
        <v>1</v>
      </c>
    </row>
    <row r="10" spans="1:29" s="378" customFormat="1" ht="27">
      <c r="A10" s="374"/>
      <c r="B10" s="375" t="s">
        <v>1687</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741"/>
      <c r="Q10" s="1342"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1"/>
      <c r="Q11" s="1342" t="str">
        <f t="shared" si="6"/>
        <v>容积率</v>
      </c>
      <c r="R11" s="701" t="s">
        <v>14</v>
      </c>
      <c r="S11" s="702">
        <f t="shared" si="0"/>
        <v>100</v>
      </c>
      <c r="T11" s="701" t="s">
        <v>14</v>
      </c>
      <c r="U11" s="702">
        <f t="shared" si="1"/>
        <v>100</v>
      </c>
      <c r="V11" s="701" t="s">
        <v>14</v>
      </c>
      <c r="W11" s="702">
        <f t="shared" si="2"/>
        <v>100</v>
      </c>
      <c r="X11" s="703"/>
      <c r="Y11" s="3653"/>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41"/>
      <c r="Q12" s="1342">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41"/>
      <c r="Q13" s="1342">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41"/>
      <c r="Q14" s="1342">
        <f t="shared" si="6"/>
        <v>111</v>
      </c>
      <c r="R14" s="701" t="s">
        <v>14</v>
      </c>
      <c r="S14" s="702">
        <f t="shared" si="0"/>
        <v>100</v>
      </c>
      <c r="T14" s="701" t="s">
        <v>14</v>
      </c>
      <c r="U14" s="702">
        <f t="shared" si="1"/>
        <v>100</v>
      </c>
      <c r="V14" s="701" t="s">
        <v>14</v>
      </c>
      <c r="W14" s="702">
        <f t="shared" si="2"/>
        <v>100</v>
      </c>
      <c r="X14" s="703"/>
      <c r="Y14" s="3653"/>
      <c r="Z14" s="52">
        <f t="shared" si="7"/>
        <v>111</v>
      </c>
      <c r="AA14" s="704">
        <f t="shared" si="3"/>
        <v>1</v>
      </c>
      <c r="AB14" s="704">
        <f t="shared" si="4"/>
        <v>1</v>
      </c>
      <c r="AC14" s="704">
        <f t="shared" si="5"/>
        <v>1</v>
      </c>
    </row>
    <row r="15" spans="1:29" ht="57">
      <c r="A15" s="391" t="s">
        <v>1689</v>
      </c>
      <c r="B15" s="61" t="s">
        <v>1826</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3" t="s">
        <v>1690</v>
      </c>
      <c r="Q15" s="1351" t="str">
        <f t="shared" si="6"/>
        <v>产业集聚程度</v>
      </c>
      <c r="R15" s="705" t="s">
        <v>14</v>
      </c>
      <c r="S15" s="706">
        <f t="shared" si="0"/>
        <v>100</v>
      </c>
      <c r="T15" s="705" t="s">
        <v>14</v>
      </c>
      <c r="U15" s="706">
        <f t="shared" si="1"/>
        <v>100</v>
      </c>
      <c r="V15" s="705" t="s">
        <v>14</v>
      </c>
      <c r="W15" s="706">
        <f t="shared" si="2"/>
        <v>100</v>
      </c>
      <c r="X15" s="1354"/>
      <c r="Y15" s="3743"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44"/>
      <c r="Q16" s="1351"/>
      <c r="R16" s="705"/>
      <c r="S16" s="706"/>
      <c r="T16" s="705"/>
      <c r="U16" s="706"/>
      <c r="V16" s="705"/>
      <c r="W16" s="706"/>
      <c r="X16" s="1354"/>
      <c r="Y16" s="3744"/>
      <c r="Z16" s="1355"/>
      <c r="AA16" s="1352">
        <v>1</v>
      </c>
      <c r="AB16" s="1352">
        <v>1</v>
      </c>
      <c r="AC16" s="1352">
        <v>1</v>
      </c>
    </row>
    <row r="17" spans="1:29" ht="85.5">
      <c r="A17" s="379"/>
      <c r="B17" s="402" t="s">
        <v>1258</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4"/>
      <c r="Q17" s="1351" t="str">
        <f>B17</f>
        <v>交通便捷度</v>
      </c>
      <c r="R17" s="705" t="s">
        <v>14</v>
      </c>
      <c r="S17" s="706">
        <f>F17</f>
        <v>100</v>
      </c>
      <c r="T17" s="705" t="s">
        <v>14</v>
      </c>
      <c r="U17" s="706">
        <f>H17</f>
        <v>100</v>
      </c>
      <c r="V17" s="705" t="s">
        <v>14</v>
      </c>
      <c r="W17" s="706">
        <f>J17</f>
        <v>100</v>
      </c>
      <c r="X17" s="1354"/>
      <c r="Y17" s="3744"/>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44"/>
      <c r="Q18" s="1351"/>
      <c r="R18" s="705"/>
      <c r="S18" s="706"/>
      <c r="T18" s="705"/>
      <c r="U18" s="706"/>
      <c r="V18" s="705"/>
      <c r="W18" s="706"/>
      <c r="X18" s="1354"/>
      <c r="Y18" s="3744"/>
      <c r="Z18" s="1355"/>
      <c r="AA18" s="1352">
        <v>1</v>
      </c>
      <c r="AB18" s="1352">
        <v>1</v>
      </c>
      <c r="AC18" s="1352">
        <v>1</v>
      </c>
    </row>
    <row r="19" spans="1:29" ht="42.75">
      <c r="A19" s="379"/>
      <c r="B19" s="402" t="s">
        <v>1811</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4"/>
      <c r="Q19" s="1351" t="str">
        <f>B19</f>
        <v>公共配套设施</v>
      </c>
      <c r="R19" s="705" t="s">
        <v>14</v>
      </c>
      <c r="S19" s="706">
        <f>F19</f>
        <v>100</v>
      </c>
      <c r="T19" s="705" t="s">
        <v>14</v>
      </c>
      <c r="U19" s="706">
        <f>H19</f>
        <v>100</v>
      </c>
      <c r="V19" s="705" t="s">
        <v>14</v>
      </c>
      <c r="W19" s="706">
        <f>J19</f>
        <v>100</v>
      </c>
      <c r="X19" s="1354"/>
      <c r="Y19" s="3744"/>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44"/>
      <c r="Q20" s="1351"/>
      <c r="R20" s="705"/>
      <c r="S20" s="706"/>
      <c r="T20" s="705"/>
      <c r="U20" s="706"/>
      <c r="V20" s="705"/>
      <c r="W20" s="706"/>
      <c r="X20" s="1354"/>
      <c r="Y20" s="3744"/>
      <c r="Z20" s="1355"/>
      <c r="AA20" s="1352">
        <v>1</v>
      </c>
      <c r="AB20" s="1352">
        <v>1</v>
      </c>
      <c r="AC20" s="1352">
        <v>1</v>
      </c>
    </row>
    <row r="21" spans="1:29" ht="28.5">
      <c r="A21" s="379"/>
      <c r="B21" s="1131" t="s">
        <v>1812</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4"/>
      <c r="Q21" s="1351" t="str">
        <f>B21</f>
        <v>基础设施水平</v>
      </c>
      <c r="R21" s="705" t="s">
        <v>14</v>
      </c>
      <c r="S21" s="706">
        <f>F21</f>
        <v>100</v>
      </c>
      <c r="T21" s="705" t="s">
        <v>14</v>
      </c>
      <c r="U21" s="706">
        <f>H21</f>
        <v>100</v>
      </c>
      <c r="V21" s="705" t="s">
        <v>14</v>
      </c>
      <c r="W21" s="706">
        <f>J21</f>
        <v>100</v>
      </c>
      <c r="X21" s="1354"/>
      <c r="Y21" s="3744"/>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44"/>
      <c r="Q22" s="1351"/>
      <c r="R22" s="705"/>
      <c r="S22" s="706"/>
      <c r="T22" s="705"/>
      <c r="U22" s="706"/>
      <c r="V22" s="705"/>
      <c r="W22" s="706"/>
      <c r="X22" s="1354"/>
      <c r="Y22" s="3744"/>
      <c r="Z22" s="1355"/>
      <c r="AA22" s="1352">
        <v>1</v>
      </c>
      <c r="AB22" s="1352">
        <v>1</v>
      </c>
      <c r="AC22" s="1352">
        <v>1</v>
      </c>
    </row>
    <row r="23" spans="1:29" ht="71.25">
      <c r="A23" s="379"/>
      <c r="B23" s="402" t="s">
        <v>1813</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4"/>
      <c r="Q23" s="1351" t="str">
        <f>B23</f>
        <v>环境质量</v>
      </c>
      <c r="R23" s="705" t="s">
        <v>14</v>
      </c>
      <c r="S23" s="706">
        <f>F23</f>
        <v>100</v>
      </c>
      <c r="T23" s="705" t="s">
        <v>14</v>
      </c>
      <c r="U23" s="706">
        <f>H23</f>
        <v>100</v>
      </c>
      <c r="V23" s="705" t="s">
        <v>14</v>
      </c>
      <c r="W23" s="706">
        <f>J23</f>
        <v>100</v>
      </c>
      <c r="X23" s="1354"/>
      <c r="Y23" s="3744"/>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44"/>
      <c r="Q24" s="1351"/>
      <c r="R24" s="705"/>
      <c r="S24" s="706"/>
      <c r="T24" s="705"/>
      <c r="U24" s="706"/>
      <c r="V24" s="705"/>
      <c r="W24" s="706"/>
      <c r="X24" s="1354"/>
      <c r="Y24" s="3744"/>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4"/>
      <c r="Q25" s="1351">
        <f>B25</f>
        <v>111</v>
      </c>
      <c r="R25" s="705" t="s">
        <v>14</v>
      </c>
      <c r="S25" s="706">
        <f>F25</f>
        <v>100</v>
      </c>
      <c r="T25" s="705" t="s">
        <v>14</v>
      </c>
      <c r="U25" s="706">
        <f>H25</f>
        <v>100</v>
      </c>
      <c r="V25" s="705" t="s">
        <v>14</v>
      </c>
      <c r="W25" s="706">
        <f>J25</f>
        <v>100</v>
      </c>
      <c r="X25" s="1354"/>
      <c r="Y25" s="3744"/>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4"/>
      <c r="Q26" s="1351">
        <f t="shared" ref="Q26:Q40" si="11">B26</f>
        <v>111</v>
      </c>
      <c r="R26" s="705" t="s">
        <v>14</v>
      </c>
      <c r="S26" s="706">
        <f>F26</f>
        <v>100</v>
      </c>
      <c r="T26" s="705" t="s">
        <v>14</v>
      </c>
      <c r="U26" s="706">
        <f>H26</f>
        <v>100</v>
      </c>
      <c r="V26" s="705" t="s">
        <v>14</v>
      </c>
      <c r="W26" s="706">
        <f>J26</f>
        <v>100</v>
      </c>
      <c r="X26" s="1354"/>
      <c r="Y26" s="3744"/>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4"/>
      <c r="Q27" s="1342">
        <f t="shared" si="11"/>
        <v>111</v>
      </c>
      <c r="R27" s="701" t="s">
        <v>14</v>
      </c>
      <c r="S27" s="702">
        <f>F27</f>
        <v>100</v>
      </c>
      <c r="T27" s="701" t="s">
        <v>14</v>
      </c>
      <c r="U27" s="702">
        <f>H27</f>
        <v>100</v>
      </c>
      <c r="V27" s="701" t="s">
        <v>14</v>
      </c>
      <c r="W27" s="702">
        <f>J27</f>
        <v>100</v>
      </c>
      <c r="X27" s="703"/>
      <c r="Y27" s="3744"/>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4"/>
      <c r="Q28" s="1351">
        <f t="shared" si="11"/>
        <v>111</v>
      </c>
      <c r="R28" s="705" t="s">
        <v>14</v>
      </c>
      <c r="S28" s="706">
        <f t="shared" ref="S28:S40" si="12">F28</f>
        <v>100</v>
      </c>
      <c r="T28" s="705" t="s">
        <v>14</v>
      </c>
      <c r="U28" s="706">
        <f t="shared" ref="U28:U40" si="13">H28</f>
        <v>100</v>
      </c>
      <c r="V28" s="705" t="s">
        <v>14</v>
      </c>
      <c r="W28" s="706">
        <f t="shared" ref="W28:W40" si="14">J28</f>
        <v>100</v>
      </c>
      <c r="X28" s="1354"/>
      <c r="Y28" s="3744"/>
      <c r="Z28" s="1355">
        <f t="shared" ref="Z28:Z40" si="15">Q28</f>
        <v>111</v>
      </c>
      <c r="AA28" s="1352">
        <f t="shared" si="3"/>
        <v>1</v>
      </c>
      <c r="AB28" s="1352">
        <f t="shared" si="4"/>
        <v>1</v>
      </c>
      <c r="AC28" s="1352">
        <f t="shared" si="5"/>
        <v>1</v>
      </c>
    </row>
    <row r="29" spans="1:29" ht="28.5">
      <c r="A29" s="417" t="s">
        <v>1693</v>
      </c>
      <c r="B29" s="63" t="s">
        <v>1816</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67" t="s">
        <v>1695</v>
      </c>
      <c r="Q29" s="1351" t="str">
        <f t="shared" si="11"/>
        <v>建筑类型</v>
      </c>
      <c r="R29" s="705" t="s">
        <v>14</v>
      </c>
      <c r="S29" s="706">
        <f t="shared" si="12"/>
        <v>100</v>
      </c>
      <c r="T29" s="705" t="s">
        <v>14</v>
      </c>
      <c r="U29" s="706">
        <f t="shared" si="13"/>
        <v>100</v>
      </c>
      <c r="V29" s="705" t="s">
        <v>14</v>
      </c>
      <c r="W29" s="706">
        <f t="shared" si="14"/>
        <v>100</v>
      </c>
      <c r="X29" s="1354"/>
      <c r="Y29" s="3748"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8"/>
      <c r="Q30" s="707" t="str">
        <f t="shared" si="11"/>
        <v>项目建筑规模</v>
      </c>
      <c r="R30" s="708" t="s">
        <v>14</v>
      </c>
      <c r="S30" s="709" t="e">
        <f t="shared" si="12"/>
        <v>#N/A</v>
      </c>
      <c r="T30" s="708" t="s">
        <v>14</v>
      </c>
      <c r="U30" s="709" t="e">
        <f t="shared" si="13"/>
        <v>#N/A</v>
      </c>
      <c r="V30" s="708" t="s">
        <v>14</v>
      </c>
      <c r="W30" s="709" t="e">
        <f t="shared" si="14"/>
        <v>#N/A</v>
      </c>
      <c r="X30" s="710"/>
      <c r="Y30" s="3748"/>
      <c r="Z30" s="711"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8"/>
      <c r="Q31" s="1351" t="str">
        <f t="shared" si="11"/>
        <v>建筑结构</v>
      </c>
      <c r="R31" s="705" t="s">
        <v>14</v>
      </c>
      <c r="S31" s="706">
        <f t="shared" si="12"/>
        <v>100</v>
      </c>
      <c r="T31" s="705" t="s">
        <v>14</v>
      </c>
      <c r="U31" s="706">
        <f t="shared" si="13"/>
        <v>100</v>
      </c>
      <c r="V31" s="705" t="s">
        <v>14</v>
      </c>
      <c r="W31" s="706">
        <f t="shared" si="14"/>
        <v>100</v>
      </c>
      <c r="X31" s="1354"/>
      <c r="Y31" s="3748"/>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8"/>
      <c r="Q32" s="1351" t="str">
        <f t="shared" si="11"/>
        <v>公共部分装修</v>
      </c>
      <c r="R32" s="705" t="s">
        <v>14</v>
      </c>
      <c r="S32" s="706">
        <f t="shared" si="12"/>
        <v>100</v>
      </c>
      <c r="T32" s="705" t="s">
        <v>14</v>
      </c>
      <c r="U32" s="706">
        <f t="shared" si="13"/>
        <v>100</v>
      </c>
      <c r="V32" s="705" t="s">
        <v>14</v>
      </c>
      <c r="W32" s="706">
        <f t="shared" si="14"/>
        <v>100</v>
      </c>
      <c r="X32" s="1354"/>
      <c r="Y32" s="3748"/>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8"/>
      <c r="Q33" s="1351" t="str">
        <f t="shared" si="11"/>
        <v>成新度</v>
      </c>
      <c r="R33" s="705" t="s">
        <v>14</v>
      </c>
      <c r="S33" s="706" t="e">
        <f t="shared" si="12"/>
        <v>#N/A</v>
      </c>
      <c r="T33" s="705" t="s">
        <v>14</v>
      </c>
      <c r="U33" s="706" t="e">
        <f t="shared" si="13"/>
        <v>#N/A</v>
      </c>
      <c r="V33" s="705" t="s">
        <v>14</v>
      </c>
      <c r="W33" s="706" t="e">
        <f t="shared" si="14"/>
        <v>#N/A</v>
      </c>
      <c r="X33" s="1354"/>
      <c r="Y33" s="3748"/>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8"/>
      <c r="Q34" s="1342" t="str">
        <f t="shared" si="11"/>
        <v>物业管理</v>
      </c>
      <c r="R34" s="701" t="s">
        <v>14</v>
      </c>
      <c r="S34" s="702">
        <f t="shared" si="12"/>
        <v>100</v>
      </c>
      <c r="T34" s="701" t="s">
        <v>14</v>
      </c>
      <c r="U34" s="702">
        <f t="shared" si="13"/>
        <v>100</v>
      </c>
      <c r="V34" s="701" t="s">
        <v>14</v>
      </c>
      <c r="W34" s="702">
        <f t="shared" si="14"/>
        <v>100</v>
      </c>
      <c r="X34" s="703"/>
      <c r="Y34" s="3748"/>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8" t="s">
        <v>1695</v>
      </c>
      <c r="Q35" s="1351" t="str">
        <f t="shared" si="11"/>
        <v>市政基础设施</v>
      </c>
      <c r="R35" s="705" t="s">
        <v>14</v>
      </c>
      <c r="S35" s="706">
        <f t="shared" si="12"/>
        <v>100</v>
      </c>
      <c r="T35" s="705" t="s">
        <v>14</v>
      </c>
      <c r="U35" s="706">
        <f t="shared" si="13"/>
        <v>100</v>
      </c>
      <c r="V35" s="705" t="s">
        <v>14</v>
      </c>
      <c r="W35" s="706">
        <f t="shared" si="14"/>
        <v>100</v>
      </c>
      <c r="X35" s="1354"/>
      <c r="Y35" s="3748"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8"/>
      <c r="Q36" s="1351" t="str">
        <f t="shared" si="11"/>
        <v>内部装修</v>
      </c>
      <c r="R36" s="705" t="s">
        <v>14</v>
      </c>
      <c r="S36" s="706">
        <f t="shared" si="12"/>
        <v>100</v>
      </c>
      <c r="T36" s="705" t="s">
        <v>14</v>
      </c>
      <c r="U36" s="706">
        <f t="shared" si="13"/>
        <v>100</v>
      </c>
      <c r="V36" s="705" t="s">
        <v>14</v>
      </c>
      <c r="W36" s="706">
        <f t="shared" si="14"/>
        <v>100</v>
      </c>
      <c r="X36" s="1354"/>
      <c r="Y36" s="3748"/>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8"/>
      <c r="Q37" s="1351" t="str">
        <f t="shared" si="11"/>
        <v>内部装修状况</v>
      </c>
      <c r="R37" s="705" t="s">
        <v>14</v>
      </c>
      <c r="S37" s="706">
        <f t="shared" si="12"/>
        <v>100</v>
      </c>
      <c r="T37" s="705" t="s">
        <v>14</v>
      </c>
      <c r="U37" s="706">
        <f t="shared" si="13"/>
        <v>100</v>
      </c>
      <c r="V37" s="705" t="s">
        <v>14</v>
      </c>
      <c r="W37" s="706">
        <f t="shared" si="14"/>
        <v>100</v>
      </c>
      <c r="X37" s="1354"/>
      <c r="Y37" s="3748"/>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8"/>
      <c r="Q38" s="707">
        <f t="shared" si="11"/>
        <v>111</v>
      </c>
      <c r="R38" s="708" t="s">
        <v>14</v>
      </c>
      <c r="S38" s="709">
        <f t="shared" si="12"/>
        <v>100</v>
      </c>
      <c r="T38" s="708" t="s">
        <v>14</v>
      </c>
      <c r="U38" s="709">
        <f t="shared" si="13"/>
        <v>100</v>
      </c>
      <c r="V38" s="708" t="s">
        <v>14</v>
      </c>
      <c r="W38" s="709">
        <f t="shared" si="14"/>
        <v>100</v>
      </c>
      <c r="X38" s="710"/>
      <c r="Y38" s="3748"/>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8"/>
      <c r="Q39" s="1351">
        <f t="shared" si="11"/>
        <v>111</v>
      </c>
      <c r="R39" s="705" t="s">
        <v>14</v>
      </c>
      <c r="S39" s="706">
        <f t="shared" si="12"/>
        <v>100</v>
      </c>
      <c r="T39" s="705" t="s">
        <v>14</v>
      </c>
      <c r="U39" s="706">
        <f t="shared" si="13"/>
        <v>100</v>
      </c>
      <c r="V39" s="705" t="s">
        <v>14</v>
      </c>
      <c r="W39" s="706">
        <f t="shared" si="14"/>
        <v>100</v>
      </c>
      <c r="X39" s="1354"/>
      <c r="Y39" s="3748"/>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9"/>
      <c r="Q40" s="1351">
        <f t="shared" si="11"/>
        <v>111</v>
      </c>
      <c r="R40" s="705" t="s">
        <v>14</v>
      </c>
      <c r="S40" s="706">
        <f t="shared" si="12"/>
        <v>100</v>
      </c>
      <c r="T40" s="705" t="s">
        <v>14</v>
      </c>
      <c r="U40" s="706">
        <f t="shared" si="13"/>
        <v>100</v>
      </c>
      <c r="V40" s="705" t="s">
        <v>14</v>
      </c>
      <c r="W40" s="706">
        <f t="shared" si="14"/>
        <v>100</v>
      </c>
      <c r="X40" s="1354"/>
      <c r="Y40" s="3749"/>
      <c r="Z40" s="1355">
        <f t="shared" si="15"/>
        <v>111</v>
      </c>
      <c r="AA40" s="1352">
        <f t="shared" si="3"/>
        <v>1</v>
      </c>
      <c r="AB40" s="1352">
        <f t="shared" si="4"/>
        <v>1</v>
      </c>
      <c r="AC40" s="1352">
        <f t="shared" si="5"/>
        <v>1</v>
      </c>
    </row>
    <row r="41" spans="1:29" ht="15">
      <c r="A41" s="430" t="s">
        <v>1707</v>
      </c>
      <c r="B41" s="431"/>
      <c r="C41" s="1154" t="s">
        <v>0</v>
      </c>
      <c r="D41" s="1155"/>
      <c r="E41" s="1156"/>
      <c r="F41" s="1157"/>
      <c r="G41" s="1158"/>
      <c r="H41" s="1159"/>
      <c r="I41" s="1156"/>
      <c r="J41" s="1159"/>
      <c r="K41" s="714"/>
      <c r="L41" s="926"/>
      <c r="M41" s="927"/>
      <c r="N41" s="914"/>
      <c r="O41" s="927"/>
      <c r="P41" s="3741" t="str">
        <f>A41</f>
        <v>成交单价（元/平方米）</v>
      </c>
      <c r="Q41" s="3741"/>
      <c r="R41" s="3742">
        <f>E41</f>
        <v>0</v>
      </c>
      <c r="S41" s="3742"/>
      <c r="T41" s="3742">
        <f>G41</f>
        <v>0</v>
      </c>
      <c r="U41" s="3742"/>
      <c r="V41" s="3742">
        <f>I41</f>
        <v>0</v>
      </c>
      <c r="W41" s="3742"/>
      <c r="X41" s="690"/>
      <c r="Y41" s="712"/>
      <c r="Z41" s="690"/>
      <c r="AA41" s="690"/>
      <c r="AB41" s="690"/>
      <c r="AC41" s="690"/>
    </row>
    <row r="42" spans="1:29" ht="15.75" thickBot="1">
      <c r="A42" s="437" t="s">
        <v>1792</v>
      </c>
      <c r="B42" s="438"/>
      <c r="C42" s="1160" t="e">
        <f>R43</f>
        <v>#DIV/0!</v>
      </c>
      <c r="D42" s="2313" t="s">
        <v>2136</v>
      </c>
      <c r="E42" s="1161" t="e">
        <f>R42</f>
        <v>#DIV/0!</v>
      </c>
      <c r="F42" s="2314"/>
      <c r="G42" s="1160" t="e">
        <f>T42</f>
        <v>#DIV/0!</v>
      </c>
      <c r="H42" s="2314"/>
      <c r="I42" s="1161" t="e">
        <f>V42</f>
        <v>#DIV/0!</v>
      </c>
      <c r="J42" s="2314"/>
      <c r="K42" s="2316">
        <f>F42+H42+J42</f>
        <v>0</v>
      </c>
      <c r="L42" s="926"/>
      <c r="M42" s="927"/>
      <c r="N42" s="914"/>
      <c r="O42" s="927"/>
      <c r="P42" s="3741" t="str">
        <f>A42</f>
        <v>比较价值（元/平方米）</v>
      </c>
      <c r="Q42" s="3741"/>
      <c r="R42" s="3742" t="e">
        <f>IF(F1="售价",ROUND(PRODUCT(R41,AA7:AA40),0),ROUND(PRODUCT(R41,AA7:AA40),1))</f>
        <v>#DIV/0!</v>
      </c>
      <c r="S42" s="3742"/>
      <c r="T42" s="3742" t="e">
        <f>IF(F1="售价",ROUND(PRODUCT(T41,AB7:AB40),0),ROUND(PRODUCT(T41,AB7:AB40),1))</f>
        <v>#DIV/0!</v>
      </c>
      <c r="U42" s="3742"/>
      <c r="V42" s="3742" t="e">
        <f>IF(F1="售价",ROUND(PRODUCT(V41,AC7:AC40),0),ROUND(PRODUCT(V41,AC7:AC40),1))</f>
        <v>#DIV/0!</v>
      </c>
      <c r="W42" s="3742"/>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38" t="str">
        <f>A43</f>
        <v>估价对象XX用房的比较价值（楼面单价，元/平方米）</v>
      </c>
      <c r="Q43" s="3739"/>
      <c r="R43" s="3740" t="e">
        <f>IF(F1="售价",ROUND(IF(D42="简单平均",AVERAGE(R42:V42),R42*F42+T42*H42+V42*J42),0),ROUND(IF(D42="简单平均",AVERAGE(R42:V42),R42*F42+T42*H42+V42*J42),1))</f>
        <v>#DIV/0!</v>
      </c>
      <c r="S43" s="3740"/>
      <c r="T43" s="3740"/>
      <c r="U43" s="3740"/>
      <c r="V43" s="3740"/>
      <c r="W43" s="3740"/>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3" t="str">
        <f>YEAR(C7)&amp;"-"&amp;MONTH(C7)</f>
        <v>2023-4</v>
      </c>
      <c r="D52" s="1184">
        <f>EDATE(C52,-1)</f>
        <v>44986</v>
      </c>
      <c r="E52" s="1184">
        <f t="shared" ref="E52:O52" si="16">EDATE(D52,-1)</f>
        <v>44958</v>
      </c>
      <c r="F52" s="1184">
        <f t="shared" si="16"/>
        <v>44927</v>
      </c>
      <c r="G52" s="1184">
        <f t="shared" si="16"/>
        <v>44896</v>
      </c>
      <c r="H52" s="1184">
        <f t="shared" si="16"/>
        <v>44866</v>
      </c>
      <c r="I52" s="1184">
        <f t="shared" si="16"/>
        <v>44835</v>
      </c>
      <c r="J52" s="1184">
        <f t="shared" si="16"/>
        <v>44805</v>
      </c>
      <c r="K52" s="1184">
        <f t="shared" si="16"/>
        <v>44774</v>
      </c>
      <c r="L52" s="1184">
        <f t="shared" si="16"/>
        <v>44743</v>
      </c>
      <c r="M52" s="1184">
        <f t="shared" si="16"/>
        <v>44713</v>
      </c>
      <c r="N52" s="1184">
        <f t="shared" si="16"/>
        <v>44682</v>
      </c>
      <c r="O52" s="1184">
        <f t="shared" si="16"/>
        <v>44652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4"/>
      <c r="O54" s="2765"/>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B2" sqref="B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3386</v>
      </c>
      <c r="C1" s="1223" t="s">
        <v>1661</v>
      </c>
      <c r="D1" s="1224" t="s">
        <v>3414</v>
      </c>
      <c r="E1" s="3427" t="s">
        <v>4715</v>
      </c>
      <c r="F1" s="1878" t="s">
        <v>4716</v>
      </c>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4">
        <f>IF(E1="项目模式",IF(C2="——",IF(B37="元/平方米",ROUND(C39*D3/10000,0),ROUND(F3*C39/10000,0)),IF(B37="元/平方米",ROUND(C39*D3/10000,0),ROUND(F3*C39/10000,0))-D2),IF(E1="单套模式",IF(C2="——",IF(B37="元/平方米",ROUND(C39*D3/10000,0),ROUND(F3*C39/10000,0)),IF(B37="元/平方米",ROUND(C39*D3/10000,0),ROUND(F3*C39/10000,0))-D2)))</f>
        <v>17200</v>
      </c>
      <c r="C2" s="1880" t="s">
        <v>43</v>
      </c>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1463</v>
      </c>
      <c r="B3" s="558">
        <f>IF(AND(C2="——",B37="元/平方米"),C39,ROUND(B2*10000/D3,0))</f>
        <v>4635</v>
      </c>
      <c r="C3" s="354" t="s">
        <v>1767</v>
      </c>
      <c r="D3" s="353">
        <f>SUMIF('数据-汇总表'!$C19:$C33,D1,'数据-汇总表'!$E19:$E33)</f>
        <v>37107.17</v>
      </c>
      <c r="E3" s="354" t="s">
        <v>1831</v>
      </c>
      <c r="F3" s="353">
        <f>SUMIF('数据-取费表'!A5:A15,D1,'数据-取费表'!AH5:AH15)</f>
        <v>1066</v>
      </c>
      <c r="G3" s="908"/>
      <c r="H3" s="908"/>
      <c r="I3" s="908"/>
      <c r="J3" s="908"/>
      <c r="K3" s="910"/>
      <c r="L3" s="2728"/>
      <c r="M3" s="2729">
        <f>IF(C2="——",IF(B37="元/平方米",ROUND(C39*D3/10000,0),ROUND(F3*C39/10000,0)),IF(B37="元/平方米",ROUND(C39*D3/10000,0),ROUND(F3*C39/10000,0))-D2)</f>
        <v>17200</v>
      </c>
      <c r="N3" s="2729"/>
      <c r="O3" s="2729"/>
      <c r="P3" s="1165"/>
      <c r="Q3" s="699"/>
      <c r="R3" s="699"/>
      <c r="S3" s="699"/>
      <c r="T3" s="699"/>
      <c r="U3" s="699"/>
      <c r="V3" s="699"/>
      <c r="W3" s="699"/>
      <c r="X3" s="699"/>
      <c r="Y3" s="699"/>
      <c r="Z3" s="699"/>
      <c r="AA3" s="699"/>
      <c r="AB3" s="716"/>
      <c r="AC3" s="713"/>
    </row>
    <row r="4" spans="1:29" ht="15">
      <c r="A4" s="355" t="s">
        <v>1768</v>
      </c>
      <c r="B4" s="356"/>
      <c r="C4" s="3724" t="s">
        <v>1769</v>
      </c>
      <c r="D4" s="3725"/>
      <c r="E4" s="3726" t="s">
        <v>1770</v>
      </c>
      <c r="F4" s="3727"/>
      <c r="G4" s="3724" t="s">
        <v>1771</v>
      </c>
      <c r="H4" s="3725"/>
      <c r="I4" s="3724" t="s">
        <v>1772</v>
      </c>
      <c r="J4" s="3725"/>
      <c r="K4" s="559" t="s">
        <v>1773</v>
      </c>
      <c r="L4" s="2709"/>
      <c r="M4" s="2710"/>
      <c r="N4" s="2710"/>
      <c r="O4" s="2710"/>
      <c r="P4" s="3728" t="s">
        <v>1774</v>
      </c>
      <c r="Q4" s="3729"/>
      <c r="R4" s="3711" t="s">
        <v>1770</v>
      </c>
      <c r="S4" s="3712"/>
      <c r="T4" s="3711" t="s">
        <v>1771</v>
      </c>
      <c r="U4" s="3712"/>
      <c r="V4" s="3736" t="s">
        <v>1772</v>
      </c>
      <c r="W4" s="3736"/>
      <c r="X4" s="1354"/>
      <c r="Y4" s="3711" t="s">
        <v>1774</v>
      </c>
      <c r="Z4" s="3712"/>
      <c r="AA4" s="3706" t="s">
        <v>1770</v>
      </c>
      <c r="AB4" s="3707" t="s">
        <v>1771</v>
      </c>
      <c r="AC4" s="3706" t="s">
        <v>1772</v>
      </c>
    </row>
    <row r="5" spans="1:29" ht="15">
      <c r="A5" s="358"/>
      <c r="B5" s="359"/>
      <c r="C5" s="3717" t="s">
        <v>1672</v>
      </c>
      <c r="D5" s="3718"/>
      <c r="E5" s="3715" t="str">
        <f>'[2]比较法-车位'!$E$5:$F$5</f>
        <v>亦庄橡树湾</v>
      </c>
      <c r="F5" s="3716"/>
      <c r="G5" s="3717" t="str">
        <f>'[2]比较法-车位'!$G$5:$H$5</f>
        <v>城市之光·东望</v>
      </c>
      <c r="H5" s="3718"/>
      <c r="I5" s="3717" t="str">
        <f>'[2]比较法-车位'!$I$5:$J$5</f>
        <v>绿城明月听籣</v>
      </c>
      <c r="J5" s="3718"/>
      <c r="K5" s="559"/>
      <c r="L5" s="2709"/>
      <c r="M5" s="2710"/>
      <c r="N5" s="2710"/>
      <c r="O5" s="2710"/>
      <c r="P5" s="3730"/>
      <c r="Q5" s="3731"/>
      <c r="R5" s="3713"/>
      <c r="S5" s="3714"/>
      <c r="T5" s="3713"/>
      <c r="U5" s="3714"/>
      <c r="V5" s="3736"/>
      <c r="W5" s="3736"/>
      <c r="X5" s="1354"/>
      <c r="Y5" s="3713"/>
      <c r="Z5" s="3714"/>
      <c r="AA5" s="3707"/>
      <c r="AB5" s="3707"/>
      <c r="AC5" s="3707"/>
    </row>
    <row r="6" spans="1:29" ht="15.75" thickBot="1">
      <c r="A6" s="360"/>
      <c r="B6" s="361"/>
      <c r="C6" s="3719" t="s">
        <v>1676</v>
      </c>
      <c r="D6" s="3720"/>
      <c r="E6" s="3721" t="s">
        <v>1676</v>
      </c>
      <c r="F6" s="3722"/>
      <c r="G6" s="3719" t="s">
        <v>1676</v>
      </c>
      <c r="H6" s="3720"/>
      <c r="I6" s="3719" t="s">
        <v>1676</v>
      </c>
      <c r="J6" s="3720"/>
      <c r="K6" s="559" t="s">
        <v>1677</v>
      </c>
      <c r="L6" s="2709"/>
      <c r="M6" s="2710"/>
      <c r="N6" s="2710"/>
      <c r="O6" s="2710"/>
      <c r="P6" s="3732"/>
      <c r="Q6" s="3733"/>
      <c r="R6" s="3713"/>
      <c r="S6" s="3714"/>
      <c r="T6" s="3734"/>
      <c r="U6" s="3735"/>
      <c r="V6" s="3736"/>
      <c r="W6" s="3736"/>
      <c r="X6" s="1354"/>
      <c r="Y6" s="3734"/>
      <c r="Z6" s="3735"/>
      <c r="AA6" s="3708"/>
      <c r="AB6" s="3708"/>
      <c r="AC6" s="3708"/>
    </row>
    <row r="7" spans="1:29" s="108" customFormat="1" ht="15.75" thickBot="1">
      <c r="A7" s="362" t="s">
        <v>1678</v>
      </c>
      <c r="B7" s="363"/>
      <c r="C7" s="364">
        <f>'数据-取费表'!B2</f>
        <v>45035</v>
      </c>
      <c r="D7" s="365">
        <v>100</v>
      </c>
      <c r="E7" s="366">
        <v>44986</v>
      </c>
      <c r="F7" s="367">
        <f>SUMIF(48:48,YEAR(E7)&amp;"-"&amp;MONTH(E7),49:49)</f>
        <v>100</v>
      </c>
      <c r="G7" s="366">
        <f>E7</f>
        <v>44986</v>
      </c>
      <c r="H7" s="365">
        <f>SUMIF(48:48,YEAR(G7)&amp;"-"&amp;MONTH(G7),49:49)</f>
        <v>100</v>
      </c>
      <c r="I7" s="366">
        <f>E7</f>
        <v>44986</v>
      </c>
      <c r="J7" s="365">
        <f>SUMIF(48:48,YEAR(I7)&amp;"-"&amp;MONTH(I7),49:49)</f>
        <v>100</v>
      </c>
      <c r="K7" s="560"/>
      <c r="L7" s="2711"/>
      <c r="M7" s="2712"/>
      <c r="N7" s="2712"/>
      <c r="O7" s="2712"/>
      <c r="P7" s="3709" t="s">
        <v>1679</v>
      </c>
      <c r="Q7" s="3737"/>
      <c r="R7" s="701" t="s">
        <v>14</v>
      </c>
      <c r="S7" s="702">
        <f t="shared" ref="S7:S14" si="0">F7</f>
        <v>100</v>
      </c>
      <c r="T7" s="701" t="s">
        <v>14</v>
      </c>
      <c r="U7" s="702">
        <f t="shared" ref="U7:U14" si="1">H7</f>
        <v>100</v>
      </c>
      <c r="V7" s="701" t="s">
        <v>14</v>
      </c>
      <c r="W7" s="702">
        <f t="shared" ref="W7:W14" si="2">J7</f>
        <v>100</v>
      </c>
      <c r="X7" s="703"/>
      <c r="Y7" s="3709" t="s">
        <v>1679</v>
      </c>
      <c r="Z7" s="3710"/>
      <c r="AA7" s="704">
        <f>D7/F7</f>
        <v>1</v>
      </c>
      <c r="AB7" s="704">
        <f>D7/H7</f>
        <v>1</v>
      </c>
      <c r="AC7" s="704">
        <f>D7/J7</f>
        <v>1</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09" t="s">
        <v>1682</v>
      </c>
      <c r="Q8" s="3710"/>
      <c r="R8" s="701" t="s">
        <v>14</v>
      </c>
      <c r="S8" s="702">
        <f t="shared" si="0"/>
        <v>100</v>
      </c>
      <c r="T8" s="701" t="s">
        <v>14</v>
      </c>
      <c r="U8" s="702">
        <f t="shared" si="1"/>
        <v>100</v>
      </c>
      <c r="V8" s="701" t="s">
        <v>14</v>
      </c>
      <c r="W8" s="702">
        <f t="shared" si="2"/>
        <v>100</v>
      </c>
      <c r="X8" s="703"/>
      <c r="Y8" s="3709" t="s">
        <v>1682</v>
      </c>
      <c r="Z8" s="3710"/>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41" t="s">
        <v>1685</v>
      </c>
      <c r="Q9" s="1342" t="str">
        <f t="shared" ref="Q9:Q14" si="6">B9</f>
        <v>用途</v>
      </c>
      <c r="R9" s="701" t="s">
        <v>14</v>
      </c>
      <c r="S9" s="702">
        <f t="shared" si="0"/>
        <v>100</v>
      </c>
      <c r="T9" s="701" t="s">
        <v>14</v>
      </c>
      <c r="U9" s="702">
        <f t="shared" si="1"/>
        <v>100</v>
      </c>
      <c r="V9" s="701" t="s">
        <v>14</v>
      </c>
      <c r="W9" s="702">
        <f t="shared" si="2"/>
        <v>100</v>
      </c>
      <c r="X9" s="703"/>
      <c r="Y9" s="3653" t="s">
        <v>1686</v>
      </c>
      <c r="Z9" s="52" t="str">
        <f t="shared" ref="Z9:Z14" si="7">Q9</f>
        <v>用途</v>
      </c>
      <c r="AA9" s="704">
        <f t="shared" si="3"/>
        <v>1</v>
      </c>
      <c r="AB9" s="704">
        <f t="shared" si="4"/>
        <v>1</v>
      </c>
      <c r="AC9" s="704">
        <f t="shared" si="5"/>
        <v>1</v>
      </c>
    </row>
    <row r="10" spans="1:29" s="378" customFormat="1" ht="27">
      <c r="A10" s="589"/>
      <c r="B10" s="590" t="s">
        <v>1687</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41"/>
      <c r="Q10" s="1342"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41"/>
      <c r="Q11" s="1342">
        <f t="shared" si="6"/>
        <v>111</v>
      </c>
      <c r="R11" s="701" t="s">
        <v>14</v>
      </c>
      <c r="S11" s="702">
        <f t="shared" si="0"/>
        <v>100</v>
      </c>
      <c r="T11" s="701" t="s">
        <v>14</v>
      </c>
      <c r="U11" s="702">
        <f t="shared" si="1"/>
        <v>100</v>
      </c>
      <c r="V11" s="701" t="s">
        <v>14</v>
      </c>
      <c r="W11" s="702">
        <f t="shared" si="2"/>
        <v>100</v>
      </c>
      <c r="X11" s="703"/>
      <c r="Y11" s="365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41"/>
      <c r="Q12" s="1342">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41"/>
      <c r="Q13" s="1342">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85.5">
      <c r="A14" s="355" t="s">
        <v>1689</v>
      </c>
      <c r="B14" s="577" t="s">
        <v>1832</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110</v>
      </c>
      <c r="I14" s="393"/>
      <c r="J14" s="392">
        <f>SUMIF(63:63,I15,64:64)-SUMIF(63:63,C15,64:64)+100</f>
        <v>110</v>
      </c>
      <c r="K14" s="563">
        <v>10</v>
      </c>
      <c r="L14" s="2716"/>
      <c r="M14" s="2710"/>
      <c r="N14" s="2710"/>
      <c r="O14" s="2710"/>
      <c r="P14" s="3743" t="s">
        <v>1690</v>
      </c>
      <c r="Q14" s="1351" t="str">
        <f t="shared" si="6"/>
        <v>交通便捷度</v>
      </c>
      <c r="R14" s="705" t="s">
        <v>14</v>
      </c>
      <c r="S14" s="706">
        <f t="shared" si="0"/>
        <v>100</v>
      </c>
      <c r="T14" s="705" t="s">
        <v>14</v>
      </c>
      <c r="U14" s="706">
        <f t="shared" si="1"/>
        <v>110</v>
      </c>
      <c r="V14" s="705" t="s">
        <v>14</v>
      </c>
      <c r="W14" s="706">
        <f t="shared" si="2"/>
        <v>110</v>
      </c>
      <c r="X14" s="1354"/>
      <c r="Y14" s="3743" t="s">
        <v>1690</v>
      </c>
      <c r="Z14" s="1355" t="str">
        <f t="shared" si="7"/>
        <v>交通便捷度</v>
      </c>
      <c r="AA14" s="1352">
        <f t="shared" si="3"/>
        <v>1</v>
      </c>
      <c r="AB14" s="1352">
        <f t="shared" si="4"/>
        <v>0.90909090909090906</v>
      </c>
      <c r="AC14" s="1352">
        <f t="shared" si="5"/>
        <v>0.90909090909090906</v>
      </c>
    </row>
    <row r="15" spans="1:29" ht="15">
      <c r="A15" s="358"/>
      <c r="B15" s="595"/>
      <c r="C15" s="398" t="s">
        <v>4700</v>
      </c>
      <c r="D15" s="399"/>
      <c r="E15" s="398" t="s">
        <v>4700</v>
      </c>
      <c r="F15" s="400"/>
      <c r="G15" s="398" t="s">
        <v>4701</v>
      </c>
      <c r="H15" s="401"/>
      <c r="I15" s="398" t="s">
        <v>4701</v>
      </c>
      <c r="J15" s="399"/>
      <c r="K15" s="564"/>
      <c r="L15" s="2716"/>
      <c r="M15" s="2710"/>
      <c r="N15" s="2710"/>
      <c r="O15" s="2710"/>
      <c r="P15" s="3744"/>
      <c r="Q15" s="1351"/>
      <c r="R15" s="705"/>
      <c r="S15" s="706"/>
      <c r="T15" s="705"/>
      <c r="U15" s="706"/>
      <c r="V15" s="705"/>
      <c r="W15" s="706"/>
      <c r="X15" s="1354"/>
      <c r="Y15" s="3744"/>
      <c r="Z15" s="1355"/>
      <c r="AA15" s="1352">
        <v>1</v>
      </c>
      <c r="AB15" s="1352">
        <v>1</v>
      </c>
      <c r="AC15" s="1352">
        <v>1</v>
      </c>
    </row>
    <row r="16" spans="1:29" ht="42.75">
      <c r="A16" s="358"/>
      <c r="B16" s="579" t="s">
        <v>1811</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110</v>
      </c>
      <c r="I16" s="408"/>
      <c r="J16" s="406">
        <f>SUMIF(65:65,I17,66:66)-SUMIF(65:65,C17,66:66)+100</f>
        <v>110</v>
      </c>
      <c r="K16" s="563">
        <v>10</v>
      </c>
      <c r="L16" s="2716"/>
      <c r="M16" s="2710"/>
      <c r="N16" s="2710"/>
      <c r="O16" s="2710"/>
      <c r="P16" s="3744"/>
      <c r="Q16" s="1351" t="str">
        <f>B16</f>
        <v>公共配套设施</v>
      </c>
      <c r="R16" s="705" t="s">
        <v>14</v>
      </c>
      <c r="S16" s="706">
        <f>F16</f>
        <v>100</v>
      </c>
      <c r="T16" s="705" t="s">
        <v>14</v>
      </c>
      <c r="U16" s="706">
        <f>H16</f>
        <v>110</v>
      </c>
      <c r="V16" s="705" t="s">
        <v>14</v>
      </c>
      <c r="W16" s="706">
        <f>J16</f>
        <v>110</v>
      </c>
      <c r="X16" s="1354"/>
      <c r="Y16" s="3744"/>
      <c r="Z16" s="1355" t="str">
        <f>Q16</f>
        <v>公共配套设施</v>
      </c>
      <c r="AA16" s="1352">
        <f t="shared" si="3"/>
        <v>1</v>
      </c>
      <c r="AB16" s="1352">
        <f t="shared" si="4"/>
        <v>0.90909090909090906</v>
      </c>
      <c r="AC16" s="1352">
        <f t="shared" si="5"/>
        <v>0.90909090909090906</v>
      </c>
    </row>
    <row r="17" spans="1:29" ht="15">
      <c r="A17" s="358"/>
      <c r="B17" s="580"/>
      <c r="C17" s="1899" t="s">
        <v>4700</v>
      </c>
      <c r="D17" s="399"/>
      <c r="E17" s="1899" t="s">
        <v>4700</v>
      </c>
      <c r="F17" s="400"/>
      <c r="G17" s="398" t="s">
        <v>4701</v>
      </c>
      <c r="H17" s="399"/>
      <c r="I17" s="398" t="s">
        <v>4701</v>
      </c>
      <c r="J17" s="399"/>
      <c r="K17" s="564"/>
      <c r="L17" s="2716"/>
      <c r="M17" s="2710"/>
      <c r="N17" s="2710"/>
      <c r="O17" s="2710"/>
      <c r="P17" s="3744"/>
      <c r="Q17" s="1351"/>
      <c r="R17" s="705"/>
      <c r="S17" s="706"/>
      <c r="T17" s="705"/>
      <c r="U17" s="706"/>
      <c r="V17" s="705"/>
      <c r="W17" s="706"/>
      <c r="X17" s="1354"/>
      <c r="Y17" s="3744"/>
      <c r="Z17" s="1355"/>
      <c r="AA17" s="1352">
        <v>1</v>
      </c>
      <c r="AB17" s="1352">
        <v>1</v>
      </c>
      <c r="AC17" s="1352">
        <v>1</v>
      </c>
    </row>
    <row r="18" spans="1:29" ht="28.5">
      <c r="A18" s="358"/>
      <c r="B18" s="581" t="s">
        <v>1812</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44"/>
      <c r="Q18" s="1351" t="str">
        <f>B18</f>
        <v>基础设施水平</v>
      </c>
      <c r="R18" s="705" t="s">
        <v>14</v>
      </c>
      <c r="S18" s="706">
        <f>F18</f>
        <v>100</v>
      </c>
      <c r="T18" s="705" t="s">
        <v>14</v>
      </c>
      <c r="U18" s="706">
        <f>H18</f>
        <v>100</v>
      </c>
      <c r="V18" s="705" t="s">
        <v>14</v>
      </c>
      <c r="W18" s="706">
        <f>J18</f>
        <v>100</v>
      </c>
      <c r="X18" s="1354"/>
      <c r="Y18" s="3744"/>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6"/>
      <c r="M19" s="2710"/>
      <c r="N19" s="2710"/>
      <c r="O19" s="2710"/>
      <c r="P19" s="3744"/>
      <c r="Q19" s="1351"/>
      <c r="R19" s="705"/>
      <c r="S19" s="706"/>
      <c r="T19" s="705"/>
      <c r="U19" s="706"/>
      <c r="V19" s="705"/>
      <c r="W19" s="706"/>
      <c r="X19" s="1354"/>
      <c r="Y19" s="3744"/>
      <c r="Z19" s="1355"/>
      <c r="AA19" s="1352">
        <v>1</v>
      </c>
      <c r="AB19" s="1352">
        <v>1</v>
      </c>
      <c r="AC19" s="1352">
        <v>1</v>
      </c>
    </row>
    <row r="20" spans="1:29" ht="57">
      <c r="A20" s="358"/>
      <c r="B20" s="579" t="s">
        <v>1833</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44"/>
      <c r="Q20" s="1351" t="str">
        <f>B20</f>
        <v>自然及人文环境</v>
      </c>
      <c r="R20" s="705" t="s">
        <v>14</v>
      </c>
      <c r="S20" s="706">
        <f>F20</f>
        <v>100</v>
      </c>
      <c r="T20" s="705" t="s">
        <v>14</v>
      </c>
      <c r="U20" s="706">
        <f>H20</f>
        <v>100</v>
      </c>
      <c r="V20" s="705" t="s">
        <v>14</v>
      </c>
      <c r="W20" s="706">
        <f>J20</f>
        <v>100</v>
      </c>
      <c r="X20" s="1354"/>
      <c r="Y20" s="374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6"/>
      <c r="M21" s="2710"/>
      <c r="N21" s="2710"/>
      <c r="O21" s="2710"/>
      <c r="P21" s="3744"/>
      <c r="Q21" s="1351"/>
      <c r="R21" s="705"/>
      <c r="S21" s="706"/>
      <c r="T21" s="705"/>
      <c r="U21" s="706"/>
      <c r="V21" s="705"/>
      <c r="W21" s="706"/>
      <c r="X21" s="1354"/>
      <c r="Y21" s="3744"/>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44"/>
      <c r="Q22" s="1351" t="str">
        <f>B22</f>
        <v>楼层</v>
      </c>
      <c r="R22" s="705" t="s">
        <v>14</v>
      </c>
      <c r="S22" s="706">
        <f>F22</f>
        <v>100</v>
      </c>
      <c r="T22" s="705" t="s">
        <v>14</v>
      </c>
      <c r="U22" s="706">
        <f>H22</f>
        <v>100</v>
      </c>
      <c r="V22" s="705" t="s">
        <v>14</v>
      </c>
      <c r="W22" s="706">
        <f>J22</f>
        <v>100</v>
      </c>
      <c r="X22" s="1354"/>
      <c r="Y22" s="374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44"/>
      <c r="Q23" s="1351">
        <f>B23</f>
        <v>111</v>
      </c>
      <c r="R23" s="705" t="s">
        <v>14</v>
      </c>
      <c r="S23" s="706">
        <f>F23</f>
        <v>100</v>
      </c>
      <c r="T23" s="705" t="s">
        <v>14</v>
      </c>
      <c r="U23" s="706">
        <f>H23</f>
        <v>100</v>
      </c>
      <c r="V23" s="705" t="s">
        <v>14</v>
      </c>
      <c r="W23" s="706">
        <f>J23</f>
        <v>100</v>
      </c>
      <c r="X23" s="1354"/>
      <c r="Y23" s="374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44"/>
      <c r="Q24" s="1351">
        <f t="shared" ref="Q24:Q36" si="11">B24</f>
        <v>111</v>
      </c>
      <c r="R24" s="705" t="s">
        <v>14</v>
      </c>
      <c r="S24" s="706">
        <f>F24</f>
        <v>100</v>
      </c>
      <c r="T24" s="705" t="s">
        <v>14</v>
      </c>
      <c r="U24" s="706">
        <f>H24</f>
        <v>100</v>
      </c>
      <c r="V24" s="705" t="s">
        <v>14</v>
      </c>
      <c r="W24" s="706">
        <f>J24</f>
        <v>100</v>
      </c>
      <c r="X24" s="1354"/>
      <c r="Y24" s="374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44"/>
      <c r="Q25" s="1342">
        <f t="shared" si="11"/>
        <v>111</v>
      </c>
      <c r="R25" s="701" t="s">
        <v>14</v>
      </c>
      <c r="S25" s="702">
        <f>F25</f>
        <v>100</v>
      </c>
      <c r="T25" s="701" t="s">
        <v>14</v>
      </c>
      <c r="U25" s="702">
        <f>H25</f>
        <v>100</v>
      </c>
      <c r="V25" s="701" t="s">
        <v>14</v>
      </c>
      <c r="W25" s="702">
        <f>J25</f>
        <v>100</v>
      </c>
      <c r="X25" s="703"/>
      <c r="Y25" s="3744"/>
      <c r="Z25" s="52">
        <f>Q25</f>
        <v>111</v>
      </c>
      <c r="AA25" s="1352">
        <f>D25/F25</f>
        <v>1</v>
      </c>
      <c r="AB25" s="1352">
        <f>D25/H25</f>
        <v>1</v>
      </c>
      <c r="AC25" s="1352">
        <f>D25/J25</f>
        <v>1</v>
      </c>
    </row>
    <row r="26" spans="1:29" ht="28.5">
      <c r="A26" s="600" t="s">
        <v>1693</v>
      </c>
      <c r="B26" s="62" t="s">
        <v>1835</v>
      </c>
      <c r="C26" s="1968" t="str">
        <f>B1</f>
        <v>住宅</v>
      </c>
      <c r="D26" s="399">
        <v>100</v>
      </c>
      <c r="E26" s="398" t="s">
        <v>3386</v>
      </c>
      <c r="F26" s="400">
        <f>SUMIF(79:79,E26,80:80)-SUMIF(79:79,C26,80:80)+100</f>
        <v>100</v>
      </c>
      <c r="G26" s="398" t="s">
        <v>3386</v>
      </c>
      <c r="H26" s="399">
        <f>SUMIF(79:79,G26,80:80)-SUMIF(79:79,C26,80:80)+100</f>
        <v>100</v>
      </c>
      <c r="I26" s="398" t="s">
        <v>3386</v>
      </c>
      <c r="J26" s="399">
        <f>SUMIF(79:79,I26,80:80)-SUMIF(79:79,C26,80:80)+100</f>
        <v>100</v>
      </c>
      <c r="K26" s="561"/>
      <c r="L26" s="2716"/>
      <c r="M26" s="2710"/>
      <c r="N26" s="2710"/>
      <c r="O26" s="2710"/>
      <c r="P26" s="3767" t="s">
        <v>1695</v>
      </c>
      <c r="Q26" s="1351" t="str">
        <f t="shared" si="11"/>
        <v>配套类型</v>
      </c>
      <c r="R26" s="705" t="s">
        <v>14</v>
      </c>
      <c r="S26" s="706">
        <f t="shared" ref="S26:S36" si="12">F26</f>
        <v>100</v>
      </c>
      <c r="T26" s="705" t="s">
        <v>14</v>
      </c>
      <c r="U26" s="706">
        <f t="shared" ref="U26:U36" si="13">H26</f>
        <v>100</v>
      </c>
      <c r="V26" s="705" t="s">
        <v>14</v>
      </c>
      <c r="W26" s="706">
        <f t="shared" ref="W26:W36" si="14">J26</f>
        <v>100</v>
      </c>
      <c r="X26" s="1354"/>
      <c r="Y26" s="3748" t="s">
        <v>1695</v>
      </c>
      <c r="Z26" s="1355" t="str">
        <f t="shared" ref="Z26:Z36" si="15">Q26</f>
        <v>配套类型</v>
      </c>
      <c r="AA26" s="1352">
        <f t="shared" si="3"/>
        <v>1</v>
      </c>
      <c r="AB26" s="1352">
        <f t="shared" si="4"/>
        <v>1</v>
      </c>
      <c r="AC26" s="1352">
        <f t="shared" si="5"/>
        <v>1</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48"/>
      <c r="Q27" s="707" t="str">
        <f t="shared" si="11"/>
        <v>项目停车位配比</v>
      </c>
      <c r="R27" s="708" t="s">
        <v>14</v>
      </c>
      <c r="S27" s="709">
        <f t="shared" si="12"/>
        <v>100</v>
      </c>
      <c r="T27" s="708" t="s">
        <v>14</v>
      </c>
      <c r="U27" s="709">
        <f t="shared" si="13"/>
        <v>100</v>
      </c>
      <c r="V27" s="708" t="s">
        <v>14</v>
      </c>
      <c r="W27" s="709">
        <f t="shared" si="14"/>
        <v>100</v>
      </c>
      <c r="X27" s="710"/>
      <c r="Y27" s="3748"/>
      <c r="Z27" s="711"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48"/>
      <c r="Q28" s="1351" t="str">
        <f t="shared" si="11"/>
        <v>公共部分装修</v>
      </c>
      <c r="R28" s="705" t="s">
        <v>14</v>
      </c>
      <c r="S28" s="706">
        <f t="shared" si="12"/>
        <v>100</v>
      </c>
      <c r="T28" s="705" t="s">
        <v>14</v>
      </c>
      <c r="U28" s="706">
        <f t="shared" si="13"/>
        <v>100</v>
      </c>
      <c r="V28" s="705" t="s">
        <v>14</v>
      </c>
      <c r="W28" s="706">
        <f t="shared" si="14"/>
        <v>100</v>
      </c>
      <c r="X28" s="1354"/>
      <c r="Y28" s="3748"/>
      <c r="Z28" s="1355" t="str">
        <f t="shared" si="15"/>
        <v>公共部分装修</v>
      </c>
      <c r="AA28" s="1352">
        <f t="shared" si="3"/>
        <v>1</v>
      </c>
      <c r="AB28" s="1352">
        <f t="shared" si="4"/>
        <v>1</v>
      </c>
      <c r="AC28" s="1352">
        <f t="shared" si="5"/>
        <v>1</v>
      </c>
    </row>
    <row r="29" spans="1:29" ht="15">
      <c r="A29" s="604"/>
      <c r="B29" s="602"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c r="L29" s="2716"/>
      <c r="M29" s="2710"/>
      <c r="N29" s="2710"/>
      <c r="O29" s="2710"/>
      <c r="P29" s="3748"/>
      <c r="Q29" s="1351" t="str">
        <f t="shared" si="11"/>
        <v>成新率</v>
      </c>
      <c r="R29" s="705" t="s">
        <v>14</v>
      </c>
      <c r="S29" s="706">
        <f t="shared" si="12"/>
        <v>100</v>
      </c>
      <c r="T29" s="705" t="s">
        <v>14</v>
      </c>
      <c r="U29" s="706">
        <f t="shared" si="13"/>
        <v>100</v>
      </c>
      <c r="V29" s="705" t="s">
        <v>14</v>
      </c>
      <c r="W29" s="706">
        <f t="shared" si="14"/>
        <v>100</v>
      </c>
      <c r="X29" s="1354"/>
      <c r="Y29" s="3748"/>
      <c r="Z29" s="1355" t="str">
        <f t="shared" si="15"/>
        <v>成新率</v>
      </c>
      <c r="AA29" s="1352">
        <f t="shared" si="3"/>
        <v>1</v>
      </c>
      <c r="AB29" s="1352">
        <f t="shared" si="4"/>
        <v>1</v>
      </c>
      <c r="AC29" s="1352">
        <f t="shared" si="5"/>
        <v>1</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48"/>
      <c r="Q30" s="1351" t="str">
        <f t="shared" si="11"/>
        <v>物业等级</v>
      </c>
      <c r="R30" s="705" t="s">
        <v>14</v>
      </c>
      <c r="S30" s="706">
        <f t="shared" si="12"/>
        <v>100</v>
      </c>
      <c r="T30" s="705" t="s">
        <v>14</v>
      </c>
      <c r="U30" s="706">
        <f t="shared" si="13"/>
        <v>100</v>
      </c>
      <c r="V30" s="705" t="s">
        <v>14</v>
      </c>
      <c r="W30" s="706">
        <f t="shared" si="14"/>
        <v>100</v>
      </c>
      <c r="X30" s="1354"/>
      <c r="Y30" s="3748"/>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f>LOOKUP(E31,91:91,92:92)-LOOKUP(C31,91:91,92:92)+100</f>
        <v>100</v>
      </c>
      <c r="G31" s="420"/>
      <c r="H31" s="386">
        <f>LOOKUP(G31,91:91,92:92)-LOOKUP(C31,91:91,92:92)+100</f>
        <v>100</v>
      </c>
      <c r="I31" s="420"/>
      <c r="J31" s="386">
        <f>LOOKUP(I31,91:91,92:92)-LOOKUP(C31,91:91,92:92)+100</f>
        <v>100</v>
      </c>
      <c r="K31" s="561"/>
      <c r="L31" s="2711"/>
      <c r="M31" s="2712"/>
      <c r="N31" s="2712"/>
      <c r="O31" s="2712"/>
      <c r="P31" s="3748"/>
      <c r="Q31" s="1342" t="str">
        <f t="shared" si="11"/>
        <v>停车位面积</v>
      </c>
      <c r="R31" s="701" t="s">
        <v>14</v>
      </c>
      <c r="S31" s="702">
        <f t="shared" si="12"/>
        <v>100</v>
      </c>
      <c r="T31" s="701" t="s">
        <v>14</v>
      </c>
      <c r="U31" s="702">
        <f t="shared" si="13"/>
        <v>100</v>
      </c>
      <c r="V31" s="701" t="s">
        <v>14</v>
      </c>
      <c r="W31" s="702">
        <f t="shared" si="14"/>
        <v>100</v>
      </c>
      <c r="X31" s="703"/>
      <c r="Y31" s="3748"/>
      <c r="Z31" s="52" t="str">
        <f t="shared" si="15"/>
        <v>停车位面积</v>
      </c>
      <c r="AA31" s="704">
        <f t="shared" si="3"/>
        <v>1</v>
      </c>
      <c r="AB31" s="704">
        <f t="shared" si="4"/>
        <v>1</v>
      </c>
      <c r="AC31" s="704">
        <f t="shared" si="5"/>
        <v>1</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48" t="s">
        <v>1695</v>
      </c>
      <c r="Q32" s="1351" t="str">
        <f t="shared" si="11"/>
        <v>车位类型</v>
      </c>
      <c r="R32" s="705" t="s">
        <v>14</v>
      </c>
      <c r="S32" s="706">
        <f t="shared" si="12"/>
        <v>100</v>
      </c>
      <c r="T32" s="705" t="s">
        <v>14</v>
      </c>
      <c r="U32" s="706">
        <f t="shared" si="13"/>
        <v>100</v>
      </c>
      <c r="V32" s="705" t="s">
        <v>14</v>
      </c>
      <c r="W32" s="706">
        <f t="shared" si="14"/>
        <v>100</v>
      </c>
      <c r="X32" s="1354"/>
      <c r="Y32" s="3748" t="s">
        <v>1695</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48"/>
      <c r="Q33" s="1351" t="str">
        <f t="shared" si="11"/>
        <v>是否直接入户</v>
      </c>
      <c r="R33" s="705" t="s">
        <v>14</v>
      </c>
      <c r="S33" s="706">
        <f t="shared" si="12"/>
        <v>100</v>
      </c>
      <c r="T33" s="705" t="s">
        <v>14</v>
      </c>
      <c r="U33" s="706">
        <f t="shared" si="13"/>
        <v>100</v>
      </c>
      <c r="V33" s="705" t="s">
        <v>14</v>
      </c>
      <c r="W33" s="706">
        <f t="shared" si="14"/>
        <v>100</v>
      </c>
      <c r="X33" s="1354"/>
      <c r="Y33" s="374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48"/>
      <c r="Q34" s="1351">
        <f t="shared" si="11"/>
        <v>111</v>
      </c>
      <c r="R34" s="705" t="s">
        <v>14</v>
      </c>
      <c r="S34" s="706">
        <f t="shared" si="12"/>
        <v>100</v>
      </c>
      <c r="T34" s="705" t="s">
        <v>14</v>
      </c>
      <c r="U34" s="706">
        <f t="shared" si="13"/>
        <v>100</v>
      </c>
      <c r="V34" s="705" t="s">
        <v>14</v>
      </c>
      <c r="W34" s="706">
        <f t="shared" si="14"/>
        <v>100</v>
      </c>
      <c r="X34" s="1354"/>
      <c r="Y34" s="374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48"/>
      <c r="Q35" s="707">
        <f t="shared" si="11"/>
        <v>111</v>
      </c>
      <c r="R35" s="708" t="s">
        <v>14</v>
      </c>
      <c r="S35" s="709">
        <f t="shared" si="12"/>
        <v>100</v>
      </c>
      <c r="T35" s="708" t="s">
        <v>14</v>
      </c>
      <c r="U35" s="709">
        <f t="shared" si="13"/>
        <v>100</v>
      </c>
      <c r="V35" s="708" t="s">
        <v>14</v>
      </c>
      <c r="W35" s="709">
        <f t="shared" si="14"/>
        <v>100</v>
      </c>
      <c r="X35" s="710"/>
      <c r="Y35" s="3748"/>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48"/>
      <c r="Q36" s="1351">
        <f t="shared" si="11"/>
        <v>111</v>
      </c>
      <c r="R36" s="705" t="s">
        <v>14</v>
      </c>
      <c r="S36" s="706">
        <f t="shared" si="12"/>
        <v>100</v>
      </c>
      <c r="T36" s="705" t="s">
        <v>14</v>
      </c>
      <c r="U36" s="706">
        <f t="shared" si="13"/>
        <v>100</v>
      </c>
      <c r="V36" s="705" t="s">
        <v>14</v>
      </c>
      <c r="W36" s="706">
        <f t="shared" si="14"/>
        <v>100</v>
      </c>
      <c r="X36" s="1354"/>
      <c r="Y36" s="3748"/>
      <c r="Z36" s="1355">
        <f t="shared" si="15"/>
        <v>111</v>
      </c>
      <c r="AA36" s="1352">
        <f t="shared" si="3"/>
        <v>1</v>
      </c>
      <c r="AB36" s="1352">
        <f t="shared" si="4"/>
        <v>1</v>
      </c>
      <c r="AC36" s="1352">
        <f t="shared" si="5"/>
        <v>1</v>
      </c>
    </row>
    <row r="37" spans="1:29" ht="15">
      <c r="A37" s="430" t="s">
        <v>1843</v>
      </c>
      <c r="B37" s="1969" t="s">
        <v>4717</v>
      </c>
      <c r="C37" s="1154" t="s">
        <v>0</v>
      </c>
      <c r="D37" s="1155"/>
      <c r="E37" s="1156">
        <f>'[2]比较法-车位'!$E$37</f>
        <v>170000</v>
      </c>
      <c r="F37" s="1157"/>
      <c r="G37" s="1158">
        <f>'[2]比较法-车位'!$G$37</f>
        <v>190000</v>
      </c>
      <c r="H37" s="1159"/>
      <c r="I37" s="1156">
        <f>'[2]比较法-车位'!$I$37</f>
        <v>190000</v>
      </c>
      <c r="J37" s="1159"/>
      <c r="K37" s="568"/>
      <c r="L37" s="2718"/>
      <c r="M37" s="2719"/>
      <c r="N37" s="2710"/>
      <c r="O37" s="2719"/>
      <c r="P37" s="3741" t="str">
        <f>A37</f>
        <v>成交单价</v>
      </c>
      <c r="Q37" s="3741"/>
      <c r="R37" s="3742">
        <f>E37</f>
        <v>170000</v>
      </c>
      <c r="S37" s="3742"/>
      <c r="T37" s="3742">
        <f>G37</f>
        <v>190000</v>
      </c>
      <c r="U37" s="3742"/>
      <c r="V37" s="3742">
        <f>I37</f>
        <v>190000</v>
      </c>
      <c r="W37" s="3742"/>
      <c r="X37" s="690"/>
      <c r="Y37" s="712"/>
      <c r="Z37" s="690"/>
      <c r="AA37" s="690"/>
      <c r="AB37" s="690"/>
      <c r="AC37" s="690"/>
    </row>
    <row r="38" spans="1:29" ht="15.75" thickBot="1">
      <c r="A38" s="437" t="s">
        <v>1844</v>
      </c>
      <c r="B38" s="438" t="str">
        <f>B37</f>
        <v>元/车位</v>
      </c>
      <c r="C38" s="1160">
        <f>R39</f>
        <v>161350</v>
      </c>
      <c r="D38" s="2313" t="s">
        <v>2136</v>
      </c>
      <c r="E38" s="1161">
        <f>R38</f>
        <v>170000</v>
      </c>
      <c r="F38" s="2314"/>
      <c r="G38" s="1160">
        <f>T38</f>
        <v>157025</v>
      </c>
      <c r="H38" s="2314"/>
      <c r="I38" s="1161">
        <f>V38</f>
        <v>157025</v>
      </c>
      <c r="J38" s="2314"/>
      <c r="K38" s="2316">
        <f>F38+H38+J38</f>
        <v>0</v>
      </c>
      <c r="L38" s="2718"/>
      <c r="M38" s="2719"/>
      <c r="N38" s="2719"/>
      <c r="O38" s="2719"/>
      <c r="P38" s="3741" t="str">
        <f>A38</f>
        <v>比较价值（元/平方米）</v>
      </c>
      <c r="Q38" s="3741"/>
      <c r="R38" s="3742">
        <f>IF(F1="售价",ROUND(PRODUCT(R37,AA7:AA36),0),ROUND(PRODUCT(R37,AA7:AA36),1))</f>
        <v>170000</v>
      </c>
      <c r="S38" s="3742"/>
      <c r="T38" s="3742">
        <f>IF(F1="售价",ROUND(PRODUCT(T37,AB7:AB36),0),ROUND(PRODUCT(T37,AB7:AB36),1))</f>
        <v>157025</v>
      </c>
      <c r="U38" s="3742"/>
      <c r="V38" s="3742">
        <f>IF(F1="售价",ROUND(PRODUCT(V37,AC7:AC36),0),ROUND(PRODUCT(V37,AC7:AC36),1))</f>
        <v>157025</v>
      </c>
      <c r="W38" s="3742"/>
      <c r="X38" s="690"/>
      <c r="Y38" s="690"/>
      <c r="Z38" s="690"/>
      <c r="AA38" s="690"/>
      <c r="AB38" s="690"/>
      <c r="AC38" s="690"/>
    </row>
    <row r="39" spans="1:29" ht="15.75" thickBot="1">
      <c r="A39" s="441" t="s">
        <v>1845</v>
      </c>
      <c r="B39" s="442"/>
      <c r="C39" s="1163">
        <f>R39</f>
        <v>161350</v>
      </c>
      <c r="D39" s="1163"/>
      <c r="E39" s="1163"/>
      <c r="F39" s="1163"/>
      <c r="G39" s="1163"/>
      <c r="H39" s="1163"/>
      <c r="I39" s="1163"/>
      <c r="J39" s="1163"/>
      <c r="K39" s="569"/>
      <c r="L39" s="2718"/>
      <c r="M39" s="2719"/>
      <c r="N39" s="2719"/>
      <c r="O39" s="2719"/>
      <c r="P39" s="3738" t="str">
        <f>A39</f>
        <v>估价对象XX用房的比较价值（楼面单价，元/平方米）</v>
      </c>
      <c r="Q39" s="3739"/>
      <c r="R39" s="3768">
        <f>IF(F1="售价",ROUND(IF(D38="简单平均",AVERAGE(R38:W38),R38*F38+T38*H38+V38*J38),0),ROUND(IF(D38="简单平均",AVERAGE(R38:V38),R38*F38+T38*H38+V38*J38),1))</f>
        <v>161350</v>
      </c>
      <c r="S39" s="3768"/>
      <c r="T39" s="3768"/>
      <c r="U39" s="3768"/>
      <c r="V39" s="3768"/>
      <c r="W39" s="3768"/>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1846</v>
      </c>
      <c r="D42" s="447"/>
      <c r="E42" s="448">
        <f>IF(E37&lt;E38,E38/E37-1,E37/E38-1)</f>
        <v>0</v>
      </c>
      <c r="F42" s="449" t="str">
        <f>IF(OR(E42&gt;=0.3,E42&lt;=-0.3),"超过30%","")</f>
        <v/>
      </c>
      <c r="G42" s="448">
        <f>IF(G37&lt;G38,G38/G37-1,G37/G38-1)</f>
        <v>0.20999840789683177</v>
      </c>
      <c r="H42" s="449" t="str">
        <f>IF(OR(G42&gt;=0.3,G42&lt;=-0.3),"超过30%","")</f>
        <v/>
      </c>
      <c r="I42" s="448">
        <f>IF(I37&lt;I38,I38/I37-1,I37/I38-1)</f>
        <v>0.20999840789683177</v>
      </c>
      <c r="J42" s="449" t="str">
        <f>IF(OR(I42&gt;=0.3,I42&lt;=-0.3),"超过30%","")</f>
        <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1847</v>
      </c>
      <c r="D43" s="450"/>
      <c r="E43" s="448">
        <f>IF(E38&lt;G38,G38/E38-1,E38/G38-1)</f>
        <v>8.2630154434007341E-2</v>
      </c>
      <c r="F43" s="449" t="str">
        <f>IF(OR(E43&gt;=0.2,E43&lt;=-0.2),"超过20%","")</f>
        <v/>
      </c>
      <c r="G43" s="448">
        <f>IF(G38&lt;I38,I38/G38-1,G38/I38-1)</f>
        <v>0</v>
      </c>
      <c r="H43" s="449" t="str">
        <f>IF(OR(G43&gt;=0.2,G43&lt;=-0.2),"超过20%","")</f>
        <v/>
      </c>
      <c r="I43" s="448">
        <f>IF(I38&lt;E38,E38/I38-1,I38/E38-1)</f>
        <v>8.2630154434007341E-2</v>
      </c>
      <c r="J43" s="449" t="str">
        <f>IF(OR(I43&gt;=0.2,I43&lt;=-0.2),"超过20%","")</f>
        <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1848</v>
      </c>
      <c r="D44" s="450"/>
      <c r="E44" s="448">
        <f>IF(E37&lt;G37,G37/E37-1,E37/G37-1)</f>
        <v>0.11764705882352944</v>
      </c>
      <c r="F44" s="449" t="str">
        <f>IF(OR(E44&gt;=0.3,E44&lt;=-0.3),"超过30%","")</f>
        <v/>
      </c>
      <c r="G44" s="448">
        <f>IF(G37&lt;I37,I37/G37-1,G37/I37-1)</f>
        <v>0</v>
      </c>
      <c r="H44" s="449" t="str">
        <f>IF(OR(G44&gt;=0.3,G44&lt;=-0.3),"超过30%","")</f>
        <v/>
      </c>
      <c r="I44" s="448">
        <f>IF(I37&lt;E37,E37/I37-1,I37/E37-1)</f>
        <v>0.11764705882352944</v>
      </c>
      <c r="J44" s="449" t="str">
        <f>IF(OR(I44&gt;=0.3,I44&lt;=-0.3),"超过30%","")</f>
        <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1849</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1850</v>
      </c>
      <c r="B48" s="455"/>
      <c r="C48" s="1183" t="str">
        <f>YEAR(C7)&amp;"-"&amp;MONTH(C7)</f>
        <v>2023-4</v>
      </c>
      <c r="D48" s="1184">
        <f>EDATE(C48,-1)</f>
        <v>44986</v>
      </c>
      <c r="E48" s="1184">
        <f t="shared" ref="E48:O48" si="16">EDATE(D48,-1)</f>
        <v>44958</v>
      </c>
      <c r="F48" s="1184">
        <f t="shared" si="16"/>
        <v>44927</v>
      </c>
      <c r="G48" s="1184">
        <f t="shared" si="16"/>
        <v>44896</v>
      </c>
      <c r="H48" s="1184">
        <f t="shared" si="16"/>
        <v>44866</v>
      </c>
      <c r="I48" s="1184">
        <f t="shared" si="16"/>
        <v>44835</v>
      </c>
      <c r="J48" s="1184">
        <f t="shared" si="16"/>
        <v>44805</v>
      </c>
      <c r="K48" s="1184">
        <f t="shared" si="16"/>
        <v>44774</v>
      </c>
      <c r="L48" s="1184">
        <f t="shared" si="16"/>
        <v>44743</v>
      </c>
      <c r="M48" s="1184">
        <f t="shared" si="16"/>
        <v>44713</v>
      </c>
      <c r="N48" s="1184">
        <f t="shared" si="16"/>
        <v>44682</v>
      </c>
      <c r="O48" s="1184">
        <f t="shared" si="16"/>
        <v>44652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1177">
        <v>100</v>
      </c>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1715</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1680</v>
      </c>
      <c r="B51" s="459"/>
      <c r="C51" s="471" t="s">
        <v>1775</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1718</v>
      </c>
      <c r="B53" s="477" t="s">
        <v>1684</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1687</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90</v>
      </c>
      <c r="E64" s="493">
        <f>D64-$K14</f>
        <v>80</v>
      </c>
      <c r="F64" s="493">
        <f>E64-$K14</f>
        <v>70</v>
      </c>
      <c r="G64" s="493">
        <f>F64-$K14</f>
        <v>60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1726</v>
      </c>
      <c r="C65" s="527" t="s">
        <v>1720</v>
      </c>
      <c r="D65" s="527" t="s">
        <v>1721</v>
      </c>
      <c r="E65" s="527" t="s">
        <v>1722</v>
      </c>
      <c r="F65" s="527" t="s">
        <v>1723</v>
      </c>
      <c r="G65" s="527" t="s">
        <v>1724</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90</v>
      </c>
      <c r="E66" s="493">
        <f>D66-$K16</f>
        <v>80</v>
      </c>
      <c r="F66" s="493">
        <f>E66-$K16</f>
        <v>70</v>
      </c>
      <c r="G66" s="493">
        <f>F66-$K16</f>
        <v>60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1812</v>
      </c>
      <c r="C67" s="608" t="s">
        <v>1798</v>
      </c>
      <c r="D67" s="608" t="s">
        <v>1799</v>
      </c>
      <c r="E67" s="608" t="s">
        <v>1800</v>
      </c>
      <c r="F67" s="608" t="s">
        <v>1801</v>
      </c>
      <c r="G67" s="608" t="s">
        <v>1802</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1732</v>
      </c>
      <c r="C69" s="527" t="s">
        <v>1720</v>
      </c>
      <c r="D69" s="527" t="s">
        <v>1721</v>
      </c>
      <c r="E69" s="527" t="s">
        <v>1722</v>
      </c>
      <c r="F69" s="527" t="s">
        <v>1723</v>
      </c>
      <c r="G69" s="527" t="s">
        <v>1724</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1851</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1693</v>
      </c>
      <c r="B79" s="477" t="s">
        <v>1852</v>
      </c>
      <c r="C79" s="478" t="str">
        <f>C26</f>
        <v>住宅</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1853</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1739</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1855</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1856</v>
      </c>
      <c r="C90" s="527" t="str">
        <f>C91&amp;"(含)"&amp;"-"&amp;D91</f>
        <v>0(含)-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v>0</v>
      </c>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1857</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1858</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 zoomScale="85" zoomScaleNormal="70" zoomScaleSheetLayoutView="85" workbookViewId="0">
      <selection activeCell="F43" sqref="F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3339</v>
      </c>
      <c r="D1" s="1361" t="s">
        <v>4735</v>
      </c>
      <c r="E1" s="1362" t="s">
        <v>678</v>
      </c>
      <c r="F1" s="1062">
        <f ca="1">J53</f>
        <v>46.53</v>
      </c>
      <c r="G1" s="1377">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3455</v>
      </c>
      <c r="C2" s="1386" t="s">
        <v>805</v>
      </c>
      <c r="D2" s="1386"/>
      <c r="E2" s="1387"/>
      <c r="F2" s="1388"/>
      <c r="G2" s="2700"/>
      <c r="H2" s="2689"/>
      <c r="I2" s="2689"/>
      <c r="J2" s="2689"/>
      <c r="K2" s="2690"/>
      <c r="L2" s="2689"/>
      <c r="M2" s="2689"/>
    </row>
    <row r="3" spans="1:37" ht="18" customHeight="1" thickBot="1">
      <c r="A3" s="1389" t="s">
        <v>806</v>
      </c>
      <c r="B3" s="1390">
        <f ca="1">IF(ISERROR(B2*10000/F43),0,ROUND(B2*10000/F43,0))</f>
        <v>6430</v>
      </c>
      <c r="C3" s="1386" t="s">
        <v>807</v>
      </c>
      <c r="D3" s="1386"/>
      <c r="E3" s="1387"/>
      <c r="F3" s="1388"/>
      <c r="G3" s="2700"/>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212</v>
      </c>
      <c r="D5" s="1363" t="s">
        <v>693</v>
      </c>
      <c r="E5" s="1071"/>
      <c r="F5" s="1072"/>
      <c r="G5" s="1383"/>
      <c r="H5" s="299">
        <v>1</v>
      </c>
      <c r="I5" s="300" t="s">
        <v>692</v>
      </c>
      <c r="J5" s="1070">
        <f ca="1">J6+J10+J12</f>
        <v>0</v>
      </c>
      <c r="K5" s="1363" t="s">
        <v>693</v>
      </c>
      <c r="L5" s="1071"/>
      <c r="M5" s="1072"/>
    </row>
    <row r="6" spans="1:37" ht="18" customHeight="1">
      <c r="A6" s="1069" t="s">
        <v>398</v>
      </c>
      <c r="B6" s="3682" t="s">
        <v>694</v>
      </c>
      <c r="C6" s="1074">
        <f ca="1">ROUND(F6*F8*F7*(1-F9)/10000,0)</f>
        <v>212</v>
      </c>
      <c r="D6" s="155" t="s">
        <v>2107</v>
      </c>
      <c r="E6" s="302" t="s">
        <v>696</v>
      </c>
      <c r="F6" s="303">
        <f ca="1">INDIRECT("'数据-取费表'!u"&amp;$G$1)</f>
        <v>1.2</v>
      </c>
      <c r="G6" s="1383"/>
      <c r="H6" s="1069" t="s">
        <v>398</v>
      </c>
      <c r="I6" s="3682" t="s">
        <v>694</v>
      </c>
      <c r="J6" s="301">
        <f ca="1">ROUND(M6*M8*M7*(1-M9)/10000,0)</f>
        <v>0</v>
      </c>
      <c r="K6" s="155" t="s">
        <v>2106</v>
      </c>
      <c r="L6" s="302" t="s">
        <v>696</v>
      </c>
      <c r="M6" s="303">
        <f ca="1">INDIRECT("'数据-取费表'!z"&amp;$G$1)</f>
        <v>0</v>
      </c>
    </row>
    <row r="7" spans="1:37" ht="18" customHeight="1">
      <c r="A7" s="1073"/>
      <c r="B7" s="3683"/>
      <c r="C7" s="1075"/>
      <c r="D7" s="307"/>
      <c r="E7" s="1076" t="s">
        <v>697</v>
      </c>
      <c r="F7" s="303">
        <f ca="1">IF(INDIRECT("'数据-取费表'!ah"&amp;$G$1)="",INDIRECT("'数据-取费表'!k"&amp;$G$1),INDIRECT("'数据-取费表'!ah"&amp;$G$1))</f>
        <v>5373.0999999999995</v>
      </c>
      <c r="G7" s="1383"/>
      <c r="H7" s="304"/>
      <c r="I7" s="3683"/>
      <c r="J7" s="306"/>
      <c r="K7" s="307"/>
      <c r="L7" s="302" t="s">
        <v>697</v>
      </c>
      <c r="M7" s="303">
        <f ca="1">F7</f>
        <v>5373.0999999999995</v>
      </c>
    </row>
    <row r="8" spans="1:37" ht="18" customHeight="1">
      <c r="A8" s="304"/>
      <c r="B8" s="3683"/>
      <c r="C8" s="306"/>
      <c r="D8" s="307"/>
      <c r="E8" s="302" t="s">
        <v>698</v>
      </c>
      <c r="F8" s="303">
        <f ca="1">INDIRECT("'数据-取费表'!ai"&amp;$G$1)</f>
        <v>365</v>
      </c>
      <c r="G8" s="1383"/>
      <c r="H8" s="304"/>
      <c r="I8" s="3683"/>
      <c r="J8" s="306"/>
      <c r="K8" s="307"/>
      <c r="L8" s="302" t="s">
        <v>698</v>
      </c>
      <c r="M8" s="303">
        <f ca="1">INDIRECT("'数据-取费表'!ai"&amp;$G$1)</f>
        <v>365</v>
      </c>
    </row>
    <row r="9" spans="1:37" ht="18" customHeight="1">
      <c r="A9" s="304"/>
      <c r="B9" s="3684"/>
      <c r="C9" s="306"/>
      <c r="D9" s="307"/>
      <c r="E9" s="302" t="s">
        <v>699</v>
      </c>
      <c r="F9" s="312">
        <f ca="1">INDIRECT("'数据-取费表'!w"&amp;$G$1)</f>
        <v>0.1</v>
      </c>
      <c r="G9" s="1383"/>
      <c r="H9" s="304"/>
      <c r="I9" s="3684"/>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3161</v>
      </c>
      <c r="D13" s="1081" t="s">
        <v>705</v>
      </c>
      <c r="E13" s="108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2364</v>
      </c>
      <c r="D14" s="1344" t="s">
        <v>708</v>
      </c>
      <c r="E14" s="1341"/>
      <c r="F14" s="319"/>
      <c r="G14" s="1383"/>
      <c r="H14" s="982" t="s">
        <v>398</v>
      </c>
      <c r="I14" s="302" t="s">
        <v>709</v>
      </c>
      <c r="J14" s="21">
        <f ca="1">C29</f>
        <v>3161</v>
      </c>
      <c r="K14" s="12"/>
      <c r="L14" s="807"/>
      <c r="M14" s="808"/>
    </row>
    <row r="15" spans="1:37" s="1396" customFormat="1" ht="18" customHeight="1" thickBot="1">
      <c r="A15" s="982" t="s">
        <v>399</v>
      </c>
      <c r="B15" s="302" t="s">
        <v>710</v>
      </c>
      <c r="C15" s="21">
        <f ca="1">ROUND(C14*F15,0)</f>
        <v>71</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32</v>
      </c>
      <c r="K16" s="1087" t="s">
        <v>715</v>
      </c>
      <c r="L16" s="1088"/>
      <c r="M16" s="1072"/>
    </row>
    <row r="17" spans="1:37" s="1396" customFormat="1" ht="18" customHeight="1">
      <c r="A17" s="982" t="s">
        <v>681</v>
      </c>
      <c r="B17" s="302" t="s">
        <v>716</v>
      </c>
      <c r="C17" s="21">
        <f ca="1">ROUND(F17*(F43+INDIRECT("'数据-取费表'!S"&amp;$G$1))/10000,0)</f>
        <v>107</v>
      </c>
      <c r="D17" s="302" t="s">
        <v>717</v>
      </c>
      <c r="E17" s="302" t="s">
        <v>718</v>
      </c>
      <c r="F17" s="23">
        <f>'数据-取费表'!B35</f>
        <v>200</v>
      </c>
      <c r="G17" s="1395"/>
      <c r="H17" s="982" t="s">
        <v>398</v>
      </c>
      <c r="I17" s="302" t="s">
        <v>719</v>
      </c>
      <c r="J17" s="2312">
        <f ca="1">ROUND(IF(AND(项目基本情况!B11="自然人",项目基本情况!B10="北京市"),J6*M17/(1+'数据-取费表'!C42),J18+J19+J20),2)</f>
        <v>0.22</v>
      </c>
      <c r="K17" s="1344" t="s">
        <v>720</v>
      </c>
      <c r="L17" s="1343" t="s">
        <v>721</v>
      </c>
      <c r="M17" s="2311"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35</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2577</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52</v>
      </c>
      <c r="D20" s="323" t="s">
        <v>729</v>
      </c>
      <c r="E20" s="302" t="s">
        <v>712</v>
      </c>
      <c r="F20" s="322">
        <f>'数据-取费表'!B37</f>
        <v>0.02</v>
      </c>
      <c r="G20" s="1395"/>
      <c r="H20" s="982" t="s">
        <v>680</v>
      </c>
      <c r="I20" s="155" t="s">
        <v>730</v>
      </c>
      <c r="J20" s="22">
        <f ca="1">ROUND(M20*M21/10000,2)</f>
        <v>0.22</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1487.43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31.61</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165</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-32</v>
      </c>
      <c r="K25" s="1095" t="s">
        <v>753</v>
      </c>
      <c r="L25" s="1096"/>
      <c r="M25" s="1097"/>
    </row>
    <row r="26" spans="1:37">
      <c r="A26" s="982" t="s">
        <v>397</v>
      </c>
      <c r="B26" s="302" t="s">
        <v>754</v>
      </c>
      <c r="C26" s="21">
        <f ca="1">ROUND((C19+C20)*F26,0)</f>
        <v>131</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3161</v>
      </c>
      <c r="D29" s="1092"/>
      <c r="E29" s="1090"/>
      <c r="F29" s="1093"/>
      <c r="G29" s="1395"/>
      <c r="H29" s="334" t="s">
        <v>396</v>
      </c>
      <c r="I29" s="335" t="s">
        <v>768</v>
      </c>
      <c r="J29" s="336">
        <f ca="1">ROUND(J26/(1+F40)^F41,0)</f>
        <v>0</v>
      </c>
      <c r="K29" s="337" t="s">
        <v>769</v>
      </c>
      <c r="L29" s="338"/>
      <c r="M29" s="339">
        <f ca="1">INDIRECT("'数据-取费表'!k"&amp;$G$1)</f>
        <v>5373.0999999999995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72</v>
      </c>
      <c r="D30" s="1087" t="s">
        <v>715</v>
      </c>
      <c r="E30" s="1088"/>
      <c r="F30" s="1072"/>
      <c r="G30" s="1383"/>
      <c r="H30" s="2691"/>
      <c r="I30" s="1397"/>
      <c r="J30" s="1398"/>
      <c r="K30" s="2469"/>
      <c r="L30" s="2692"/>
      <c r="M30" s="2693"/>
    </row>
    <row r="31" spans="1:37" ht="18" customHeight="1">
      <c r="A31" s="982" t="s">
        <v>398</v>
      </c>
      <c r="B31" s="302" t="s">
        <v>719</v>
      </c>
      <c r="C31" s="2312">
        <f ca="1">ROUND(IF(AND(项目基本情况!B11="自然人",项目基本情况!B10="北京市"),C6*F31/(1+'数据-取费表'!C42),C32+C33+C34),2)</f>
        <v>35.549999999999997</v>
      </c>
      <c r="D31" s="1344" t="s">
        <v>720</v>
      </c>
      <c r="E31" s="1343" t="s">
        <v>770</v>
      </c>
      <c r="F31" s="2311" t="str">
        <f>IF(项目基本情况!B11="企业","——",IF(M47="住宅",IF(F6*F7*F8/12/(1+'数据-取费表'!F30)&gt;100000,4%,2.5%),IF(F6*F7*F8/12/(1+'数据-取费表'!F30)&gt;100000,12%,7%)))</f>
        <v>——</v>
      </c>
      <c r="G31" s="1383"/>
      <c r="H31" s="2802" t="s">
        <v>2308</v>
      </c>
      <c r="I31" s="1397"/>
      <c r="J31" s="1398"/>
      <c r="K31" s="2469"/>
      <c r="L31" s="2692"/>
      <c r="M31" s="2693"/>
    </row>
    <row r="32" spans="1:37" ht="18" customHeight="1">
      <c r="A32" s="982" t="s">
        <v>397</v>
      </c>
      <c r="B32" s="302" t="s">
        <v>723</v>
      </c>
      <c r="C32" s="21">
        <f ca="1">IF(项目基本情况!B11="自然人","——",ROUND(C6*F32/(1+'数据-取费表'!C42),2))</f>
        <v>11.1</v>
      </c>
      <c r="D32" s="1343" t="s">
        <v>724</v>
      </c>
      <c r="E32" s="302" t="s">
        <v>712</v>
      </c>
      <c r="F32" s="331">
        <f>'数据-取费表'!B41</f>
        <v>5.5000000000000007E-2</v>
      </c>
      <c r="G32" s="1383"/>
      <c r="H32" s="2691"/>
      <c r="I32" s="1397"/>
      <c r="J32" s="1398"/>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24.23</v>
      </c>
      <c r="D33" s="1369" t="s">
        <v>3341</v>
      </c>
      <c r="E33" s="302" t="s">
        <v>712</v>
      </c>
      <c r="F33" s="322">
        <f>IF(D33="按票据","——",IF(D33="按租金收入计税",'数据-取费表'!B51,'数据-取费表'!B50))</f>
        <v>0.12</v>
      </c>
      <c r="G33" s="1383"/>
      <c r="H33" s="2694"/>
      <c r="I33" s="1397"/>
      <c r="J33" s="1398"/>
      <c r="K33" s="2695"/>
      <c r="L33" s="2694"/>
      <c r="M33" s="2694"/>
    </row>
    <row r="34" spans="1:18" ht="18" customHeight="1">
      <c r="A34" s="1069" t="s">
        <v>680</v>
      </c>
      <c r="B34" s="155" t="s">
        <v>730</v>
      </c>
      <c r="C34" s="22">
        <f ca="1">IF(项目基本情况!B11="自然人","——",ROUND(F34*F35/10000,2))</f>
        <v>0.22</v>
      </c>
      <c r="D34" s="324" t="s">
        <v>731</v>
      </c>
      <c r="E34" s="302" t="s">
        <v>732</v>
      </c>
      <c r="F34" s="325">
        <f>'数据-取费表'!B52</f>
        <v>1.5</v>
      </c>
      <c r="G34" s="1383"/>
      <c r="H34" s="2691"/>
      <c r="I34" s="1397"/>
      <c r="J34" s="1398"/>
      <c r="K34" s="2696"/>
      <c r="L34" s="2697"/>
      <c r="M34" s="2697"/>
    </row>
    <row r="35" spans="1:18" ht="18" customHeight="1">
      <c r="A35" s="1103"/>
      <c r="B35" s="1101"/>
      <c r="C35" s="26"/>
      <c r="D35" s="327"/>
      <c r="E35" s="302" t="s">
        <v>736</v>
      </c>
      <c r="F35" s="303">
        <f ca="1">INDIRECT("'数据-取费表'!r"&amp;$G$1)</f>
        <v>1487.43</v>
      </c>
      <c r="G35" s="1383"/>
      <c r="H35" s="2691"/>
      <c r="I35" s="1397"/>
      <c r="J35" s="1398"/>
      <c r="K35" s="2695"/>
      <c r="L35" s="2694"/>
      <c r="M35" s="2694"/>
    </row>
    <row r="36" spans="1:18" ht="18" customHeight="1">
      <c r="A36" s="1102" t="s">
        <v>402</v>
      </c>
      <c r="B36" s="302" t="s">
        <v>738</v>
      </c>
      <c r="C36" s="21">
        <f ca="1">ROUND(C29*F36,2)</f>
        <v>31.61</v>
      </c>
      <c r="D36" s="1343" t="s">
        <v>771</v>
      </c>
      <c r="E36" s="302" t="s">
        <v>712</v>
      </c>
      <c r="F36" s="328">
        <f ca="1">INDIRECT("'数据-取费表'!Ak"&amp;$G$1)</f>
        <v>0.01</v>
      </c>
      <c r="G36" s="1383"/>
      <c r="H36" s="2694"/>
      <c r="I36" s="1397"/>
      <c r="J36" s="1398"/>
      <c r="K36" s="2538"/>
      <c r="L36" s="2694"/>
      <c r="M36" s="2694"/>
    </row>
    <row r="37" spans="1:18" ht="18" customHeight="1">
      <c r="A37" s="982" t="s">
        <v>437</v>
      </c>
      <c r="B37" s="302" t="s">
        <v>742</v>
      </c>
      <c r="C37" s="21">
        <f ca="1">ROUND(C13*F37,2)</f>
        <v>3.16</v>
      </c>
      <c r="D37" s="1343" t="s">
        <v>743</v>
      </c>
      <c r="E37" s="302" t="s">
        <v>744</v>
      </c>
      <c r="F37" s="330">
        <f ca="1">INDIRECT("'数据-取费表'!Al"&amp;$G$1)</f>
        <v>1E-3</v>
      </c>
      <c r="G37" s="1383"/>
      <c r="H37" s="2694"/>
      <c r="I37" s="1397"/>
      <c r="J37" s="1398"/>
      <c r="K37" s="2538"/>
      <c r="L37" s="2694"/>
      <c r="M37" s="2694"/>
    </row>
    <row r="38" spans="1:18" ht="18" customHeight="1" thickBot="1">
      <c r="A38" s="1089" t="s">
        <v>684</v>
      </c>
      <c r="B38" s="1090" t="s">
        <v>728</v>
      </c>
      <c r="C38" s="1091">
        <f ca="1">ROUND(C5*F38,2)</f>
        <v>2.12</v>
      </c>
      <c r="D38" s="1092" t="s">
        <v>748</v>
      </c>
      <c r="E38" s="1090" t="s">
        <v>744</v>
      </c>
      <c r="F38" s="1086">
        <f ca="1">INDIRECT("'数据-取费表'!Am"&amp;$G$1)</f>
        <v>0.01</v>
      </c>
      <c r="G38" s="1383"/>
      <c r="H38" s="2694"/>
      <c r="I38" s="1397"/>
      <c r="J38" s="1398"/>
      <c r="K38" s="2698"/>
      <c r="L38" s="2694"/>
      <c r="M38" s="2694"/>
    </row>
    <row r="39" spans="1:18" ht="24.6" customHeight="1" thickTop="1">
      <c r="A39" s="1079" t="s">
        <v>394</v>
      </c>
      <c r="B39" s="1094" t="s">
        <v>772</v>
      </c>
      <c r="C39" s="310">
        <f ca="1">C5-C30</f>
        <v>140</v>
      </c>
      <c r="D39" s="1095" t="s">
        <v>773</v>
      </c>
      <c r="E39" s="1096"/>
      <c r="F39" s="1097"/>
      <c r="G39" s="1383"/>
      <c r="H39" s="2694"/>
      <c r="I39" s="1397"/>
      <c r="J39" s="1398"/>
      <c r="K39" s="2698"/>
      <c r="L39" s="2694"/>
      <c r="M39" s="2694"/>
    </row>
    <row r="40" spans="1:18" ht="18" customHeight="1">
      <c r="A40" s="299" t="s">
        <v>395</v>
      </c>
      <c r="B40" s="300" t="s">
        <v>774</v>
      </c>
      <c r="C40" s="301">
        <f ca="1">ROUND(C39*(1-((1+F42)/(1+F40))^F41)/(F40-F42),0)</f>
        <v>3455</v>
      </c>
      <c r="D40" s="324" t="s">
        <v>758</v>
      </c>
      <c r="E40" s="302" t="s">
        <v>759</v>
      </c>
      <c r="F40" s="312">
        <f ca="1">INDIRECT("'数据-取费表'!I"&amp;$G$1)</f>
        <v>0.05</v>
      </c>
      <c r="G40" s="1383"/>
      <c r="H40" s="1460"/>
      <c r="I40" s="1397"/>
      <c r="J40" s="1398"/>
      <c r="K40" s="2698"/>
      <c r="L40" s="1460"/>
      <c r="M40" s="1460"/>
    </row>
    <row r="41" spans="1:18" ht="18" customHeight="1">
      <c r="A41" s="304"/>
      <c r="B41" s="305"/>
      <c r="C41" s="306"/>
      <c r="D41" s="332" t="s">
        <v>775</v>
      </c>
      <c r="E41" s="302" t="s">
        <v>763</v>
      </c>
      <c r="F41" s="333">
        <f ca="1">IF(INDIRECT("'数据-取费表'!af"&amp;$G$1)=0,INDIRECT("'数据-取费表'!ae"&amp;$G$1),INDIRECT("'数据-取费表'!af"&amp;$G$1))</f>
        <v>46.53</v>
      </c>
      <c r="G41" s="1383"/>
      <c r="H41" s="1190"/>
      <c r="I41" s="1397"/>
      <c r="J41" s="1398"/>
      <c r="K41" s="2538"/>
      <c r="L41" s="1190"/>
      <c r="M41" s="1190"/>
    </row>
    <row r="42" spans="1:18" ht="18" customHeight="1">
      <c r="A42" s="308"/>
      <c r="B42" s="309"/>
      <c r="C42" s="310"/>
      <c r="D42" s="327"/>
      <c r="E42" s="302" t="s">
        <v>766</v>
      </c>
      <c r="F42" s="312">
        <f ca="1">INDIRECT("'数据-取费表'!v"&amp;$G$1)</f>
        <v>0.02</v>
      </c>
      <c r="G42" s="1383"/>
      <c r="H42" s="1190"/>
      <c r="I42" s="1397"/>
      <c r="J42" s="1398"/>
      <c r="K42" s="2538"/>
      <c r="L42" s="1190"/>
      <c r="M42" s="1190"/>
    </row>
    <row r="43" spans="1:18" ht="18" customHeight="1" thickBot="1">
      <c r="A43" s="334" t="s">
        <v>396</v>
      </c>
      <c r="B43" s="335" t="s">
        <v>776</v>
      </c>
      <c r="C43" s="336">
        <f ca="1">ROUND(C40*10000/F43,0)</f>
        <v>6430</v>
      </c>
      <c r="D43" s="337" t="s">
        <v>777</v>
      </c>
      <c r="E43" s="338" t="s">
        <v>778</v>
      </c>
      <c r="F43" s="339">
        <f ca="1">INDIRECT("'数据-取费表'!k"&amp;$G$1)</f>
        <v>5373.0999999999995</v>
      </c>
      <c r="G43" s="1383"/>
      <c r="H43" s="1190"/>
      <c r="I43" s="1190"/>
      <c r="J43" s="1190"/>
      <c r="K43" s="2538"/>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9" t="s">
        <v>808</v>
      </c>
      <c r="P45" s="1460"/>
      <c r="Q45" s="1460"/>
      <c r="R45" s="1460"/>
    </row>
    <row r="46" spans="1:18" s="1383" customFormat="1" ht="13.5" thickBot="1">
      <c r="A46" s="1403" t="s">
        <v>809</v>
      </c>
      <c r="C46" s="1404">
        <f ca="1">C68-C40</f>
        <v>-4083</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4726</v>
      </c>
      <c r="K47" s="1415" t="s">
        <v>816</v>
      </c>
      <c r="L47" s="1416">
        <f ca="1">INDIRECT("'数据-取费表'!d"&amp;$G$1)</f>
        <v>50</v>
      </c>
      <c r="M47" s="1379" t="str">
        <f>IF(ISNUMBER(FIND("住宅",C1)),"住宅","非住宅")</f>
        <v>非住宅</v>
      </c>
      <c r="O47" s="1417" t="s">
        <v>403</v>
      </c>
      <c r="P47" s="1418" t="s">
        <v>817</v>
      </c>
      <c r="Q47" s="1419">
        <f ca="1">C40+J29</f>
        <v>3455</v>
      </c>
      <c r="R47" s="1419" t="s">
        <v>818</v>
      </c>
    </row>
    <row r="48" spans="1:18" s="1383" customFormat="1" ht="28.5" thickBot="1">
      <c r="A48" s="1110" t="s">
        <v>438</v>
      </c>
      <c r="B48" s="300" t="s">
        <v>692</v>
      </c>
      <c r="C48" s="1358">
        <f ca="1">C49+C53+C55</f>
        <v>0</v>
      </c>
      <c r="D48" s="1112"/>
      <c r="E48" s="1113"/>
      <c r="F48" s="962"/>
      <c r="G48" s="722"/>
      <c r="H48" s="723"/>
      <c r="I48" s="1420" t="s">
        <v>819</v>
      </c>
      <c r="J48" s="1421" t="s">
        <v>4734</v>
      </c>
      <c r="K48" s="1422" t="s">
        <v>820</v>
      </c>
      <c r="L48" s="1423">
        <f ca="1">INDIRECT("'数据-取费表'!f"&amp;$G$1)</f>
        <v>46.56</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c r="K49" s="1422" t="s">
        <v>824</v>
      </c>
      <c r="L49" s="1426"/>
      <c r="O49" s="1427" t="s">
        <v>405</v>
      </c>
      <c r="P49" s="1418" t="s">
        <v>825</v>
      </c>
      <c r="Q49" s="1419">
        <f ca="1">C29</f>
        <v>3161</v>
      </c>
      <c r="R49" s="1419" t="s">
        <v>818</v>
      </c>
    </row>
    <row r="50" spans="1:18" s="1383" customFormat="1" ht="13.5" thickBot="1">
      <c r="A50" s="976"/>
      <c r="B50" s="979"/>
      <c r="C50" s="1118"/>
      <c r="D50" s="953"/>
      <c r="E50" s="1056" t="s">
        <v>697</v>
      </c>
      <c r="F50" s="1057">
        <f ca="1">F7</f>
        <v>5373.0999999999995</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-2003</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46.53</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4">
        <f ca="1">IF(M47="住宅",IF(D1="——",MAX(J51,L48),MAX(J51,L48-'数据-取费表'!B24)),IF(D1="——",MIN(J51,L48),MIN(J51,L48-'数据-取费表'!B24)))</f>
        <v>46.53</v>
      </c>
      <c r="K53" s="3680" t="s">
        <v>837</v>
      </c>
      <c r="L53" s="3681"/>
      <c r="O53" s="1417" t="s">
        <v>409</v>
      </c>
      <c r="P53" s="1418" t="s">
        <v>838</v>
      </c>
      <c r="Q53" s="1419">
        <f ca="1">Q47+Q48</f>
        <v>3455</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3161</v>
      </c>
      <c r="D56" s="1446"/>
      <c r="E56" s="1447"/>
      <c r="F56" s="1439"/>
      <c r="I56" s="1448" t="s">
        <v>842</v>
      </c>
      <c r="J56" s="1449" t="s">
        <v>3384</v>
      </c>
      <c r="K56" s="1420" t="s">
        <v>843</v>
      </c>
      <c r="L56" s="1423" t="str">
        <f ca="1">IF(L48&lt;J51,"——",L48-J53)</f>
        <v>——</v>
      </c>
      <c r="O56" s="1417" t="s">
        <v>403</v>
      </c>
      <c r="P56" s="1418" t="s">
        <v>817</v>
      </c>
      <c r="Q56" s="1419">
        <f ca="1">C40+J29</f>
        <v>3455</v>
      </c>
      <c r="R56" s="1419" t="s">
        <v>818</v>
      </c>
    </row>
    <row r="57" spans="1:18" s="1383" customFormat="1" ht="24.75" thickBot="1">
      <c r="A57" s="1450"/>
      <c r="B57" s="950" t="s">
        <v>767</v>
      </c>
      <c r="C57" s="238">
        <f ca="1">C29</f>
        <v>3161</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35</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3341</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2" t="s">
        <v>784</v>
      </c>
      <c r="B62" s="949" t="s">
        <v>785</v>
      </c>
      <c r="C62" s="22">
        <f ca="1">IF(项目基本情况!B11="自然人","——",ROUND(F62*F63/10000,2))</f>
        <v>0.22</v>
      </c>
      <c r="D62" s="965" t="s">
        <v>786</v>
      </c>
      <c r="E62" s="950" t="s">
        <v>787</v>
      </c>
      <c r="F62" s="325">
        <f t="shared" si="0"/>
        <v>1.5</v>
      </c>
      <c r="I62" s="1461" t="s">
        <v>858</v>
      </c>
      <c r="J62" s="1462" t="s">
        <v>859</v>
      </c>
      <c r="K62" s="1462" t="s">
        <v>860</v>
      </c>
      <c r="L62" s="1462" t="s">
        <v>861</v>
      </c>
      <c r="M62" s="1463" t="s">
        <v>862</v>
      </c>
      <c r="O62" s="1417" t="s">
        <v>409</v>
      </c>
      <c r="P62" s="1418" t="s">
        <v>863</v>
      </c>
      <c r="Q62" s="1419">
        <f ca="1">Q56+Q57</f>
        <v>3455</v>
      </c>
      <c r="R62" s="1419" t="s">
        <v>410</v>
      </c>
    </row>
    <row r="63" spans="1:18" s="1383" customFormat="1" ht="13.5" thickBot="1">
      <c r="A63" s="326"/>
      <c r="B63" s="956"/>
      <c r="C63" s="26"/>
      <c r="D63" s="966"/>
      <c r="E63" s="950" t="s">
        <v>788</v>
      </c>
      <c r="F63" s="303">
        <f t="shared" ca="1" si="0"/>
        <v>1487.43</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31.61</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3.16</v>
      </c>
      <c r="D65" s="964" t="s">
        <v>743</v>
      </c>
      <c r="E65" s="950" t="s">
        <v>744</v>
      </c>
      <c r="F65" s="330">
        <f t="shared" ca="1" si="0"/>
        <v>1E-3</v>
      </c>
      <c r="I65" s="1461" t="s">
        <v>867</v>
      </c>
      <c r="J65" s="1462">
        <v>40</v>
      </c>
      <c r="K65" s="1462">
        <v>30</v>
      </c>
      <c r="L65" s="1462">
        <v>50</v>
      </c>
      <c r="M65" s="1464">
        <v>0.02</v>
      </c>
      <c r="O65" s="1417" t="s">
        <v>403</v>
      </c>
      <c r="P65" s="1418" t="s">
        <v>868</v>
      </c>
      <c r="Q65" s="1419">
        <f ca="1">C40+J29</f>
        <v>3455</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-35</v>
      </c>
      <c r="D67" s="963" t="s">
        <v>753</v>
      </c>
      <c r="E67" s="968"/>
      <c r="F67" s="969"/>
      <c r="O67" s="1427" t="s">
        <v>405</v>
      </c>
      <c r="P67" s="1418" t="s">
        <v>850</v>
      </c>
      <c r="Q67" s="1465">
        <f ca="1">L51</f>
        <v>-2003</v>
      </c>
      <c r="R67" s="1419" t="s">
        <v>870</v>
      </c>
    </row>
    <row r="68" spans="1:18" s="1383" customFormat="1" ht="16.5" thickBot="1">
      <c r="A68" s="947" t="s">
        <v>395</v>
      </c>
      <c r="B68" s="948" t="s">
        <v>774</v>
      </c>
      <c r="C68" s="301">
        <f ca="1">ROUND(C67*(1-((1+F70)/(1+F68))^F69)/(F68-F70),0)</f>
        <v>-628</v>
      </c>
      <c r="D68" s="965" t="s">
        <v>758</v>
      </c>
      <c r="E68" s="950" t="s">
        <v>759</v>
      </c>
      <c r="F68" s="312">
        <f ca="1">F40</f>
        <v>0.05</v>
      </c>
      <c r="O68" s="1427" t="s">
        <v>406</v>
      </c>
      <c r="P68" s="1466" t="s">
        <v>871</v>
      </c>
      <c r="Q68" s="1419">
        <f ca="1">ROUND(Q69-Q70*Q71,0)</f>
        <v>-97</v>
      </c>
      <c r="R68" s="1419" t="s">
        <v>414</v>
      </c>
    </row>
    <row r="69" spans="1:18" s="1383" customFormat="1" ht="13.5" thickBot="1">
      <c r="A69" s="951"/>
      <c r="B69" s="952"/>
      <c r="C69" s="306"/>
      <c r="D69" s="970" t="s">
        <v>762</v>
      </c>
      <c r="E69" s="950" t="s">
        <v>763</v>
      </c>
      <c r="F69" s="333">
        <f ca="1">F41</f>
        <v>46.53</v>
      </c>
      <c r="O69" s="1427" t="s">
        <v>411</v>
      </c>
      <c r="P69" s="1466" t="s">
        <v>872</v>
      </c>
      <c r="Q69" s="1419">
        <f ca="1">C39</f>
        <v>140</v>
      </c>
      <c r="R69" s="1419" t="s">
        <v>818</v>
      </c>
    </row>
    <row r="70" spans="1:18" s="1383" customFormat="1" ht="13.5" thickBot="1">
      <c r="A70" s="954"/>
      <c r="B70" s="955"/>
      <c r="C70" s="310"/>
      <c r="D70" s="966"/>
      <c r="E70" s="950" t="s">
        <v>766</v>
      </c>
      <c r="F70" s="1054"/>
      <c r="O70" s="1427" t="s">
        <v>412</v>
      </c>
      <c r="P70" s="1466" t="s">
        <v>873</v>
      </c>
      <c r="Q70" s="1419">
        <f ca="1">C13</f>
        <v>3161</v>
      </c>
      <c r="R70" s="1419" t="s">
        <v>818</v>
      </c>
    </row>
    <row r="71" spans="1:18" s="1383" customFormat="1" ht="13.5" thickBot="1">
      <c r="A71" s="971" t="s">
        <v>396</v>
      </c>
      <c r="B71" s="972" t="s">
        <v>776</v>
      </c>
      <c r="C71" s="336">
        <f ca="1">ROUND(C68*10000/F71,0)</f>
        <v>-1169</v>
      </c>
      <c r="D71" s="973" t="s">
        <v>777</v>
      </c>
      <c r="E71" s="974" t="s">
        <v>778</v>
      </c>
      <c r="F71" s="339">
        <f ca="1">F43</f>
        <v>5373.0999999999995</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237</v>
      </c>
      <c r="D75" s="1383"/>
      <c r="E75" s="1383"/>
      <c r="F75" s="1383"/>
      <c r="K75" s="1401"/>
      <c r="L75" s="1383"/>
      <c r="O75" s="1417" t="s">
        <v>409</v>
      </c>
      <c r="P75" s="1418" t="s">
        <v>838</v>
      </c>
      <c r="Q75" s="1419">
        <f ca="1">Q65+Q66</f>
        <v>3455</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-0.69300000000000006</v>
      </c>
    </row>
    <row r="80" spans="1:18">
      <c r="B80" s="340" t="s">
        <v>800</v>
      </c>
      <c r="C80" s="274">
        <f ca="1">ROUND(C75/C39,3)</f>
        <v>1.6930000000000001</v>
      </c>
    </row>
    <row r="81" spans="2:3">
      <c r="B81" s="270" t="s">
        <v>801</v>
      </c>
      <c r="C81" s="238"/>
    </row>
    <row r="82" spans="2:3">
      <c r="B82" s="273" t="s">
        <v>802</v>
      </c>
      <c r="C82" s="275">
        <f ca="1">1-C83</f>
        <v>8.4999999999999964E-2</v>
      </c>
    </row>
    <row r="83" spans="2:3">
      <c r="B83" s="273" t="s">
        <v>803</v>
      </c>
      <c r="C83" s="274">
        <f ca="1">ROUND(C13/C40,3)</f>
        <v>0.91500000000000004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3339</v>
      </c>
      <c r="C1" s="1223" t="s">
        <v>1661</v>
      </c>
      <c r="D1" s="1224"/>
      <c r="E1" s="3427"/>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724" t="s">
        <v>1769</v>
      </c>
      <c r="D4" s="3725"/>
      <c r="E4" s="3726" t="s">
        <v>1770</v>
      </c>
      <c r="F4" s="3727"/>
      <c r="G4" s="3724" t="s">
        <v>1771</v>
      </c>
      <c r="H4" s="3725"/>
      <c r="I4" s="3724" t="s">
        <v>1772</v>
      </c>
      <c r="J4" s="3725"/>
      <c r="K4" s="559" t="s">
        <v>1773</v>
      </c>
      <c r="L4" s="2709"/>
      <c r="M4" s="2710"/>
      <c r="N4" s="2710"/>
      <c r="O4" s="2710"/>
      <c r="P4" s="3728" t="s">
        <v>1774</v>
      </c>
      <c r="Q4" s="3729"/>
      <c r="R4" s="3711" t="s">
        <v>1770</v>
      </c>
      <c r="S4" s="3712"/>
      <c r="T4" s="3711" t="s">
        <v>1771</v>
      </c>
      <c r="U4" s="3712"/>
      <c r="V4" s="3736" t="s">
        <v>1772</v>
      </c>
      <c r="W4" s="3736"/>
      <c r="X4" s="1354"/>
      <c r="Y4" s="3711" t="s">
        <v>1774</v>
      </c>
      <c r="Z4" s="3712"/>
      <c r="AA4" s="3706" t="s">
        <v>1770</v>
      </c>
      <c r="AB4" s="3707" t="s">
        <v>1771</v>
      </c>
      <c r="AC4" s="3706" t="s">
        <v>1772</v>
      </c>
    </row>
    <row r="5" spans="1:29" ht="15">
      <c r="A5" s="358"/>
      <c r="B5" s="359"/>
      <c r="C5" s="3717" t="s">
        <v>1672</v>
      </c>
      <c r="D5" s="3718"/>
      <c r="E5" s="3715" t="s">
        <v>1673</v>
      </c>
      <c r="F5" s="3716"/>
      <c r="G5" s="3717" t="s">
        <v>1674</v>
      </c>
      <c r="H5" s="3718"/>
      <c r="I5" s="3717" t="s">
        <v>1675</v>
      </c>
      <c r="J5" s="3718"/>
      <c r="K5" s="559"/>
      <c r="L5" s="2709"/>
      <c r="M5" s="2710"/>
      <c r="N5" s="2710"/>
      <c r="O5" s="2710"/>
      <c r="P5" s="3730"/>
      <c r="Q5" s="3731"/>
      <c r="R5" s="3713"/>
      <c r="S5" s="3714"/>
      <c r="T5" s="3713"/>
      <c r="U5" s="3714"/>
      <c r="V5" s="3736"/>
      <c r="W5" s="3736"/>
      <c r="X5" s="1354"/>
      <c r="Y5" s="3713"/>
      <c r="Z5" s="3714"/>
      <c r="AA5" s="3707"/>
      <c r="AB5" s="3707"/>
      <c r="AC5" s="3707"/>
    </row>
    <row r="6" spans="1:29" ht="15.75" thickBot="1">
      <c r="A6" s="360"/>
      <c r="B6" s="361"/>
      <c r="C6" s="3719" t="s">
        <v>1676</v>
      </c>
      <c r="D6" s="3720"/>
      <c r="E6" s="3721" t="s">
        <v>1676</v>
      </c>
      <c r="F6" s="3722"/>
      <c r="G6" s="3719" t="s">
        <v>1676</v>
      </c>
      <c r="H6" s="3720"/>
      <c r="I6" s="3719" t="s">
        <v>1676</v>
      </c>
      <c r="J6" s="3720"/>
      <c r="K6" s="559" t="s">
        <v>1677</v>
      </c>
      <c r="L6" s="2709"/>
      <c r="M6" s="2710"/>
      <c r="N6" s="2710"/>
      <c r="O6" s="2710"/>
      <c r="P6" s="3732"/>
      <c r="Q6" s="3733"/>
      <c r="R6" s="3713"/>
      <c r="S6" s="3714"/>
      <c r="T6" s="3734"/>
      <c r="U6" s="3735"/>
      <c r="V6" s="3736"/>
      <c r="W6" s="3736"/>
      <c r="X6" s="1354"/>
      <c r="Y6" s="3734"/>
      <c r="Z6" s="3735"/>
      <c r="AA6" s="3708"/>
      <c r="AB6" s="3708"/>
      <c r="AC6" s="3708"/>
    </row>
    <row r="7" spans="1:29" s="108" customFormat="1" ht="15.75" thickBot="1">
      <c r="A7" s="362" t="s">
        <v>1678</v>
      </c>
      <c r="B7" s="363"/>
      <c r="C7" s="364">
        <f>'数据-取费表'!B2</f>
        <v>45035</v>
      </c>
      <c r="D7" s="365">
        <v>100</v>
      </c>
      <c r="E7" s="366"/>
      <c r="F7" s="367">
        <f>SUMIF(46:46,YEAR(E7)&amp;"-"&amp;MONTH(E7),47:47)</f>
        <v>0</v>
      </c>
      <c r="G7" s="1970"/>
      <c r="H7" s="365">
        <f>SUMIF(46:46,YEAR(G7)&amp;"-"&amp;MONTH(G7),47:47)</f>
        <v>0</v>
      </c>
      <c r="I7" s="366"/>
      <c r="J7" s="365">
        <f>SUMIF(46:46,YEAR(I7)&amp;"-"&amp;MONTH(I7),47:47)</f>
        <v>0</v>
      </c>
      <c r="K7" s="560"/>
      <c r="L7" s="2711"/>
      <c r="M7" s="2712"/>
      <c r="N7" s="2712"/>
      <c r="O7" s="2712"/>
      <c r="P7" s="3709" t="s">
        <v>1679</v>
      </c>
      <c r="Q7" s="3737"/>
      <c r="R7" s="701" t="s">
        <v>14</v>
      </c>
      <c r="S7" s="702">
        <f t="shared" ref="S7:S14" si="0">F7</f>
        <v>0</v>
      </c>
      <c r="T7" s="701" t="s">
        <v>14</v>
      </c>
      <c r="U7" s="702">
        <f t="shared" ref="U7:U14" si="1">H7</f>
        <v>0</v>
      </c>
      <c r="V7" s="701" t="s">
        <v>14</v>
      </c>
      <c r="W7" s="702">
        <f t="shared" ref="W7:W14" si="2">J7</f>
        <v>0</v>
      </c>
      <c r="X7" s="703"/>
      <c r="Y7" s="3709" t="s">
        <v>1679</v>
      </c>
      <c r="Z7" s="3710"/>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09" t="s">
        <v>1682</v>
      </c>
      <c r="Q8" s="3710"/>
      <c r="R8" s="701" t="s">
        <v>14</v>
      </c>
      <c r="S8" s="702">
        <f t="shared" si="0"/>
        <v>100</v>
      </c>
      <c r="T8" s="701" t="s">
        <v>14</v>
      </c>
      <c r="U8" s="702">
        <f t="shared" si="1"/>
        <v>100</v>
      </c>
      <c r="V8" s="701" t="s">
        <v>14</v>
      </c>
      <c r="W8" s="702">
        <f t="shared" si="2"/>
        <v>100</v>
      </c>
      <c r="X8" s="703"/>
      <c r="Y8" s="3709" t="s">
        <v>1682</v>
      </c>
      <c r="Z8" s="3710"/>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41" t="s">
        <v>1685</v>
      </c>
      <c r="Q9" s="1342" t="str">
        <f t="shared" ref="Q9:Q14" si="6">B9</f>
        <v>用途</v>
      </c>
      <c r="R9" s="701" t="s">
        <v>14</v>
      </c>
      <c r="S9" s="702">
        <f t="shared" si="0"/>
        <v>100</v>
      </c>
      <c r="T9" s="701" t="s">
        <v>14</v>
      </c>
      <c r="U9" s="702">
        <f t="shared" si="1"/>
        <v>100</v>
      </c>
      <c r="V9" s="701" t="s">
        <v>14</v>
      </c>
      <c r="W9" s="702">
        <f t="shared" si="2"/>
        <v>100</v>
      </c>
      <c r="X9" s="703"/>
      <c r="Y9" s="3653" t="s">
        <v>1686</v>
      </c>
      <c r="Z9" s="52" t="str">
        <f t="shared" ref="Z9:Z14" si="7">Q9</f>
        <v>用途</v>
      </c>
      <c r="AA9" s="704">
        <f t="shared" si="3"/>
        <v>1</v>
      </c>
      <c r="AB9" s="704">
        <f t="shared" si="4"/>
        <v>1</v>
      </c>
      <c r="AC9" s="704">
        <f t="shared" si="5"/>
        <v>1</v>
      </c>
    </row>
    <row r="10" spans="1:29" s="378" customFormat="1" ht="27">
      <c r="A10" s="374"/>
      <c r="B10" s="375" t="s">
        <v>1687</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41"/>
      <c r="Q10" s="1342" t="str">
        <f t="shared" si="6"/>
        <v>土地使用年限（年）</v>
      </c>
      <c r="R10" s="701" t="s">
        <v>14</v>
      </c>
      <c r="S10" s="702">
        <f t="shared" si="0"/>
        <v>100</v>
      </c>
      <c r="T10" s="701" t="s">
        <v>14</v>
      </c>
      <c r="U10" s="702">
        <f t="shared" si="1"/>
        <v>100</v>
      </c>
      <c r="V10" s="701" t="s">
        <v>14</v>
      </c>
      <c r="W10" s="702">
        <f t="shared" si="2"/>
        <v>100</v>
      </c>
      <c r="X10" s="703"/>
      <c r="Y10" s="3653"/>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41"/>
      <c r="Q11" s="1342">
        <f t="shared" si="6"/>
        <v>111</v>
      </c>
      <c r="R11" s="701" t="s">
        <v>14</v>
      </c>
      <c r="S11" s="702">
        <f t="shared" si="0"/>
        <v>100</v>
      </c>
      <c r="T11" s="701" t="s">
        <v>14</v>
      </c>
      <c r="U11" s="702">
        <f t="shared" si="1"/>
        <v>100</v>
      </c>
      <c r="V11" s="701" t="s">
        <v>14</v>
      </c>
      <c r="W11" s="702">
        <f t="shared" si="2"/>
        <v>100</v>
      </c>
      <c r="X11" s="703"/>
      <c r="Y11" s="3653"/>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41"/>
      <c r="Q12" s="1342">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6"/>
      <c r="M13" s="2710"/>
      <c r="N13" s="2710"/>
      <c r="O13" s="2768"/>
      <c r="P13" s="3741"/>
      <c r="Q13" s="1342">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85.5">
      <c r="A14" s="391" t="s">
        <v>1689</v>
      </c>
      <c r="B14" s="61" t="s">
        <v>1832</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43" t="s">
        <v>1690</v>
      </c>
      <c r="Q14" s="1351" t="str">
        <f t="shared" si="6"/>
        <v>交通便捷度</v>
      </c>
      <c r="R14" s="705" t="s">
        <v>14</v>
      </c>
      <c r="S14" s="706">
        <f t="shared" si="0"/>
        <v>100</v>
      </c>
      <c r="T14" s="705" t="s">
        <v>14</v>
      </c>
      <c r="U14" s="706">
        <f t="shared" si="1"/>
        <v>100</v>
      </c>
      <c r="V14" s="705" t="s">
        <v>14</v>
      </c>
      <c r="W14" s="706">
        <f t="shared" si="2"/>
        <v>100</v>
      </c>
      <c r="X14" s="1354"/>
      <c r="Y14" s="3743"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6"/>
      <c r="M15" s="2710"/>
      <c r="N15" s="2710"/>
      <c r="O15" s="2768"/>
      <c r="P15" s="3744"/>
      <c r="Q15" s="1351"/>
      <c r="R15" s="705"/>
      <c r="S15" s="706"/>
      <c r="T15" s="705"/>
      <c r="U15" s="706"/>
      <c r="V15" s="705"/>
      <c r="W15" s="706"/>
      <c r="X15" s="1354"/>
      <c r="Y15" s="3744"/>
      <c r="Z15" s="1355"/>
      <c r="AA15" s="1352">
        <v>1</v>
      </c>
      <c r="AB15" s="1352">
        <v>1</v>
      </c>
      <c r="AC15" s="1352">
        <v>1</v>
      </c>
    </row>
    <row r="16" spans="1:29" ht="42.75">
      <c r="A16" s="379"/>
      <c r="B16" s="402" t="s">
        <v>1811</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44"/>
      <c r="Q16" s="1351" t="str">
        <f>B16</f>
        <v>公共配套设施</v>
      </c>
      <c r="R16" s="705" t="s">
        <v>14</v>
      </c>
      <c r="S16" s="706">
        <f>F16</f>
        <v>100</v>
      </c>
      <c r="T16" s="705" t="s">
        <v>14</v>
      </c>
      <c r="U16" s="706">
        <f>H16</f>
        <v>100</v>
      </c>
      <c r="V16" s="705" t="s">
        <v>14</v>
      </c>
      <c r="W16" s="706">
        <f>J16</f>
        <v>100</v>
      </c>
      <c r="X16" s="1354"/>
      <c r="Y16" s="3744"/>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6"/>
      <c r="M17" s="2710"/>
      <c r="N17" s="2710"/>
      <c r="O17" s="2768"/>
      <c r="P17" s="3744"/>
      <c r="Q17" s="1351"/>
      <c r="R17" s="705"/>
      <c r="S17" s="706"/>
      <c r="T17" s="705"/>
      <c r="U17" s="706"/>
      <c r="V17" s="705"/>
      <c r="W17" s="706"/>
      <c r="X17" s="1354"/>
      <c r="Y17" s="3744"/>
      <c r="Z17" s="1355"/>
      <c r="AA17" s="1352">
        <v>1</v>
      </c>
      <c r="AB17" s="1352">
        <v>1</v>
      </c>
      <c r="AC17" s="1352">
        <v>1</v>
      </c>
    </row>
    <row r="18" spans="1:29" ht="28.5">
      <c r="A18" s="379"/>
      <c r="B18" s="1131" t="s">
        <v>1812</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44"/>
      <c r="Q18" s="1351" t="str">
        <f>B18</f>
        <v>基础设施水平</v>
      </c>
      <c r="R18" s="705" t="s">
        <v>14</v>
      </c>
      <c r="S18" s="706">
        <f>F18</f>
        <v>100</v>
      </c>
      <c r="T18" s="705" t="s">
        <v>14</v>
      </c>
      <c r="U18" s="706">
        <f>H18</f>
        <v>100</v>
      </c>
      <c r="V18" s="705" t="s">
        <v>14</v>
      </c>
      <c r="W18" s="706">
        <f>J18</f>
        <v>100</v>
      </c>
      <c r="X18" s="1354"/>
      <c r="Y18" s="3744"/>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6"/>
      <c r="M19" s="2710"/>
      <c r="N19" s="2710"/>
      <c r="O19" s="2768"/>
      <c r="P19" s="3744"/>
      <c r="Q19" s="1351"/>
      <c r="R19" s="705"/>
      <c r="S19" s="706"/>
      <c r="T19" s="705"/>
      <c r="U19" s="706"/>
      <c r="V19" s="705"/>
      <c r="W19" s="706"/>
      <c r="X19" s="1354"/>
      <c r="Y19" s="3744"/>
      <c r="Z19" s="1355"/>
      <c r="AA19" s="1352">
        <v>1</v>
      </c>
      <c r="AB19" s="1352">
        <v>1</v>
      </c>
      <c r="AC19" s="1352">
        <v>1</v>
      </c>
    </row>
    <row r="20" spans="1:29" ht="57">
      <c r="A20" s="379"/>
      <c r="B20" s="402" t="s">
        <v>1833</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44"/>
      <c r="Q20" s="1351" t="str">
        <f>B20</f>
        <v>自然及人文环境</v>
      </c>
      <c r="R20" s="705" t="s">
        <v>14</v>
      </c>
      <c r="S20" s="706">
        <f>F20</f>
        <v>100</v>
      </c>
      <c r="T20" s="705" t="s">
        <v>14</v>
      </c>
      <c r="U20" s="706">
        <f>H20</f>
        <v>100</v>
      </c>
      <c r="V20" s="705" t="s">
        <v>14</v>
      </c>
      <c r="W20" s="706">
        <f>J20</f>
        <v>100</v>
      </c>
      <c r="X20" s="1354"/>
      <c r="Y20" s="374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6"/>
      <c r="M21" s="2710"/>
      <c r="N21" s="2710"/>
      <c r="O21" s="2768"/>
      <c r="P21" s="3744"/>
      <c r="Q21" s="1351"/>
      <c r="R21" s="705"/>
      <c r="S21" s="706"/>
      <c r="T21" s="705"/>
      <c r="U21" s="706"/>
      <c r="V21" s="705"/>
      <c r="W21" s="706"/>
      <c r="X21" s="1354"/>
      <c r="Y21" s="3744"/>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44"/>
      <c r="Q22" s="1351" t="str">
        <f>B22</f>
        <v>楼层</v>
      </c>
      <c r="R22" s="705" t="s">
        <v>14</v>
      </c>
      <c r="S22" s="706">
        <f>F22</f>
        <v>100</v>
      </c>
      <c r="T22" s="705" t="s">
        <v>14</v>
      </c>
      <c r="U22" s="706">
        <f>H22</f>
        <v>100</v>
      </c>
      <c r="V22" s="705" t="s">
        <v>14</v>
      </c>
      <c r="W22" s="706">
        <f>J22</f>
        <v>100</v>
      </c>
      <c r="X22" s="1354"/>
      <c r="Y22" s="3744"/>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44"/>
      <c r="Q23" s="1351">
        <f>B23</f>
        <v>111</v>
      </c>
      <c r="R23" s="705" t="s">
        <v>14</v>
      </c>
      <c r="S23" s="706">
        <f>F23</f>
        <v>100</v>
      </c>
      <c r="T23" s="705" t="s">
        <v>14</v>
      </c>
      <c r="U23" s="706">
        <f>H23</f>
        <v>100</v>
      </c>
      <c r="V23" s="705" t="s">
        <v>14</v>
      </c>
      <c r="W23" s="706">
        <f>J23</f>
        <v>100</v>
      </c>
      <c r="X23" s="1354"/>
      <c r="Y23" s="3744"/>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44"/>
      <c r="Q24" s="1351">
        <f t="shared" ref="Q24:Q34" si="11">B24</f>
        <v>111</v>
      </c>
      <c r="R24" s="705" t="s">
        <v>14</v>
      </c>
      <c r="S24" s="706">
        <f>F24</f>
        <v>100</v>
      </c>
      <c r="T24" s="705" t="s">
        <v>14</v>
      </c>
      <c r="U24" s="706">
        <f>H24</f>
        <v>100</v>
      </c>
      <c r="V24" s="705" t="s">
        <v>14</v>
      </c>
      <c r="W24" s="706">
        <f>J24</f>
        <v>100</v>
      </c>
      <c r="X24" s="1354"/>
      <c r="Y24" s="3744"/>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1"/>
      <c r="M25" s="2712"/>
      <c r="N25" s="2712"/>
      <c r="O25" s="2766"/>
      <c r="P25" s="3744"/>
      <c r="Q25" s="1342">
        <f t="shared" si="11"/>
        <v>111</v>
      </c>
      <c r="R25" s="701" t="s">
        <v>14</v>
      </c>
      <c r="S25" s="702">
        <f>F25</f>
        <v>100</v>
      </c>
      <c r="T25" s="701" t="s">
        <v>14</v>
      </c>
      <c r="U25" s="702">
        <f>H25</f>
        <v>100</v>
      </c>
      <c r="V25" s="701" t="s">
        <v>14</v>
      </c>
      <c r="W25" s="702">
        <f>J25</f>
        <v>100</v>
      </c>
      <c r="X25" s="703"/>
      <c r="Y25" s="3744"/>
      <c r="Z25" s="52">
        <f>Q25</f>
        <v>111</v>
      </c>
      <c r="AA25" s="1352">
        <f>D25/F25</f>
        <v>1</v>
      </c>
      <c r="AB25" s="1352">
        <f>D25/H25</f>
        <v>1</v>
      </c>
      <c r="AC25" s="1352">
        <f>D25/J25</f>
        <v>1</v>
      </c>
    </row>
    <row r="26" spans="1:29" ht="28.5">
      <c r="A26" s="417" t="s">
        <v>1693</v>
      </c>
      <c r="B26" s="63" t="s">
        <v>1837</v>
      </c>
      <c r="C26" s="1963"/>
      <c r="D26" s="418">
        <v>100</v>
      </c>
      <c r="E26" s="1963"/>
      <c r="F26" s="615">
        <f>SUMIF(77:77,E26,78:78)-SUMIF(77:77,C26,78:78)+100</f>
        <v>100</v>
      </c>
      <c r="G26" s="1963"/>
      <c r="H26" s="418">
        <f>SUMIF(77:77,G26,78:78)-SUMIF(77:77,C26,78:78)+100</f>
        <v>100</v>
      </c>
      <c r="I26" s="1963"/>
      <c r="J26" s="418">
        <f>SUMIF(77:77,I26,78:78)-SUMIF(77:77,C26,78:78)+100</f>
        <v>100</v>
      </c>
      <c r="K26" s="561"/>
      <c r="L26" s="2716"/>
      <c r="M26" s="2710"/>
      <c r="N26" s="2710"/>
      <c r="O26" s="2768"/>
      <c r="P26" s="3767" t="s">
        <v>1695</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48"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48"/>
      <c r="Q27" s="707" t="str">
        <f t="shared" si="11"/>
        <v>成新率</v>
      </c>
      <c r="R27" s="708" t="s">
        <v>14</v>
      </c>
      <c r="S27" s="709" t="e">
        <f t="shared" si="12"/>
        <v>#N/A</v>
      </c>
      <c r="T27" s="708" t="s">
        <v>14</v>
      </c>
      <c r="U27" s="709" t="e">
        <f t="shared" si="13"/>
        <v>#N/A</v>
      </c>
      <c r="V27" s="708" t="s">
        <v>14</v>
      </c>
      <c r="W27" s="709" t="e">
        <f t="shared" si="14"/>
        <v>#N/A</v>
      </c>
      <c r="X27" s="710"/>
      <c r="Y27" s="3748"/>
      <c r="Z27" s="711"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48"/>
      <c r="Q28" s="1351" t="str">
        <f t="shared" si="11"/>
        <v>物业等级</v>
      </c>
      <c r="R28" s="705" t="s">
        <v>14</v>
      </c>
      <c r="S28" s="706">
        <f t="shared" si="12"/>
        <v>100</v>
      </c>
      <c r="T28" s="705" t="s">
        <v>14</v>
      </c>
      <c r="U28" s="706">
        <f t="shared" si="13"/>
        <v>100</v>
      </c>
      <c r="V28" s="705" t="s">
        <v>14</v>
      </c>
      <c r="W28" s="706">
        <f t="shared" si="14"/>
        <v>100</v>
      </c>
      <c r="X28" s="1354"/>
      <c r="Y28" s="3748"/>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48"/>
      <c r="Q29" s="1351" t="str">
        <f t="shared" si="11"/>
        <v>有无电梯</v>
      </c>
      <c r="R29" s="705" t="s">
        <v>14</v>
      </c>
      <c r="S29" s="706">
        <f t="shared" si="12"/>
        <v>100</v>
      </c>
      <c r="T29" s="705" t="s">
        <v>14</v>
      </c>
      <c r="U29" s="706">
        <f t="shared" si="13"/>
        <v>100</v>
      </c>
      <c r="V29" s="705" t="s">
        <v>14</v>
      </c>
      <c r="W29" s="706">
        <f t="shared" si="14"/>
        <v>100</v>
      </c>
      <c r="X29" s="1354"/>
      <c r="Y29" s="3748"/>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48"/>
      <c r="Q30" s="1351" t="str">
        <f t="shared" si="11"/>
        <v>建筑面积</v>
      </c>
      <c r="R30" s="705" t="s">
        <v>14</v>
      </c>
      <c r="S30" s="706" t="e">
        <f t="shared" si="12"/>
        <v>#N/A</v>
      </c>
      <c r="T30" s="705" t="s">
        <v>14</v>
      </c>
      <c r="U30" s="706" t="e">
        <f t="shared" si="13"/>
        <v>#N/A</v>
      </c>
      <c r="V30" s="705" t="s">
        <v>14</v>
      </c>
      <c r="W30" s="706" t="e">
        <f t="shared" si="14"/>
        <v>#N/A</v>
      </c>
      <c r="X30" s="1354"/>
      <c r="Y30" s="3748"/>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48"/>
      <c r="Q31" s="1342" t="str">
        <f t="shared" si="11"/>
        <v>是否封闭</v>
      </c>
      <c r="R31" s="701" t="s">
        <v>14</v>
      </c>
      <c r="S31" s="702">
        <f t="shared" si="12"/>
        <v>100</v>
      </c>
      <c r="T31" s="701" t="s">
        <v>14</v>
      </c>
      <c r="U31" s="702">
        <f t="shared" si="13"/>
        <v>100</v>
      </c>
      <c r="V31" s="701" t="s">
        <v>14</v>
      </c>
      <c r="W31" s="702">
        <f t="shared" si="14"/>
        <v>100</v>
      </c>
      <c r="X31" s="703"/>
      <c r="Y31" s="3748"/>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48" t="s">
        <v>1695</v>
      </c>
      <c r="Q32" s="1351">
        <f t="shared" si="11"/>
        <v>111</v>
      </c>
      <c r="R32" s="705" t="s">
        <v>14</v>
      </c>
      <c r="S32" s="706">
        <f t="shared" si="12"/>
        <v>100</v>
      </c>
      <c r="T32" s="705" t="s">
        <v>14</v>
      </c>
      <c r="U32" s="706">
        <f t="shared" si="13"/>
        <v>100</v>
      </c>
      <c r="V32" s="705" t="s">
        <v>14</v>
      </c>
      <c r="W32" s="706">
        <f t="shared" si="14"/>
        <v>100</v>
      </c>
      <c r="X32" s="1354"/>
      <c r="Y32" s="3748" t="s">
        <v>1695</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48"/>
      <c r="Q33" s="1351">
        <f t="shared" si="11"/>
        <v>111</v>
      </c>
      <c r="R33" s="705" t="s">
        <v>14</v>
      </c>
      <c r="S33" s="706">
        <f t="shared" si="12"/>
        <v>100</v>
      </c>
      <c r="T33" s="705" t="s">
        <v>14</v>
      </c>
      <c r="U33" s="706">
        <f t="shared" si="13"/>
        <v>100</v>
      </c>
      <c r="V33" s="705" t="s">
        <v>14</v>
      </c>
      <c r="W33" s="706">
        <f t="shared" si="14"/>
        <v>100</v>
      </c>
      <c r="X33" s="1354"/>
      <c r="Y33" s="3748"/>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6"/>
      <c r="M34" s="2710"/>
      <c r="N34" s="2710"/>
      <c r="O34" s="2768"/>
      <c r="P34" s="3748"/>
      <c r="Q34" s="1351">
        <f t="shared" si="11"/>
        <v>111</v>
      </c>
      <c r="R34" s="705" t="s">
        <v>14</v>
      </c>
      <c r="S34" s="706">
        <f t="shared" si="12"/>
        <v>100</v>
      </c>
      <c r="T34" s="705" t="s">
        <v>14</v>
      </c>
      <c r="U34" s="706">
        <f t="shared" si="13"/>
        <v>100</v>
      </c>
      <c r="V34" s="705" t="s">
        <v>14</v>
      </c>
      <c r="W34" s="706">
        <f t="shared" si="14"/>
        <v>100</v>
      </c>
      <c r="X34" s="1354"/>
      <c r="Y34" s="3748"/>
      <c r="Z34" s="1355">
        <f t="shared" si="15"/>
        <v>111</v>
      </c>
      <c r="AA34" s="1352">
        <f t="shared" si="3"/>
        <v>1</v>
      </c>
      <c r="AB34" s="1352">
        <f t="shared" si="4"/>
        <v>1</v>
      </c>
      <c r="AC34" s="1352">
        <f t="shared" si="5"/>
        <v>1</v>
      </c>
    </row>
    <row r="35" spans="1:30" ht="15">
      <c r="A35" s="430" t="s">
        <v>1707</v>
      </c>
      <c r="B35" s="431"/>
      <c r="C35" s="1154" t="s">
        <v>0</v>
      </c>
      <c r="D35" s="1155"/>
      <c r="E35" s="1156"/>
      <c r="F35" s="1157"/>
      <c r="G35" s="1158"/>
      <c r="H35" s="1159"/>
      <c r="I35" s="1156"/>
      <c r="J35" s="1159"/>
      <c r="K35" s="714"/>
      <c r="L35" s="2718"/>
      <c r="M35" s="2719"/>
      <c r="N35" s="2710"/>
      <c r="O35" s="2719"/>
      <c r="P35" s="3741" t="str">
        <f>A35</f>
        <v>成交单价（元/平方米）</v>
      </c>
      <c r="Q35" s="3741"/>
      <c r="R35" s="3742">
        <f>E35</f>
        <v>0</v>
      </c>
      <c r="S35" s="3742"/>
      <c r="T35" s="3742">
        <f>G35</f>
        <v>0</v>
      </c>
      <c r="U35" s="3742"/>
      <c r="V35" s="3742">
        <f>I35</f>
        <v>0</v>
      </c>
      <c r="W35" s="3742"/>
      <c r="X35" s="690"/>
      <c r="Y35" s="712"/>
      <c r="Z35" s="690"/>
      <c r="AA35" s="690"/>
      <c r="AB35" s="690"/>
      <c r="AC35" s="690"/>
    </row>
    <row r="36" spans="1:30" ht="15.75" thickBot="1">
      <c r="A36" s="437" t="s">
        <v>1792</v>
      </c>
      <c r="B36" s="438"/>
      <c r="C36" s="1160" t="e">
        <f>R37</f>
        <v>#DIV/0!</v>
      </c>
      <c r="D36" s="2313" t="s">
        <v>2136</v>
      </c>
      <c r="E36" s="1161" t="e">
        <f>R36</f>
        <v>#DIV/0!</v>
      </c>
      <c r="F36" s="2314"/>
      <c r="G36" s="1160" t="e">
        <f>T36</f>
        <v>#DIV/0!</v>
      </c>
      <c r="H36" s="2314"/>
      <c r="I36" s="1161" t="e">
        <f>V36</f>
        <v>#DIV/0!</v>
      </c>
      <c r="J36" s="2314"/>
      <c r="K36" s="2316">
        <f>F36+H36+J36</f>
        <v>0</v>
      </c>
      <c r="L36" s="2718"/>
      <c r="M36" s="2719"/>
      <c r="N36" s="2710"/>
      <c r="O36" s="2719"/>
      <c r="P36" s="3741" t="str">
        <f>A36</f>
        <v>比较价值（元/平方米）</v>
      </c>
      <c r="Q36" s="3741"/>
      <c r="R36" s="3742" t="e">
        <f>IF(F1="售价",ROUND(PRODUCT(R35,AA7:AA34),0),ROUND(PRODUCT(R35,AA7:AA34),1))</f>
        <v>#DIV/0!</v>
      </c>
      <c r="S36" s="3742"/>
      <c r="T36" s="3742" t="e">
        <f>IF(F1="售价",ROUND(PRODUCT(T35,AB7:AB34),0),ROUND(PRODUCT(T35,AB7:AB34),1))</f>
        <v>#DIV/0!</v>
      </c>
      <c r="U36" s="3742"/>
      <c r="V36" s="3742" t="e">
        <f>IF(F1="售价",ROUND(PRODUCT(V35,AC7:AC34),0),ROUND(PRODUCT(V35,AC7:AC34),1))</f>
        <v>#DIV/0!</v>
      </c>
      <c r="W36" s="3742"/>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8"/>
      <c r="M37" s="2719"/>
      <c r="N37" s="2719"/>
      <c r="O37" s="2719"/>
      <c r="P37" s="3738" t="str">
        <f>A37</f>
        <v>估价对象XX用房的比较价值（楼面单价，元/平方米）</v>
      </c>
      <c r="Q37" s="3739"/>
      <c r="R37" s="3768" t="e">
        <f>IF(F1="售价",ROUND(IF(D36="简单平均",AVERAGE(R36:W36),R36*F36+T36*H36+V36*J36),0),ROUND(IF(D36="简单平均",AVERAGE(R36:V36),R36*F36+T36*H36+V36*J36),1))</f>
        <v>#DIV/0!</v>
      </c>
      <c r="S37" s="3768"/>
      <c r="T37" s="3768"/>
      <c r="U37" s="3768"/>
      <c r="V37" s="3768"/>
      <c r="W37" s="3768"/>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1797</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1678</v>
      </c>
      <c r="B46" s="455"/>
      <c r="C46" s="1183" t="str">
        <f>YEAR(C7)&amp;"-"&amp;MONTH(C7)</f>
        <v>2023-4</v>
      </c>
      <c r="D46" s="1184">
        <f>EDATE(C46,-1)</f>
        <v>44986</v>
      </c>
      <c r="E46" s="1184">
        <f t="shared" ref="E46:O46" si="16">EDATE(D46,-1)</f>
        <v>44958</v>
      </c>
      <c r="F46" s="1184">
        <f t="shared" si="16"/>
        <v>44927</v>
      </c>
      <c r="G46" s="1184">
        <f t="shared" si="16"/>
        <v>44896</v>
      </c>
      <c r="H46" s="1184">
        <f t="shared" si="16"/>
        <v>44866</v>
      </c>
      <c r="I46" s="1184">
        <f t="shared" si="16"/>
        <v>44835</v>
      </c>
      <c r="J46" s="1184">
        <f t="shared" si="16"/>
        <v>44805</v>
      </c>
      <c r="K46" s="1184">
        <f t="shared" si="16"/>
        <v>44774</v>
      </c>
      <c r="L46" s="1184">
        <f t="shared" si="16"/>
        <v>44743</v>
      </c>
      <c r="M46" s="1184">
        <f t="shared" si="16"/>
        <v>44713</v>
      </c>
      <c r="N46" s="1184">
        <f t="shared" si="16"/>
        <v>44682</v>
      </c>
      <c r="O46" s="1184">
        <f t="shared" si="16"/>
        <v>44652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2">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1715</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1680</v>
      </c>
      <c r="B49" s="459"/>
      <c r="C49" s="471" t="s">
        <v>1775</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1718</v>
      </c>
      <c r="B51" s="477" t="s">
        <v>1684</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1687</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1862</v>
      </c>
      <c r="C63" s="527" t="s">
        <v>1720</v>
      </c>
      <c r="D63" s="527" t="s">
        <v>1721</v>
      </c>
      <c r="E63" s="527" t="s">
        <v>1722</v>
      </c>
      <c r="F63" s="527" t="s">
        <v>1723</v>
      </c>
      <c r="G63" s="527" t="s">
        <v>1724</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1812</v>
      </c>
      <c r="C65" s="608" t="s">
        <v>1798</v>
      </c>
      <c r="D65" s="608" t="s">
        <v>1799</v>
      </c>
      <c r="E65" s="608" t="s">
        <v>1800</v>
      </c>
      <c r="F65" s="608" t="s">
        <v>1801</v>
      </c>
      <c r="G65" s="608" t="s">
        <v>1802</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1732</v>
      </c>
      <c r="C67" s="527" t="s">
        <v>1720</v>
      </c>
      <c r="D67" s="527" t="s">
        <v>1721</v>
      </c>
      <c r="E67" s="527" t="s">
        <v>1722</v>
      </c>
      <c r="F67" s="527" t="s">
        <v>1723</v>
      </c>
      <c r="G67" s="527" t="s">
        <v>1724</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1851</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1693</v>
      </c>
      <c r="B77" s="477" t="s">
        <v>1739</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1855</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1863</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1865</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1916</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2"/>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724" t="s">
        <v>1769</v>
      </c>
      <c r="D4" s="3725"/>
      <c r="E4" s="3726" t="s">
        <v>1770</v>
      </c>
      <c r="F4" s="3727"/>
      <c r="G4" s="3724" t="s">
        <v>1771</v>
      </c>
      <c r="H4" s="3725"/>
      <c r="I4" s="3724" t="s">
        <v>1772</v>
      </c>
      <c r="J4" s="3725"/>
      <c r="K4" s="559" t="s">
        <v>1773</v>
      </c>
      <c r="L4" s="2709"/>
      <c r="M4" s="2710"/>
      <c r="N4" s="2710"/>
      <c r="O4" s="2710"/>
      <c r="P4" s="3728" t="s">
        <v>1774</v>
      </c>
      <c r="Q4" s="3729"/>
      <c r="R4" s="3711" t="s">
        <v>1770</v>
      </c>
      <c r="S4" s="3712"/>
      <c r="T4" s="3711" t="s">
        <v>1771</v>
      </c>
      <c r="U4" s="3712"/>
      <c r="V4" s="3736" t="s">
        <v>1772</v>
      </c>
      <c r="W4" s="3736"/>
      <c r="X4" s="1354"/>
      <c r="Y4" s="3711" t="s">
        <v>1774</v>
      </c>
      <c r="Z4" s="3712"/>
      <c r="AA4" s="3706" t="s">
        <v>1770</v>
      </c>
      <c r="AB4" s="3707" t="s">
        <v>1771</v>
      </c>
      <c r="AC4" s="3706" t="s">
        <v>1772</v>
      </c>
    </row>
    <row r="5" spans="1:29" ht="15">
      <c r="A5" s="358"/>
      <c r="B5" s="359"/>
      <c r="C5" s="3717" t="s">
        <v>1672</v>
      </c>
      <c r="D5" s="3718"/>
      <c r="E5" s="3715" t="s">
        <v>1673</v>
      </c>
      <c r="F5" s="3716"/>
      <c r="G5" s="3717" t="s">
        <v>1674</v>
      </c>
      <c r="H5" s="3718"/>
      <c r="I5" s="3717" t="s">
        <v>1675</v>
      </c>
      <c r="J5" s="3718"/>
      <c r="K5" s="559"/>
      <c r="L5" s="2709"/>
      <c r="M5" s="2710"/>
      <c r="N5" s="2710"/>
      <c r="O5" s="2710"/>
      <c r="P5" s="3730"/>
      <c r="Q5" s="3731"/>
      <c r="R5" s="3713"/>
      <c r="S5" s="3714"/>
      <c r="T5" s="3713"/>
      <c r="U5" s="3714"/>
      <c r="V5" s="3736"/>
      <c r="W5" s="3736"/>
      <c r="X5" s="1354"/>
      <c r="Y5" s="3713"/>
      <c r="Z5" s="3714"/>
      <c r="AA5" s="3707"/>
      <c r="AB5" s="3707"/>
      <c r="AC5" s="3707"/>
    </row>
    <row r="6" spans="1:29" ht="15.75" thickBot="1">
      <c r="A6" s="360"/>
      <c r="B6" s="361"/>
      <c r="C6" s="3772" t="s">
        <v>1917</v>
      </c>
      <c r="D6" s="3773"/>
      <c r="E6" s="3774" t="s">
        <v>1917</v>
      </c>
      <c r="F6" s="3775"/>
      <c r="G6" s="3772" t="s">
        <v>1917</v>
      </c>
      <c r="H6" s="3773"/>
      <c r="I6" s="3772" t="s">
        <v>1917</v>
      </c>
      <c r="J6" s="3773"/>
      <c r="K6" s="559" t="s">
        <v>1677</v>
      </c>
      <c r="L6" s="2709"/>
      <c r="M6" s="2710"/>
      <c r="N6" s="2710"/>
      <c r="O6" s="2710"/>
      <c r="P6" s="3732"/>
      <c r="Q6" s="3733"/>
      <c r="R6" s="3713"/>
      <c r="S6" s="3714"/>
      <c r="T6" s="3734"/>
      <c r="U6" s="3735"/>
      <c r="V6" s="3736"/>
      <c r="W6" s="3736"/>
      <c r="X6" s="1354"/>
      <c r="Y6" s="3734"/>
      <c r="Z6" s="3735"/>
      <c r="AA6" s="3708"/>
      <c r="AB6" s="3708"/>
      <c r="AC6" s="3708"/>
    </row>
    <row r="7" spans="1:29" s="108" customFormat="1" ht="15.75" thickBot="1">
      <c r="A7" s="362" t="s">
        <v>1678</v>
      </c>
      <c r="B7" s="363"/>
      <c r="C7" s="364">
        <f>'数据-取费表'!B2</f>
        <v>45035</v>
      </c>
      <c r="D7" s="365">
        <v>100</v>
      </c>
      <c r="E7" s="366"/>
      <c r="F7" s="367">
        <f>SUMIF(65:65,YEAR(E7)&amp;"-"&amp;INT((MONTH(E7)+2)/3),66:66)</f>
        <v>0</v>
      </c>
      <c r="G7" s="1970"/>
      <c r="H7" s="365">
        <f>SUMIF(65:65,YEAR(G7)&amp;"-"&amp;INT((MONTH(G7)+2)/3),66:66)</f>
        <v>0</v>
      </c>
      <c r="I7" s="1970"/>
      <c r="J7" s="365">
        <f>SUMIF(65:65,YEAR(I7)&amp;"-"&amp;INT((MONTH(I7)+2)/3),66:66)</f>
        <v>0</v>
      </c>
      <c r="K7" s="560"/>
      <c r="L7" s="2711"/>
      <c r="M7" s="2712"/>
      <c r="N7" s="2712"/>
      <c r="O7" s="2712"/>
      <c r="P7" s="3709" t="s">
        <v>1679</v>
      </c>
      <c r="Q7" s="3737"/>
      <c r="R7" s="701" t="s">
        <v>14</v>
      </c>
      <c r="S7" s="702">
        <f t="shared" ref="S7:S15" si="0">F7</f>
        <v>0</v>
      </c>
      <c r="T7" s="701" t="s">
        <v>14</v>
      </c>
      <c r="U7" s="702">
        <f t="shared" ref="U7:U15" si="1">H7</f>
        <v>0</v>
      </c>
      <c r="V7" s="701" t="s">
        <v>14</v>
      </c>
      <c r="W7" s="702">
        <f t="shared" ref="W7:W15" si="2">J7</f>
        <v>0</v>
      </c>
      <c r="X7" s="703"/>
      <c r="Y7" s="3709" t="s">
        <v>1679</v>
      </c>
      <c r="Z7" s="3710"/>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09" t="s">
        <v>1682</v>
      </c>
      <c r="Q8" s="3710"/>
      <c r="R8" s="701" t="s">
        <v>14</v>
      </c>
      <c r="S8" s="702">
        <f t="shared" si="0"/>
        <v>0</v>
      </c>
      <c r="T8" s="701" t="s">
        <v>14</v>
      </c>
      <c r="U8" s="702">
        <f t="shared" si="1"/>
        <v>0</v>
      </c>
      <c r="V8" s="701" t="s">
        <v>14</v>
      </c>
      <c r="W8" s="702">
        <f t="shared" si="2"/>
        <v>0</v>
      </c>
      <c r="X8" s="703"/>
      <c r="Y8" s="3709" t="s">
        <v>1682</v>
      </c>
      <c r="Z8" s="3710"/>
      <c r="AA8" s="704" t="e">
        <f t="shared" ref="AA8:AA40" si="3">D8/F8</f>
        <v>#DIV/0!</v>
      </c>
      <c r="AB8" s="704" t="e">
        <f t="shared" ref="AB8:AB40" si="4">D8/H8</f>
        <v>#DIV/0!</v>
      </c>
      <c r="AC8" s="704" t="e">
        <f t="shared" ref="AC8:AC40" si="5">D8/J8</f>
        <v>#DIV/0!</v>
      </c>
    </row>
    <row r="9" spans="1:29" s="108" customFormat="1">
      <c r="A9" s="369" t="s">
        <v>1683</v>
      </c>
      <c r="B9" s="63" t="s">
        <v>1684</v>
      </c>
      <c r="C9" s="1973"/>
      <c r="D9" s="126">
        <v>100</v>
      </c>
      <c r="E9" s="1973"/>
      <c r="F9" s="126">
        <f>SUMIF(70:70,E9,71:71)-SUMIF(70:70,C9,71:71)+100</f>
        <v>100</v>
      </c>
      <c r="G9" s="1973"/>
      <c r="H9" s="126">
        <f>SUMIF(70:70,G9,71:71)-SUMIF(70:70,C9,71:71)+100</f>
        <v>100</v>
      </c>
      <c r="I9" s="1973"/>
      <c r="J9" s="126">
        <f>SUMIF(70:70,I9,71:71)-SUMIF(70:70,C9,71:71)+100</f>
        <v>100</v>
      </c>
      <c r="K9" s="560"/>
      <c r="L9" s="2711"/>
      <c r="M9" s="2712"/>
      <c r="N9" s="2712"/>
      <c r="O9" s="2766"/>
      <c r="P9" s="3741" t="s">
        <v>1685</v>
      </c>
      <c r="Q9" s="1342" t="str">
        <f t="shared" ref="Q9:Q15" si="6">B9</f>
        <v>用途</v>
      </c>
      <c r="R9" s="701" t="s">
        <v>14</v>
      </c>
      <c r="S9" s="702">
        <f t="shared" si="0"/>
        <v>100</v>
      </c>
      <c r="T9" s="701" t="s">
        <v>14</v>
      </c>
      <c r="U9" s="702">
        <f t="shared" si="1"/>
        <v>100</v>
      </c>
      <c r="V9" s="701" t="s">
        <v>14</v>
      </c>
      <c r="W9" s="702">
        <f t="shared" si="2"/>
        <v>100</v>
      </c>
      <c r="X9" s="703"/>
      <c r="Y9" s="3653"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102</v>
      </c>
      <c r="G10" s="383"/>
      <c r="H10" s="127">
        <f>ROUND(100/'数据-取费表'!G16,0)</f>
        <v>102</v>
      </c>
      <c r="I10" s="383"/>
      <c r="J10" s="127">
        <f>ROUND(100/'数据-取费表'!G16,0)</f>
        <v>102</v>
      </c>
      <c r="K10" s="620"/>
      <c r="L10" s="2713"/>
      <c r="M10" s="2714"/>
      <c r="N10" s="2714"/>
      <c r="O10" s="2767"/>
      <c r="P10" s="3741"/>
      <c r="Q10" s="1342" t="str">
        <f t="shared" si="6"/>
        <v>土地使用年限（年）</v>
      </c>
      <c r="R10" s="701" t="s">
        <v>14</v>
      </c>
      <c r="S10" s="702">
        <f t="shared" si="0"/>
        <v>102</v>
      </c>
      <c r="T10" s="701" t="s">
        <v>14</v>
      </c>
      <c r="U10" s="702">
        <f t="shared" si="1"/>
        <v>102</v>
      </c>
      <c r="V10" s="701" t="s">
        <v>14</v>
      </c>
      <c r="W10" s="702">
        <f t="shared" si="2"/>
        <v>102</v>
      </c>
      <c r="X10" s="703"/>
      <c r="Y10" s="3653"/>
      <c r="Z10" s="52" t="str">
        <f t="shared" si="7"/>
        <v>土地使用年限（年）</v>
      </c>
      <c r="AA10" s="704">
        <f t="shared" si="3"/>
        <v>0.98039215686274506</v>
      </c>
      <c r="AB10" s="704">
        <f t="shared" si="4"/>
        <v>0.98039215686274506</v>
      </c>
      <c r="AC10" s="704">
        <f t="shared" si="5"/>
        <v>0.98039215686274506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41"/>
      <c r="Q11" s="1342" t="str">
        <f t="shared" si="6"/>
        <v>容积率</v>
      </c>
      <c r="R11" s="701" t="s">
        <v>14</v>
      </c>
      <c r="S11" s="702" t="e">
        <f t="shared" si="0"/>
        <v>#N/A</v>
      </c>
      <c r="T11" s="701" t="s">
        <v>14</v>
      </c>
      <c r="U11" s="702" t="e">
        <f t="shared" si="1"/>
        <v>#N/A</v>
      </c>
      <c r="V11" s="701" t="s">
        <v>14</v>
      </c>
      <c r="W11" s="702" t="e">
        <f t="shared" si="2"/>
        <v>#N/A</v>
      </c>
      <c r="X11" s="703"/>
      <c r="Y11" s="3653"/>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41"/>
      <c r="Q12" s="1342">
        <f t="shared" si="6"/>
        <v>111</v>
      </c>
      <c r="R12" s="701" t="s">
        <v>14</v>
      </c>
      <c r="S12" s="702">
        <f t="shared" si="0"/>
        <v>100</v>
      </c>
      <c r="T12" s="701" t="s">
        <v>14</v>
      </c>
      <c r="U12" s="702">
        <f t="shared" si="1"/>
        <v>100</v>
      </c>
      <c r="V12" s="701" t="s">
        <v>14</v>
      </c>
      <c r="W12" s="702">
        <f t="shared" si="2"/>
        <v>100</v>
      </c>
      <c r="X12" s="703"/>
      <c r="Y12" s="3653"/>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41"/>
      <c r="Q13" s="1342">
        <f t="shared" si="6"/>
        <v>111</v>
      </c>
      <c r="R13" s="701" t="s">
        <v>14</v>
      </c>
      <c r="S13" s="702">
        <f t="shared" si="0"/>
        <v>100</v>
      </c>
      <c r="T13" s="701" t="s">
        <v>14</v>
      </c>
      <c r="U13" s="702">
        <f t="shared" si="1"/>
        <v>100</v>
      </c>
      <c r="V13" s="701" t="s">
        <v>14</v>
      </c>
      <c r="W13" s="702">
        <f t="shared" si="2"/>
        <v>100</v>
      </c>
      <c r="X13" s="703"/>
      <c r="Y13" s="3653"/>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41"/>
      <c r="Q14" s="1342">
        <f t="shared" si="6"/>
        <v>111</v>
      </c>
      <c r="R14" s="701" t="s">
        <v>14</v>
      </c>
      <c r="S14" s="702">
        <f t="shared" si="0"/>
        <v>100</v>
      </c>
      <c r="T14" s="701" t="s">
        <v>14</v>
      </c>
      <c r="U14" s="702">
        <f t="shared" si="1"/>
        <v>100</v>
      </c>
      <c r="V14" s="701" t="s">
        <v>14</v>
      </c>
      <c r="W14" s="702">
        <f t="shared" si="2"/>
        <v>100</v>
      </c>
      <c r="X14" s="703"/>
      <c r="Y14" s="3653"/>
      <c r="Z14" s="52">
        <f t="shared" si="7"/>
        <v>111</v>
      </c>
      <c r="AA14" s="704">
        <f t="shared" si="3"/>
        <v>1</v>
      </c>
      <c r="AB14" s="704">
        <f t="shared" si="4"/>
        <v>1</v>
      </c>
      <c r="AC14" s="704">
        <f t="shared" si="5"/>
        <v>1</v>
      </c>
    </row>
    <row r="15" spans="1:29" ht="57">
      <c r="A15" s="391" t="s">
        <v>1689</v>
      </c>
      <c r="B15" s="577" t="s">
        <v>1918</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43" t="s">
        <v>1690</v>
      </c>
      <c r="Q15" s="1351" t="str">
        <f t="shared" si="6"/>
        <v>产业集聚程度</v>
      </c>
      <c r="R15" s="705" t="s">
        <v>14</v>
      </c>
      <c r="S15" s="706">
        <f t="shared" si="0"/>
        <v>100</v>
      </c>
      <c r="T15" s="705" t="s">
        <v>14</v>
      </c>
      <c r="U15" s="706">
        <f t="shared" si="1"/>
        <v>100</v>
      </c>
      <c r="V15" s="705" t="s">
        <v>14</v>
      </c>
      <c r="W15" s="706">
        <f t="shared" si="2"/>
        <v>100</v>
      </c>
      <c r="X15" s="1354"/>
      <c r="Y15" s="3743" t="s">
        <v>1690</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6"/>
      <c r="M16" s="2710"/>
      <c r="N16" s="2710"/>
      <c r="O16" s="2768"/>
      <c r="P16" s="3744"/>
      <c r="Q16" s="1351"/>
      <c r="R16" s="705"/>
      <c r="S16" s="706"/>
      <c r="T16" s="705"/>
      <c r="U16" s="706"/>
      <c r="V16" s="705"/>
      <c r="W16" s="706"/>
      <c r="X16" s="1354"/>
      <c r="Y16" s="3744"/>
      <c r="Z16" s="1355"/>
      <c r="AA16" s="1352">
        <v>1</v>
      </c>
      <c r="AB16" s="1352">
        <v>1</v>
      </c>
      <c r="AC16" s="1352">
        <v>1</v>
      </c>
    </row>
    <row r="17" spans="1:29" ht="85.5">
      <c r="A17" s="379"/>
      <c r="B17" s="579" t="s">
        <v>1832</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44"/>
      <c r="Q17" s="1351" t="str">
        <f>B17</f>
        <v>交通便捷度</v>
      </c>
      <c r="R17" s="705" t="s">
        <v>14</v>
      </c>
      <c r="S17" s="706">
        <f>F17</f>
        <v>100</v>
      </c>
      <c r="T17" s="705" t="s">
        <v>14</v>
      </c>
      <c r="U17" s="706">
        <f>H17</f>
        <v>100</v>
      </c>
      <c r="V17" s="705" t="s">
        <v>14</v>
      </c>
      <c r="W17" s="706">
        <f>J17</f>
        <v>100</v>
      </c>
      <c r="X17" s="1354"/>
      <c r="Y17" s="3744"/>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6"/>
      <c r="M18" s="2710"/>
      <c r="N18" s="2710"/>
      <c r="O18" s="2768"/>
      <c r="P18" s="3744"/>
      <c r="Q18" s="1351"/>
      <c r="R18" s="705"/>
      <c r="S18" s="706"/>
      <c r="T18" s="705"/>
      <c r="U18" s="706"/>
      <c r="V18" s="705"/>
      <c r="W18" s="706"/>
      <c r="X18" s="1354"/>
      <c r="Y18" s="3744"/>
      <c r="Z18" s="1355"/>
      <c r="AA18" s="1352">
        <v>1</v>
      </c>
      <c r="AB18" s="1352">
        <v>1</v>
      </c>
      <c r="AC18" s="1352">
        <v>1</v>
      </c>
    </row>
    <row r="19" spans="1:29" ht="15">
      <c r="A19" s="379"/>
      <c r="B19" s="579" t="s">
        <v>1869</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44"/>
      <c r="Q19" s="1351" t="str">
        <f t="shared" ref="Q19:Q33" si="8">B19</f>
        <v>区域土地利用方向</v>
      </c>
      <c r="R19" s="705" t="s">
        <v>14</v>
      </c>
      <c r="S19" s="706">
        <f>F19</f>
        <v>100</v>
      </c>
      <c r="T19" s="705" t="s">
        <v>14</v>
      </c>
      <c r="U19" s="706">
        <f>H19</f>
        <v>100</v>
      </c>
      <c r="V19" s="705" t="s">
        <v>14</v>
      </c>
      <c r="W19" s="706">
        <f>J19</f>
        <v>100</v>
      </c>
      <c r="X19" s="1354"/>
      <c r="Y19" s="3744"/>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6"/>
      <c r="M20" s="2710"/>
      <c r="N20" s="2710"/>
      <c r="O20" s="2768"/>
      <c r="P20" s="3744"/>
      <c r="Q20" s="1351"/>
      <c r="R20" s="705"/>
      <c r="S20" s="706"/>
      <c r="T20" s="705"/>
      <c r="U20" s="706"/>
      <c r="V20" s="705"/>
      <c r="W20" s="706"/>
      <c r="X20" s="1354"/>
      <c r="Y20" s="3744"/>
      <c r="Z20" s="1355"/>
      <c r="AA20" s="1352"/>
      <c r="AB20" s="1352"/>
      <c r="AC20" s="1352"/>
    </row>
    <row r="21" spans="1:29" ht="71.25">
      <c r="A21" s="358"/>
      <c r="B21" s="579" t="s">
        <v>1919</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44"/>
      <c r="Q21" s="1351" t="str">
        <f t="shared" si="8"/>
        <v>环境状况</v>
      </c>
      <c r="R21" s="705" t="s">
        <v>14</v>
      </c>
      <c r="S21" s="706">
        <f>F21</f>
        <v>100</v>
      </c>
      <c r="T21" s="705" t="s">
        <v>14</v>
      </c>
      <c r="U21" s="706">
        <f>H21</f>
        <v>100</v>
      </c>
      <c r="V21" s="705" t="s">
        <v>14</v>
      </c>
      <c r="W21" s="706">
        <f>J21</f>
        <v>100</v>
      </c>
      <c r="X21" s="1354"/>
      <c r="Y21" s="3744"/>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6"/>
      <c r="M22" s="2710"/>
      <c r="N22" s="2710"/>
      <c r="O22" s="2768"/>
      <c r="P22" s="3744"/>
      <c r="Q22" s="1351"/>
      <c r="R22" s="705"/>
      <c r="S22" s="706"/>
      <c r="T22" s="705"/>
      <c r="U22" s="706"/>
      <c r="V22" s="705"/>
      <c r="W22" s="706"/>
      <c r="X22" s="1354"/>
      <c r="Y22" s="3744"/>
      <c r="Z22" s="1355"/>
      <c r="AA22" s="1352">
        <v>1</v>
      </c>
      <c r="AB22" s="1352">
        <v>1</v>
      </c>
      <c r="AC22" s="1352">
        <v>1</v>
      </c>
    </row>
    <row r="23" spans="1:29" s="108" customFormat="1" ht="42.75">
      <c r="A23" s="597"/>
      <c r="B23" s="581" t="s">
        <v>1777</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44"/>
      <c r="Q23" s="1342" t="str">
        <f t="shared" si="8"/>
        <v>公共配套设施</v>
      </c>
      <c r="R23" s="701" t="s">
        <v>14</v>
      </c>
      <c r="S23" s="702">
        <f>F23</f>
        <v>100</v>
      </c>
      <c r="T23" s="701" t="s">
        <v>14</v>
      </c>
      <c r="U23" s="702">
        <f>H23</f>
        <v>100</v>
      </c>
      <c r="V23" s="701" t="s">
        <v>14</v>
      </c>
      <c r="W23" s="702">
        <f>J23</f>
        <v>100</v>
      </c>
      <c r="X23" s="703"/>
      <c r="Y23" s="3744"/>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1"/>
      <c r="M24" s="2712"/>
      <c r="N24" s="2712"/>
      <c r="O24" s="2766"/>
      <c r="P24" s="3744"/>
      <c r="Q24" s="1342"/>
      <c r="R24" s="701"/>
      <c r="S24" s="702"/>
      <c r="T24" s="701"/>
      <c r="U24" s="702"/>
      <c r="V24" s="701"/>
      <c r="W24" s="702"/>
      <c r="X24" s="703"/>
      <c r="Y24" s="3744"/>
      <c r="Z24" s="52"/>
      <c r="AA24" s="704">
        <v>1</v>
      </c>
      <c r="AB24" s="704">
        <v>1</v>
      </c>
      <c r="AC24" s="704">
        <v>1</v>
      </c>
    </row>
    <row r="25" spans="1:29" s="108" customFormat="1" ht="28.5">
      <c r="A25" s="597"/>
      <c r="B25" s="581" t="s">
        <v>1778</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44"/>
      <c r="Q25" s="1342" t="str">
        <f t="shared" ref="Q25" si="9">B25</f>
        <v>基础设施水平</v>
      </c>
      <c r="R25" s="701" t="s">
        <v>14</v>
      </c>
      <c r="S25" s="702">
        <f>F25</f>
        <v>100</v>
      </c>
      <c r="T25" s="701" t="s">
        <v>14</v>
      </c>
      <c r="U25" s="702">
        <f>H25</f>
        <v>100</v>
      </c>
      <c r="V25" s="701" t="s">
        <v>14</v>
      </c>
      <c r="W25" s="702">
        <f>J25</f>
        <v>100</v>
      </c>
      <c r="X25" s="703"/>
      <c r="Y25" s="3744"/>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1"/>
      <c r="M26" s="2712"/>
      <c r="N26" s="2712"/>
      <c r="O26" s="2766"/>
      <c r="P26" s="3744"/>
      <c r="Q26" s="1342"/>
      <c r="R26" s="701"/>
      <c r="S26" s="702"/>
      <c r="T26" s="701"/>
      <c r="U26" s="702"/>
      <c r="V26" s="701"/>
      <c r="W26" s="702"/>
      <c r="X26" s="703"/>
      <c r="Y26" s="3744"/>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44"/>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44"/>
      <c r="Z27" s="1355" t="str">
        <f t="shared" ref="Z27:Z40" si="13">Q27</f>
        <v>临街状况</v>
      </c>
      <c r="AA27" s="1352">
        <f t="shared" si="3"/>
        <v>1</v>
      </c>
      <c r="AB27" s="1352">
        <f t="shared" si="4"/>
        <v>1</v>
      </c>
      <c r="AC27" s="1352">
        <f t="shared" si="5"/>
        <v>1</v>
      </c>
    </row>
    <row r="28" spans="1:29" ht="27">
      <c r="A28" s="379"/>
      <c r="B28" s="581" t="s">
        <v>1814</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44"/>
      <c r="Q28" s="1351" t="str">
        <f t="shared" si="8"/>
        <v>毗邻道路的类型与等级</v>
      </c>
      <c r="R28" s="705" t="s">
        <v>14</v>
      </c>
      <c r="S28" s="706">
        <f t="shared" si="10"/>
        <v>100</v>
      </c>
      <c r="T28" s="705" t="s">
        <v>14</v>
      </c>
      <c r="U28" s="706">
        <f t="shared" si="11"/>
        <v>100</v>
      </c>
      <c r="V28" s="705" t="s">
        <v>14</v>
      </c>
      <c r="W28" s="706">
        <f t="shared" si="12"/>
        <v>100</v>
      </c>
      <c r="X28" s="1354"/>
      <c r="Y28" s="3744"/>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6"/>
      <c r="M29" s="2710"/>
      <c r="N29" s="2710"/>
      <c r="O29" s="2768"/>
      <c r="P29" s="3744"/>
      <c r="Q29" s="1351"/>
      <c r="R29" s="705"/>
      <c r="S29" s="706"/>
      <c r="T29" s="705"/>
      <c r="U29" s="706"/>
      <c r="V29" s="705"/>
      <c r="W29" s="706"/>
      <c r="X29" s="1354"/>
      <c r="Y29" s="3744"/>
      <c r="Z29" s="1355"/>
      <c r="AA29" s="1352">
        <v>1</v>
      </c>
      <c r="AB29" s="1352">
        <v>1</v>
      </c>
      <c r="AC29" s="1352">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44"/>
      <c r="Q30" s="1351" t="str">
        <f t="shared" si="8"/>
        <v>土地级别</v>
      </c>
      <c r="R30" s="705" t="s">
        <v>14</v>
      </c>
      <c r="S30" s="706">
        <f t="shared" si="10"/>
        <v>100</v>
      </c>
      <c r="T30" s="705" t="s">
        <v>14</v>
      </c>
      <c r="U30" s="706">
        <f t="shared" si="11"/>
        <v>100</v>
      </c>
      <c r="V30" s="705" t="s">
        <v>14</v>
      </c>
      <c r="W30" s="706">
        <f t="shared" si="12"/>
        <v>100</v>
      </c>
      <c r="X30" s="1354"/>
      <c r="Y30" s="3744"/>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44"/>
      <c r="Q31" s="1351">
        <f t="shared" si="8"/>
        <v>111</v>
      </c>
      <c r="R31" s="705" t="s">
        <v>14</v>
      </c>
      <c r="S31" s="706">
        <f t="shared" si="10"/>
        <v>100</v>
      </c>
      <c r="T31" s="705" t="s">
        <v>14</v>
      </c>
      <c r="U31" s="706">
        <f t="shared" si="11"/>
        <v>100</v>
      </c>
      <c r="V31" s="705" t="s">
        <v>14</v>
      </c>
      <c r="W31" s="706">
        <f t="shared" si="12"/>
        <v>100</v>
      </c>
      <c r="X31" s="1354"/>
      <c r="Y31" s="3744"/>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67" t="s">
        <v>1695</v>
      </c>
      <c r="Q32" s="1351">
        <f t="shared" si="8"/>
        <v>111</v>
      </c>
      <c r="R32" s="705" t="s">
        <v>14</v>
      </c>
      <c r="S32" s="706">
        <f t="shared" si="10"/>
        <v>100</v>
      </c>
      <c r="T32" s="705" t="s">
        <v>14</v>
      </c>
      <c r="U32" s="706">
        <f t="shared" si="11"/>
        <v>100</v>
      </c>
      <c r="V32" s="705" t="s">
        <v>14</v>
      </c>
      <c r="W32" s="706">
        <f t="shared" si="12"/>
        <v>100</v>
      </c>
      <c r="X32" s="1354"/>
      <c r="Y32" s="3748" t="s">
        <v>1695</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48"/>
      <c r="Q33" s="1351">
        <f t="shared" si="8"/>
        <v>111</v>
      </c>
      <c r="R33" s="708" t="s">
        <v>14</v>
      </c>
      <c r="S33" s="709">
        <f t="shared" si="10"/>
        <v>100</v>
      </c>
      <c r="T33" s="708" t="s">
        <v>14</v>
      </c>
      <c r="U33" s="709">
        <f t="shared" si="11"/>
        <v>100</v>
      </c>
      <c r="V33" s="708" t="s">
        <v>14</v>
      </c>
      <c r="W33" s="709">
        <f t="shared" si="12"/>
        <v>100</v>
      </c>
      <c r="X33" s="710"/>
      <c r="Y33" s="3748"/>
      <c r="Z33" s="711">
        <f t="shared" si="13"/>
        <v>111</v>
      </c>
      <c r="AA33" s="1352">
        <f t="shared" si="3"/>
        <v>1</v>
      </c>
      <c r="AB33" s="1352">
        <f t="shared" si="4"/>
        <v>1</v>
      </c>
      <c r="AC33" s="1352">
        <f t="shared" si="5"/>
        <v>1</v>
      </c>
    </row>
    <row r="34" spans="1:31" ht="15">
      <c r="A34" s="391" t="s">
        <v>1693</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48"/>
      <c r="Q34" s="1351" t="str">
        <f>B34</f>
        <v>宗地面积</v>
      </c>
      <c r="R34" s="705" t="s">
        <v>14</v>
      </c>
      <c r="S34" s="706" t="e">
        <f t="shared" si="10"/>
        <v>#N/A</v>
      </c>
      <c r="T34" s="705" t="s">
        <v>14</v>
      </c>
      <c r="U34" s="706" t="e">
        <f t="shared" si="11"/>
        <v>#N/A</v>
      </c>
      <c r="V34" s="705" t="s">
        <v>14</v>
      </c>
      <c r="W34" s="706" t="e">
        <f t="shared" si="12"/>
        <v>#N/A</v>
      </c>
      <c r="X34" s="1354"/>
      <c r="Y34" s="3748"/>
      <c r="Z34" s="1355" t="str">
        <f t="shared" si="13"/>
        <v>宗地面积</v>
      </c>
      <c r="AA34" s="1352" t="e">
        <f t="shared" si="3"/>
        <v>#N/A</v>
      </c>
      <c r="AB34" s="1352" t="e">
        <f t="shared" si="4"/>
        <v>#N/A</v>
      </c>
      <c r="AC34" s="1352"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6"/>
      <c r="M35" s="2710"/>
      <c r="N35" s="2710"/>
      <c r="O35" s="2768"/>
      <c r="P35" s="3748"/>
      <c r="Q35" s="1351" t="str">
        <f t="shared" ref="Q35:Q40" si="14">B35</f>
        <v>宗地形状</v>
      </c>
      <c r="R35" s="705" t="s">
        <v>14</v>
      </c>
      <c r="S35" s="706">
        <f t="shared" si="10"/>
        <v>100</v>
      </c>
      <c r="T35" s="705" t="s">
        <v>14</v>
      </c>
      <c r="U35" s="706">
        <f t="shared" si="11"/>
        <v>100</v>
      </c>
      <c r="V35" s="705" t="s">
        <v>14</v>
      </c>
      <c r="W35" s="706">
        <f t="shared" si="12"/>
        <v>100</v>
      </c>
      <c r="X35" s="1354"/>
      <c r="Y35" s="3748"/>
      <c r="Z35" s="1355" t="str">
        <f t="shared" si="13"/>
        <v>宗地形状</v>
      </c>
      <c r="AA35" s="1352">
        <f t="shared" si="3"/>
        <v>1</v>
      </c>
      <c r="AB35" s="1352">
        <f t="shared" si="4"/>
        <v>1</v>
      </c>
      <c r="AC35" s="1352">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1"/>
      <c r="M36" s="2712"/>
      <c r="N36" s="2712"/>
      <c r="O36" s="2766"/>
      <c r="P36" s="3748"/>
      <c r="Q36" s="1351" t="str">
        <f t="shared" si="14"/>
        <v>宗地开发程度</v>
      </c>
      <c r="R36" s="701" t="s">
        <v>14</v>
      </c>
      <c r="S36" s="702">
        <f t="shared" si="10"/>
        <v>100</v>
      </c>
      <c r="T36" s="701" t="s">
        <v>14</v>
      </c>
      <c r="U36" s="702">
        <f t="shared" si="11"/>
        <v>100</v>
      </c>
      <c r="V36" s="701" t="s">
        <v>14</v>
      </c>
      <c r="W36" s="702">
        <f t="shared" si="12"/>
        <v>100</v>
      </c>
      <c r="X36" s="703"/>
      <c r="Y36" s="3748"/>
      <c r="Z36" s="52" t="str">
        <f t="shared" si="13"/>
        <v>宗地开发程度</v>
      </c>
      <c r="AA36" s="704">
        <f t="shared" si="3"/>
        <v>1</v>
      </c>
      <c r="AB36" s="704">
        <f t="shared" si="4"/>
        <v>1</v>
      </c>
      <c r="AC36" s="704">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6"/>
      <c r="M37" s="2710"/>
      <c r="N37" s="2710"/>
      <c r="O37" s="2768"/>
      <c r="P37" s="3748" t="s">
        <v>1695</v>
      </c>
      <c r="Q37" s="1351" t="str">
        <f t="shared" si="14"/>
        <v>工程地质条件</v>
      </c>
      <c r="R37" s="705" t="s">
        <v>14</v>
      </c>
      <c r="S37" s="706">
        <f t="shared" si="10"/>
        <v>100</v>
      </c>
      <c r="T37" s="705" t="s">
        <v>14</v>
      </c>
      <c r="U37" s="706">
        <f t="shared" si="11"/>
        <v>100</v>
      </c>
      <c r="V37" s="705" t="s">
        <v>14</v>
      </c>
      <c r="W37" s="706">
        <f t="shared" si="12"/>
        <v>100</v>
      </c>
      <c r="X37" s="1354"/>
      <c r="Y37" s="3748" t="s">
        <v>1695</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48"/>
      <c r="Q38" s="1351">
        <f t="shared" si="14"/>
        <v>111</v>
      </c>
      <c r="R38" s="705" t="s">
        <v>14</v>
      </c>
      <c r="S38" s="706">
        <f t="shared" si="10"/>
        <v>100</v>
      </c>
      <c r="T38" s="705" t="s">
        <v>14</v>
      </c>
      <c r="U38" s="706">
        <f t="shared" si="11"/>
        <v>100</v>
      </c>
      <c r="V38" s="705" t="s">
        <v>14</v>
      </c>
      <c r="W38" s="706">
        <f t="shared" si="12"/>
        <v>100</v>
      </c>
      <c r="X38" s="1354"/>
      <c r="Y38" s="3748"/>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48"/>
      <c r="Q39" s="1351">
        <f t="shared" si="14"/>
        <v>111</v>
      </c>
      <c r="R39" s="705" t="s">
        <v>14</v>
      </c>
      <c r="S39" s="706">
        <f t="shared" si="10"/>
        <v>100</v>
      </c>
      <c r="T39" s="705" t="s">
        <v>14</v>
      </c>
      <c r="U39" s="706">
        <f t="shared" si="11"/>
        <v>100</v>
      </c>
      <c r="V39" s="705" t="s">
        <v>14</v>
      </c>
      <c r="W39" s="706">
        <f t="shared" si="12"/>
        <v>100</v>
      </c>
      <c r="X39" s="1354"/>
      <c r="Y39" s="3748"/>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48"/>
      <c r="Q40" s="1351">
        <f t="shared" si="14"/>
        <v>111</v>
      </c>
      <c r="R40" s="708" t="s">
        <v>14</v>
      </c>
      <c r="S40" s="709">
        <f t="shared" si="10"/>
        <v>100</v>
      </c>
      <c r="T40" s="708" t="s">
        <v>14</v>
      </c>
      <c r="U40" s="709">
        <f t="shared" si="11"/>
        <v>100</v>
      </c>
      <c r="V40" s="708" t="s">
        <v>14</v>
      </c>
      <c r="W40" s="709">
        <f t="shared" si="12"/>
        <v>100</v>
      </c>
      <c r="X40" s="710"/>
      <c r="Y40" s="3748"/>
      <c r="Z40" s="711">
        <f t="shared" si="13"/>
        <v>111</v>
      </c>
      <c r="AA40" s="1352">
        <f t="shared" si="3"/>
        <v>1</v>
      </c>
      <c r="AB40" s="1352">
        <f t="shared" si="4"/>
        <v>1</v>
      </c>
      <c r="AC40" s="1352">
        <f t="shared" si="5"/>
        <v>1</v>
      </c>
    </row>
    <row r="41" spans="1:31" ht="15">
      <c r="A41" s="430" t="s">
        <v>1843</v>
      </c>
      <c r="B41" s="1978" t="s">
        <v>1920</v>
      </c>
      <c r="C41" s="630" t="s">
        <v>0</v>
      </c>
      <c r="D41" s="432"/>
      <c r="E41" s="433"/>
      <c r="F41" s="434"/>
      <c r="G41" s="435"/>
      <c r="H41" s="436"/>
      <c r="I41" s="433"/>
      <c r="J41" s="436"/>
      <c r="K41" s="714"/>
      <c r="L41" s="2718"/>
      <c r="M41" s="2710"/>
      <c r="N41" s="2710"/>
      <c r="O41" s="2719"/>
      <c r="P41" s="3741" t="str">
        <f>A41</f>
        <v>成交单价</v>
      </c>
      <c r="Q41" s="3741"/>
      <c r="R41" s="3736">
        <f>E41</f>
        <v>0</v>
      </c>
      <c r="S41" s="3736"/>
      <c r="T41" s="3736">
        <f>G41</f>
        <v>0</v>
      </c>
      <c r="U41" s="3736"/>
      <c r="V41" s="3736">
        <f>I41</f>
        <v>0</v>
      </c>
      <c r="W41" s="3736"/>
      <c r="X41" s="690"/>
      <c r="Y41" s="712"/>
      <c r="Z41" s="690"/>
      <c r="AA41" s="690"/>
      <c r="AB41" s="690"/>
      <c r="AC41" s="690"/>
    </row>
    <row r="42" spans="1:31" ht="15.75" thickBot="1">
      <c r="A42" s="437" t="s">
        <v>1792</v>
      </c>
      <c r="B42" s="631"/>
      <c r="C42" s="440" t="e">
        <f>R43</f>
        <v>#DIV/0!</v>
      </c>
      <c r="D42" s="2313" t="s">
        <v>2136</v>
      </c>
      <c r="E42" s="440" t="e">
        <f>R42</f>
        <v>#DIV/0!</v>
      </c>
      <c r="F42" s="2314"/>
      <c r="G42" s="439" t="e">
        <f>T42</f>
        <v>#DIV/0!</v>
      </c>
      <c r="H42" s="2314"/>
      <c r="I42" s="440" t="e">
        <f>V42</f>
        <v>#DIV/0!</v>
      </c>
      <c r="J42" s="2314"/>
      <c r="K42" s="2316">
        <f>F42+H42+J42</f>
        <v>0</v>
      </c>
      <c r="L42" s="2718"/>
      <c r="M42" s="2710"/>
      <c r="N42" s="2710"/>
      <c r="O42" s="2719"/>
      <c r="P42" s="3741" t="str">
        <f>A42</f>
        <v>比较价值（元/平方米）</v>
      </c>
      <c r="Q42" s="3741"/>
      <c r="R42" s="3769" t="e">
        <f>ROUND(PRODUCT(R41,AA7:AA40),0)</f>
        <v>#DIV/0!</v>
      </c>
      <c r="S42" s="3769"/>
      <c r="T42" s="3769" t="e">
        <f>ROUND(PRODUCT(T41,AB7:AB40),0)</f>
        <v>#DIV/0!</v>
      </c>
      <c r="U42" s="3769"/>
      <c r="V42" s="3769" t="e">
        <f>ROUND(PRODUCT(V41,AC7:AC40),0)</f>
        <v>#DIV/0!</v>
      </c>
      <c r="W42" s="3769"/>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8"/>
      <c r="M43" s="2710"/>
      <c r="N43" s="2710"/>
      <c r="O43" s="2719"/>
      <c r="P43" s="3738" t="str">
        <f>A43</f>
        <v>估价对象XX用房的比较价值（楼面单价，元/平方米）</v>
      </c>
      <c r="Q43" s="3739"/>
      <c r="R43" s="3770" t="e">
        <f>ROUND(IF(D42="简单平均",AVERAGE(R42:W42),R42*F42+T42*H42+V42*J42),0)</f>
        <v>#DIV/0!</v>
      </c>
      <c r="S43" s="3770"/>
      <c r="T43" s="3770"/>
      <c r="U43" s="3770"/>
      <c r="V43" s="3770"/>
      <c r="W43" s="3770"/>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1879</v>
      </c>
      <c r="B50" s="633" t="s">
        <v>1880</v>
      </c>
      <c r="C50" s="1979" t="s">
        <v>1881</v>
      </c>
      <c r="D50" s="1980" t="s">
        <v>1882</v>
      </c>
      <c r="E50" s="634" t="s">
        <v>1883</v>
      </c>
      <c r="F50" s="635" t="s">
        <v>1884</v>
      </c>
      <c r="G50" s="3724" t="s">
        <v>1885</v>
      </c>
      <c r="H50" s="3771"/>
      <c r="I50" s="1355" t="s">
        <v>1921</v>
      </c>
      <c r="J50" s="1355">
        <f>项目基本情况!F35</f>
        <v>0</v>
      </c>
      <c r="K50" s="1982" t="s">
        <v>1887</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1888</v>
      </c>
      <c r="B51" s="637" t="e">
        <f>C43</f>
        <v>#DIV/0!</v>
      </c>
      <c r="C51" s="638">
        <v>1</v>
      </c>
      <c r="D51" s="944">
        <v>1</v>
      </c>
      <c r="E51" s="638">
        <f>'数据-汇总表'!E8+'数据-汇总表'!E9</f>
        <v>14977.599999999997</v>
      </c>
      <c r="F51" s="639" t="e">
        <f t="shared" ref="F51:F60" si="15">ROUND(B51*E51/10000,0)</f>
        <v>#DIV/0!</v>
      </c>
      <c r="G51" s="3723"/>
      <c r="H51" s="3741"/>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1889</v>
      </c>
      <c r="B52" s="218" t="e">
        <f>ROUND($C$43*C52*D52,0)</f>
        <v>#DIV/0!</v>
      </c>
      <c r="C52" s="171">
        <f t="shared" ref="C52:C60" si="16">IF($C$50="北京市系数",I52,J52)</f>
        <v>0</v>
      </c>
      <c r="D52" s="945">
        <v>0.25</v>
      </c>
      <c r="E52" s="642"/>
      <c r="F52" s="639" t="e">
        <f t="shared" si="15"/>
        <v>#DIV/0!</v>
      </c>
      <c r="G52" s="3000" t="s">
        <v>1890</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1891</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1892</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1893</v>
      </c>
      <c r="B56" s="218" t="e">
        <f t="shared" si="17"/>
        <v>#DIV/0!</v>
      </c>
      <c r="C56" s="171">
        <f t="shared" si="16"/>
        <v>0.2</v>
      </c>
      <c r="D56" s="945">
        <v>0.25</v>
      </c>
      <c r="E56" s="217">
        <f>'数据-汇总表'!E11</f>
        <v>0</v>
      </c>
      <c r="F56" s="639" t="e">
        <f t="shared" si="15"/>
        <v>#DIV/0!</v>
      </c>
      <c r="G56" s="1983" t="s">
        <v>1894</v>
      </c>
      <c r="H56" s="887" t="str">
        <f>项目基本情况!C37</f>
        <v>八级</v>
      </c>
      <c r="I56" s="773">
        <f>SUMIF(修正!A57:A68,H56,修正!E57:E68)</f>
        <v>0.2</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1895</v>
      </c>
      <c r="B57" s="218" t="e">
        <f t="shared" si="17"/>
        <v>#DIV/0!</v>
      </c>
      <c r="C57" s="171">
        <f t="shared" si="16"/>
        <v>0.2</v>
      </c>
      <c r="D57" s="945">
        <v>0.25</v>
      </c>
      <c r="E57" s="217">
        <f>'数据-汇总表'!E12</f>
        <v>5373.0999999999995</v>
      </c>
      <c r="F57" s="639" t="e">
        <f t="shared" si="15"/>
        <v>#DIV/0!</v>
      </c>
      <c r="G57" s="892" t="s">
        <v>1896</v>
      </c>
      <c r="H57" s="887" t="str">
        <f>IF(G57="商业",项目基本情况!B37,IF(G57="办公",项目基本情况!C37,IF(G57="住宅",项目基本情况!D37,项目基本情况!E37)))</f>
        <v>八级</v>
      </c>
      <c r="I57" s="773">
        <f>SUMIF(修正!A57:A68,H57,修正!F57:F68)</f>
        <v>0.2</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1897</v>
      </c>
      <c r="B58" s="218" t="e">
        <f t="shared" si="17"/>
        <v>#DIV/0!</v>
      </c>
      <c r="C58" s="171">
        <f t="shared" si="16"/>
        <v>0.1</v>
      </c>
      <c r="D58" s="945">
        <v>0.25</v>
      </c>
      <c r="E58" s="217">
        <f>'数据-汇总表'!E13</f>
        <v>37107.17</v>
      </c>
      <c r="F58" s="639" t="e">
        <f t="shared" si="15"/>
        <v>#DIV/0!</v>
      </c>
      <c r="G58" s="892" t="s">
        <v>1898</v>
      </c>
      <c r="H58" s="887" t="str">
        <f>IF(G58="商业",项目基本情况!B37,IF(G58="办公",项目基本情况!C37,IF(G58="住宅",项目基本情况!D37,项目基本情况!E37)))</f>
        <v>八级</v>
      </c>
      <c r="I58" s="773">
        <f>SUMIF(修正!A57:A68,H58,修正!G57:G68)</f>
        <v>0.1</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1899</v>
      </c>
      <c r="B59" s="218" t="e">
        <f t="shared" si="17"/>
        <v>#DIV/0!</v>
      </c>
      <c r="C59" s="171">
        <f t="shared" si="16"/>
        <v>0</v>
      </c>
      <c r="D59" s="945">
        <v>0.25</v>
      </c>
      <c r="E59" s="217">
        <f>'数据-汇总表'!E14</f>
        <v>0</v>
      </c>
      <c r="F59" s="639" t="e">
        <f t="shared" si="15"/>
        <v>#DIV/0!</v>
      </c>
      <c r="G59" s="1983" t="s">
        <v>1890</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1900</v>
      </c>
      <c r="B60" s="218" t="e">
        <f t="shared" si="17"/>
        <v>#DIV/0!</v>
      </c>
      <c r="C60" s="171">
        <f t="shared" si="16"/>
        <v>0.1</v>
      </c>
      <c r="D60" s="945">
        <v>0.25</v>
      </c>
      <c r="E60" s="217">
        <f>'数据-汇总表'!E15</f>
        <v>0</v>
      </c>
      <c r="F60" s="639" t="e">
        <f t="shared" si="15"/>
        <v>#DIV/0!</v>
      </c>
      <c r="G60" s="1984" t="s">
        <v>1894</v>
      </c>
      <c r="H60" s="897" t="str">
        <f>项目基本情况!C37</f>
        <v>八级</v>
      </c>
      <c r="I60" s="773">
        <f>SUMIF(修正!A57:A68,H60,修正!G57:G68)</f>
        <v>0.1</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1901</v>
      </c>
      <c r="B61" s="644" t="s">
        <v>22</v>
      </c>
      <c r="C61" s="644" t="s">
        <v>23</v>
      </c>
      <c r="D61" s="644" t="s">
        <v>392</v>
      </c>
      <c r="E61" s="644">
        <f>IF(B41="楼面地价",SUM(E51:E60),'数据-汇总表'!D3)</f>
        <v>15906.02</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19"/>
      <c r="Q63" s="2719"/>
      <c r="R63" s="2719"/>
      <c r="S63" s="2719"/>
      <c r="T63" s="2719"/>
      <c r="U63" s="2719"/>
      <c r="V63" s="2719"/>
      <c r="W63" s="2719"/>
      <c r="X63" s="2719"/>
      <c r="Y63" s="2719"/>
      <c r="Z63" s="2719"/>
      <c r="AA63" s="2719"/>
      <c r="AB63" s="2719"/>
      <c r="AC63" s="2719"/>
      <c r="AD63" s="2719"/>
      <c r="AE63" s="2719"/>
    </row>
    <row r="64" spans="1:31" ht="21.75" thickBot="1">
      <c r="A64" s="694" t="s">
        <v>1797</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5" t="s">
        <v>1902</v>
      </c>
      <c r="B65" s="1109"/>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0"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1715</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1680</v>
      </c>
      <c r="B68" s="459"/>
      <c r="C68" s="471" t="s">
        <v>1775</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1718</v>
      </c>
      <c r="B70" s="477" t="s">
        <v>1684</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1687</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1689</v>
      </c>
      <c r="B83" s="477" t="s">
        <v>1828</v>
      </c>
      <c r="C83" s="522" t="s">
        <v>1720</v>
      </c>
      <c r="D83" s="522" t="s">
        <v>1721</v>
      </c>
      <c r="E83" s="522" t="s">
        <v>1722</v>
      </c>
      <c r="F83" s="522" t="s">
        <v>1723</v>
      </c>
      <c r="G83" s="522" t="s">
        <v>1724</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1725</v>
      </c>
      <c r="C85" s="527" t="s">
        <v>1720</v>
      </c>
      <c r="D85" s="527" t="s">
        <v>1721</v>
      </c>
      <c r="E85" s="527" t="s">
        <v>1722</v>
      </c>
      <c r="F85" s="527" t="s">
        <v>1723</v>
      </c>
      <c r="G85" s="527" t="s">
        <v>1724</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1905</v>
      </c>
      <c r="C87" s="522" t="s">
        <v>1720</v>
      </c>
      <c r="D87" s="522" t="s">
        <v>1721</v>
      </c>
      <c r="E87" s="522" t="s">
        <v>1722</v>
      </c>
      <c r="F87" s="522" t="s">
        <v>1723</v>
      </c>
      <c r="G87" s="522" t="s">
        <v>1724</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1720</v>
      </c>
      <c r="D89" s="522" t="s">
        <v>1721</v>
      </c>
      <c r="E89" s="522" t="s">
        <v>1722</v>
      </c>
      <c r="F89" s="522" t="s">
        <v>1723</v>
      </c>
      <c r="G89" s="522" t="s">
        <v>1724</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1923</v>
      </c>
      <c r="C93" s="608" t="s">
        <v>1798</v>
      </c>
      <c r="D93" s="608" t="s">
        <v>1799</v>
      </c>
      <c r="E93" s="608" t="s">
        <v>1800</v>
      </c>
      <c r="F93" s="608" t="s">
        <v>1801</v>
      </c>
      <c r="G93" s="608" t="s">
        <v>1802</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1814</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1871</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1693</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1912</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1914</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1915</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79" t="s">
        <v>2082</v>
      </c>
      <c r="D1" s="3780"/>
      <c r="E1" s="3780"/>
      <c r="F1" s="3780"/>
      <c r="G1" s="3780"/>
      <c r="H1" s="3780"/>
      <c r="I1" s="3780"/>
      <c r="J1" s="3780"/>
      <c r="K1" s="3780"/>
      <c r="L1" s="3780"/>
      <c r="M1" s="3780"/>
      <c r="N1" s="3780"/>
      <c r="O1" s="3780"/>
      <c r="P1" s="3780"/>
      <c r="Q1" s="3780"/>
      <c r="R1" s="3780"/>
      <c r="S1" s="3781"/>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2085</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2086</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2087</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2091</v>
      </c>
      <c r="B17" s="2145"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2093</v>
      </c>
      <c r="E19" s="1339"/>
      <c r="F19" s="1339"/>
      <c r="G19" s="1339"/>
      <c r="H19" s="1059"/>
      <c r="I19" s="159"/>
      <c r="J19" s="159"/>
      <c r="K19" s="159"/>
      <c r="L19" s="159"/>
      <c r="M19" s="159"/>
      <c r="N19" s="159"/>
      <c r="O19" s="159"/>
      <c r="P19" s="159"/>
      <c r="Q19" s="159"/>
      <c r="R19" s="718"/>
      <c r="S19" s="129"/>
    </row>
    <row r="20" spans="1:45" ht="16.5" thickBot="1">
      <c r="A20" s="662" t="s">
        <v>2094</v>
      </c>
      <c r="B20" s="294" t="e">
        <f ca="1">IF(D20="——",S22,S22-F20)</f>
        <v>#REF!</v>
      </c>
      <c r="C20" s="159"/>
      <c r="D20" s="2147"/>
      <c r="E20" s="1340"/>
      <c r="F20" s="983" t="e">
        <f ca="1">SUMIF(INDIRECT("'"&amp;H20&amp;"'"&amp;"!A:A"),"承租人权益价值",INDIRECT("'"&amp;H20&amp;"'"&amp;"!c:c"))</f>
        <v>#REF!</v>
      </c>
      <c r="G20" s="983" t="s">
        <v>2095</v>
      </c>
      <c r="H20" s="2148"/>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76" t="s">
        <v>27</v>
      </c>
      <c r="D22" s="3777"/>
      <c r="E22" s="3777"/>
      <c r="F22" s="3777"/>
      <c r="G22" s="3777"/>
      <c r="H22" s="3777"/>
      <c r="I22" s="3777"/>
      <c r="J22" s="3777"/>
      <c r="K22" s="3777"/>
      <c r="L22" s="3777"/>
      <c r="M22" s="3777"/>
      <c r="N22" s="3777"/>
      <c r="O22" s="3777"/>
      <c r="P22" s="3777"/>
      <c r="Q22" s="3778"/>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3"/>
      <c r="C1" s="2143"/>
      <c r="D1" s="2143"/>
      <c r="E1" s="2143"/>
      <c r="F1" s="2787"/>
      <c r="G1" s="2787"/>
      <c r="H1" s="2787"/>
      <c r="I1" s="2787"/>
      <c r="J1" s="2787"/>
      <c r="K1" s="2787"/>
      <c r="L1" s="2787"/>
      <c r="M1" s="2787"/>
      <c r="N1" s="2787"/>
      <c r="O1" s="2787"/>
      <c r="P1" s="2787"/>
    </row>
    <row r="2" spans="1:16" ht="15.75">
      <c r="A2" s="2141" t="s">
        <v>2071</v>
      </c>
      <c r="B2" s="2596" t="e">
        <f ca="1">SUMIF(B6:B13,"&lt;&gt;#ref!",B6:B13)</f>
        <v>#DIV/0!</v>
      </c>
      <c r="C2" s="2141" t="s">
        <v>2072</v>
      </c>
      <c r="D2" s="2141" t="s">
        <v>2073</v>
      </c>
      <c r="E2" s="2606">
        <f ca="1">SUMIF(E6:E13,"&lt;&gt;#ref!",E6:E13)</f>
        <v>0</v>
      </c>
      <c r="F2" s="2787"/>
      <c r="G2" s="2787"/>
      <c r="H2" s="2787"/>
      <c r="I2" s="2787"/>
      <c r="J2" s="2787"/>
      <c r="K2" s="2787"/>
      <c r="L2" s="2787"/>
      <c r="M2" s="2787"/>
      <c r="N2" s="2787"/>
      <c r="O2" s="2787"/>
      <c r="P2" s="2787"/>
    </row>
    <row r="3" spans="1:16" ht="15.75">
      <c r="A3" s="2141" t="s">
        <v>2074</v>
      </c>
      <c r="B3" s="2596" t="e">
        <f ca="1">ROUND(B2*10000/E2,0)</f>
        <v>#DIV/0!</v>
      </c>
      <c r="C3" s="2141" t="s">
        <v>2080</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2075</v>
      </c>
      <c r="B5" s="2604" t="s">
        <v>2076</v>
      </c>
      <c r="C5" s="2142"/>
      <c r="D5" s="2787"/>
      <c r="E5" s="2605" t="s">
        <v>2077</v>
      </c>
      <c r="F5" s="2787"/>
      <c r="G5" s="2787"/>
      <c r="H5" s="2787"/>
      <c r="I5" s="2787"/>
      <c r="J5" s="2787"/>
      <c r="K5" s="2787"/>
      <c r="L5" s="2787"/>
      <c r="M5" s="2787"/>
      <c r="N5" s="2787"/>
      <c r="O5" s="2787"/>
      <c r="P5" s="2787"/>
    </row>
    <row r="6" spans="1:16" ht="15.75">
      <c r="A6" s="2603" t="s">
        <v>2078</v>
      </c>
      <c r="B6" s="2596" t="e">
        <f ca="1">SUMIF(INDIRECT("'"&amp;A6&amp;"'"&amp;"!A:A"),"总价",INDIRECT("'"&amp;A6&amp;"'"&amp;"!B:B"))</f>
        <v>#DIV/0!</v>
      </c>
      <c r="C6" s="2141" t="s">
        <v>2072</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1" t="s">
        <v>2072</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1" t="s">
        <v>2072</v>
      </c>
      <c r="D8" s="2787"/>
      <c r="E8" s="2606" t="e">
        <f t="shared" ca="1" si="0"/>
        <v>#REF!</v>
      </c>
      <c r="F8" s="2787"/>
      <c r="G8" s="2787"/>
      <c r="H8" s="2787"/>
      <c r="I8" s="2787"/>
      <c r="J8" s="2787"/>
      <c r="K8" s="2787"/>
      <c r="L8" s="2787"/>
      <c r="M8" s="2787"/>
      <c r="N8" s="2787"/>
      <c r="O8" s="2787"/>
      <c r="P8" s="2787"/>
    </row>
    <row r="9" spans="1:16" ht="15.75">
      <c r="A9" s="2603"/>
      <c r="B9" s="2596" t="e">
        <f t="shared" ca="1" si="1"/>
        <v>#REF!</v>
      </c>
      <c r="C9" s="2141" t="s">
        <v>2072</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1" t="s">
        <v>2072</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1" t="s">
        <v>2072</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1" t="s">
        <v>2072</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1" t="s">
        <v>2072</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1924</v>
      </c>
      <c r="B1" s="197"/>
      <c r="C1" s="201" t="s">
        <v>1925</v>
      </c>
      <c r="D1" s="342">
        <f>SUM(D33:D34,D37:D42)</f>
        <v>0</v>
      </c>
      <c r="E1" s="1991"/>
      <c r="F1" s="1991"/>
      <c r="G1" s="1991"/>
      <c r="H1" s="1991"/>
      <c r="I1" s="1991"/>
      <c r="J1" s="1991"/>
      <c r="K1" s="1119"/>
      <c r="L1" s="1992" t="s">
        <v>1926</v>
      </c>
      <c r="M1" s="863">
        <f>SUMPRODUCT((区片价!B5:B9=I2)*(区片价!C3:G3=E2)*(区片价!C5:G9))</f>
        <v>0</v>
      </c>
      <c r="N1" s="866">
        <f>SUMPRODUCT((因素修正幅度!B5:B9=I2)*(因素修正幅度!C3:G3=E2)*(因素修正幅度!C5:G9))</f>
        <v>0</v>
      </c>
      <c r="O1" s="1993"/>
      <c r="P1" s="1993"/>
      <c r="Q1" s="1119"/>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t="e">
        <f>C30</f>
        <v>#DIV/0!</v>
      </c>
      <c r="C2" s="1995" t="s">
        <v>1933</v>
      </c>
      <c r="D2" s="1996" t="s">
        <v>1934</v>
      </c>
      <c r="E2" s="3416"/>
      <c r="F2" s="1996" t="s">
        <v>1935</v>
      </c>
      <c r="G2" s="1997">
        <f>IF(E2="商业",项目基本情况!B37,IF(E2="办公",项目基本情况!C37,IF(E2="住宅",项目基本情况!D37,IF(E2="工业",项目基本情况!E37,项目基本情况!F37))))</f>
        <v>0</v>
      </c>
      <c r="H2" s="1996" t="s">
        <v>1936</v>
      </c>
      <c r="I2" s="1997">
        <f>IF(E2="商业",项目基本情况!B38,IF(E2="办公",项目基本情况!C38,IF(E2="住宅",项目基本情况!D38,IF(E2="工业",项目基本情况!E38,项目基本情况!F38))))</f>
        <v>0</v>
      </c>
      <c r="J2" s="1998"/>
      <c r="K2" s="1119"/>
      <c r="L2" s="1999" t="s">
        <v>1937</v>
      </c>
      <c r="M2" s="864">
        <f>SUMPRODUCT((区片价!B10:B29=I2)*(区片价!C3:G3=E2)*(区片价!C10:G29))</f>
        <v>0</v>
      </c>
      <c r="N2" s="866">
        <f>SUMPRODUCT((因素修正幅度!B10:B29=I2)*(因素修正幅度!C3:G3=E2)*(因素修正幅度!C10:G29))</f>
        <v>0</v>
      </c>
      <c r="O2" s="1119"/>
      <c r="P2" s="1119"/>
      <c r="Q2" s="1119"/>
      <c r="R2" s="1211">
        <v>1</v>
      </c>
      <c r="S2" s="3355">
        <f>ROUND(SUMPRODUCT((B106:B110=R2)*(C105:N105=G2)*(C106:N110)),4)</f>
        <v>0</v>
      </c>
      <c r="T2" s="3355" t="e">
        <f t="shared" ref="T2:T16" si="0">ROUND($C$5*$C$22*$C$23*$C$24*S2*$C$28,0)</f>
        <v>#DIV/0!</v>
      </c>
      <c r="U2" s="1212"/>
      <c r="V2" s="3355" t="e">
        <f>ROUND(T2*U2/10000,0)</f>
        <v>#DIV/0!</v>
      </c>
      <c r="W2" s="1215"/>
      <c r="X2" s="1215"/>
      <c r="Y2" s="1215"/>
      <c r="Z2" s="1215"/>
      <c r="AA2" s="1215"/>
      <c r="AB2" s="1215"/>
      <c r="AC2" s="1216"/>
      <c r="AD2" s="1217"/>
      <c r="AE2" s="1217"/>
      <c r="AF2" s="1217"/>
      <c r="AG2" s="1217"/>
      <c r="AH2" s="1217"/>
      <c r="AI2" s="1217"/>
      <c r="AJ2" s="1218"/>
    </row>
    <row r="3" spans="1:36" ht="15.75">
      <c r="A3" s="203" t="s">
        <v>1938</v>
      </c>
      <c r="B3" s="204" t="e">
        <f>ROUND(B2*10000/D1,0)</f>
        <v>#DIV/0!</v>
      </c>
      <c r="C3" s="1995" t="s">
        <v>1939</v>
      </c>
      <c r="D3" s="1996" t="s">
        <v>1940</v>
      </c>
      <c r="E3" s="3414"/>
      <c r="F3" s="2000"/>
      <c r="G3" s="752">
        <f>IF(F3="宗地容积率",'数据-汇总表'!I4,IF(F3="估价对象容积率",'数据-汇总表'!I6,'数据-汇总表'!I7))</f>
        <v>0</v>
      </c>
      <c r="H3" s="170" t="s">
        <v>1941</v>
      </c>
      <c r="I3" s="775"/>
      <c r="J3" s="1998" t="s">
        <v>1942</v>
      </c>
      <c r="K3" s="1119"/>
      <c r="L3" s="1999" t="s">
        <v>1943</v>
      </c>
      <c r="M3" s="864">
        <f>SUMPRODUCT((区片价!B30:B54=I2)*(区片价!C3:G3=E2)*(区片价!C30:G54))</f>
        <v>0</v>
      </c>
      <c r="N3" s="866">
        <f>SUMPRODUCT((因素修正幅度!B30:B54=I2)*(因素修正幅度!C3:G3=E2)*(因素修正幅度!C30:G54))</f>
        <v>0</v>
      </c>
      <c r="O3" s="1119"/>
      <c r="P3" s="1119"/>
      <c r="Q3" s="1119"/>
      <c r="R3" s="1211">
        <v>2</v>
      </c>
      <c r="S3" s="3355">
        <f>ROUND(SUMPRODUCT((B106:B110=R3)*(C105:N105=G2)*(C106:N110)),4)</f>
        <v>0</v>
      </c>
      <c r="T3" s="3355" t="e">
        <f t="shared" si="0"/>
        <v>#DIV/0!</v>
      </c>
      <c r="U3" s="1212"/>
      <c r="V3" s="3355" t="e">
        <f t="shared" ref="V3:V16" si="1">ROUND(T3*U3/10000,0)</f>
        <v>#DIV/0!</v>
      </c>
      <c r="W3" s="1215"/>
      <c r="X3" s="1215"/>
      <c r="Y3" s="1215"/>
      <c r="Z3" s="1215"/>
      <c r="AA3" s="1215"/>
      <c r="AB3" s="1215"/>
      <c r="AC3" s="1216"/>
      <c r="AD3" s="1217"/>
      <c r="AE3" s="1217"/>
      <c r="AF3" s="1217"/>
      <c r="AG3" s="1217"/>
      <c r="AH3" s="1217"/>
      <c r="AI3" s="1217"/>
      <c r="AJ3" s="1218"/>
    </row>
    <row r="4" spans="1:36" ht="15.75">
      <c r="A4" s="3789"/>
      <c r="B4" s="3790"/>
      <c r="C4" s="3790"/>
      <c r="D4" s="3791"/>
      <c r="E4" s="3791"/>
      <c r="F4" s="3791"/>
      <c r="G4" s="3791"/>
      <c r="H4" s="3791"/>
      <c r="I4" s="3791"/>
      <c r="J4" s="3792"/>
      <c r="K4" s="1119"/>
      <c r="L4" s="1999" t="s">
        <v>1944</v>
      </c>
      <c r="M4" s="864">
        <f>SUMPRODUCT((区片价!B55:B86=I2)*(区片价!C3:G3=E2)*(区片价!C55:G86))</f>
        <v>0</v>
      </c>
      <c r="N4" s="866">
        <f>SUMPRODUCT((因素修正幅度!B55:B86=I2)*(因素修正幅度!C3:G3=E2)*(因素修正幅度!C55:G86))</f>
        <v>0</v>
      </c>
      <c r="O4" s="1119"/>
      <c r="P4" s="1119"/>
      <c r="Q4" s="1119"/>
      <c r="R4" s="1211">
        <v>3</v>
      </c>
      <c r="S4" s="3355">
        <f>ROUND(SUMPRODUCT((B106:B110=R4)*(C105:N105=G2)*(C106:N110)),4)</f>
        <v>0</v>
      </c>
      <c r="T4" s="3355" t="e">
        <f t="shared" si="0"/>
        <v>#DIV/0!</v>
      </c>
      <c r="U4" s="1212"/>
      <c r="V4" s="3355" t="e">
        <f t="shared" si="1"/>
        <v>#DIV/0!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1945</v>
      </c>
      <c r="C5" s="753" t="e">
        <f>ROUND(IF(E2="商业",C6*C7*C17+C20,(IF(E2="住宅",C6*C13*C17+C20,IF(E2="办公",C6*C12*C17+C20,C6+C20)))),0)</f>
        <v>#DIV/0!</v>
      </c>
      <c r="D5" s="1338" t="e">
        <f>ROUND(C6*C17+C20,0)</f>
        <v>#DIV/0!</v>
      </c>
      <c r="E5" s="1338"/>
      <c r="F5" s="2003"/>
      <c r="G5" s="2004"/>
      <c r="H5" s="2004"/>
      <c r="I5" s="2004"/>
      <c r="J5" s="2005"/>
      <c r="K5" s="2006"/>
      <c r="L5" s="1999" t="s">
        <v>1946</v>
      </c>
      <c r="M5" s="864">
        <f>SUMPRODUCT((区片价!B87:B126=I2)*(区片价!C3:G3=E2)*(区片价!C87:G126))</f>
        <v>0</v>
      </c>
      <c r="N5" s="866">
        <f>SUMPRODUCT((因素修正幅度!B87:B126=I2)*(因素修正幅度!C3:G3=E2)*(因素修正幅度!C87:G126))</f>
        <v>0</v>
      </c>
      <c r="O5" s="1119"/>
      <c r="P5" s="1119"/>
      <c r="Q5" s="1119"/>
      <c r="R5" s="1211">
        <v>4</v>
      </c>
      <c r="S5" s="3355">
        <f>ROUND(SUMPRODUCT((B106:B110=R5)*(C105:N105=G2)*(C106:N110)),4)</f>
        <v>0</v>
      </c>
      <c r="T5" s="3355" t="e">
        <f t="shared" si="0"/>
        <v>#DIV/0!</v>
      </c>
      <c r="U5" s="1212"/>
      <c r="V5" s="3355" t="e">
        <f t="shared" si="1"/>
        <v>#DIV/0!</v>
      </c>
      <c r="W5" s="1215"/>
      <c r="X5" s="1215"/>
      <c r="Y5" s="1215"/>
      <c r="Z5" s="1215"/>
      <c r="AA5" s="1215"/>
      <c r="AB5" s="1215"/>
      <c r="AC5" s="2007"/>
      <c r="AD5" s="2008"/>
      <c r="AE5" s="2008"/>
      <c r="AF5" s="2008"/>
      <c r="AG5" s="2008"/>
      <c r="AH5" s="2008"/>
      <c r="AI5" s="2008"/>
      <c r="AJ5" s="2009"/>
    </row>
    <row r="6" spans="1:36" ht="15.75" thickBot="1">
      <c r="A6" s="2011" t="s">
        <v>1947</v>
      </c>
      <c r="B6" s="2012" t="s">
        <v>1948</v>
      </c>
      <c r="C6" s="754">
        <f>SUMIF(L1:L12,G2,M1:M12)</f>
        <v>0</v>
      </c>
      <c r="D6" s="2013"/>
      <c r="E6" s="2014"/>
      <c r="F6" s="2014"/>
      <c r="G6" s="2015"/>
      <c r="H6" s="2015"/>
      <c r="I6" s="2015"/>
      <c r="J6" s="2016"/>
      <c r="K6" s="1383"/>
      <c r="L6" s="1999" t="s">
        <v>1949</v>
      </c>
      <c r="M6" s="864">
        <f>SUMPRODUCT((区片价!B127:B189=I2)*(区片价!C3:G3=E2)*(区片价!C127:G189))</f>
        <v>0</v>
      </c>
      <c r="N6" s="866">
        <f>SUMPRODUCT((因素修正幅度!B127:B189=I2)*(因素修正幅度!C3:G3=E2)*(因素修正幅度!C127:G189))</f>
        <v>0</v>
      </c>
      <c r="O6" s="1119"/>
      <c r="P6" s="1119"/>
      <c r="Q6" s="1119"/>
      <c r="R6" s="1211">
        <v>5</v>
      </c>
      <c r="S6" s="3355">
        <f>ROUND(SUMPRODUCT((B106:B110=R6)*(C105:N105=G2)*(C106:N110)),4)</f>
        <v>0</v>
      </c>
      <c r="T6" s="3355" t="e">
        <f t="shared" si="0"/>
        <v>#DIV/0!</v>
      </c>
      <c r="U6" s="1212"/>
      <c r="V6" s="3355" t="e">
        <f t="shared" si="1"/>
        <v>#DIV/0!</v>
      </c>
      <c r="W6" s="1215"/>
      <c r="X6" s="1215"/>
      <c r="Y6" s="1215"/>
      <c r="Z6" s="1215"/>
      <c r="AA6" s="1215"/>
      <c r="AB6" s="1215"/>
      <c r="AC6" s="2007"/>
      <c r="AD6" s="2008"/>
      <c r="AE6" s="2008"/>
      <c r="AF6" s="2008"/>
      <c r="AG6" s="2008"/>
      <c r="AH6" s="2008"/>
      <c r="AI6" s="2008"/>
      <c r="AJ6" s="2009"/>
    </row>
    <row r="7" spans="1:36" ht="24.75" thickBot="1">
      <c r="A7" s="3298" t="s">
        <v>3242</v>
      </c>
      <c r="B7" s="2017" t="s">
        <v>1950</v>
      </c>
      <c r="C7" s="755" t="e">
        <f>IF(C8="不临65条商业街",1,ROUND(1+(1.6*E8+1.2*E9+0.8*E10+0.4*E11)*C9,4))</f>
        <v>#DIV/0!</v>
      </c>
      <c r="D7" s="2018" t="s">
        <v>1951</v>
      </c>
      <c r="E7" s="776"/>
      <c r="F7" s="2019"/>
      <c r="G7" s="2020"/>
      <c r="H7" s="2020"/>
      <c r="I7" s="2020"/>
      <c r="J7" s="2021"/>
      <c r="K7" s="1383"/>
      <c r="L7" s="1999" t="s">
        <v>1952</v>
      </c>
      <c r="M7" s="864">
        <f>SUMPRODUCT((区片价!B190:B233=I2)*(区片价!C3:G3=E2)*(区片价!C190:G233))</f>
        <v>0</v>
      </c>
      <c r="N7" s="866">
        <f>SUMPRODUCT((因素修正幅度!B190:B233=I2)*(因素修正幅度!C3:G3=E2)*(因素修正幅度!C190:G233))</f>
        <v>0</v>
      </c>
      <c r="O7" s="1119"/>
      <c r="P7" s="1119"/>
      <c r="Q7" s="1119"/>
      <c r="R7" s="1211">
        <v>6</v>
      </c>
      <c r="S7" s="3413"/>
      <c r="T7" s="3355" t="e">
        <f t="shared" si="0"/>
        <v>#DIV/0!</v>
      </c>
      <c r="U7" s="1212"/>
      <c r="V7" s="3355" t="e">
        <f t="shared" si="1"/>
        <v>#DIV/0!</v>
      </c>
      <c r="W7" s="1357" t="s">
        <v>1953</v>
      </c>
      <c r="X7" s="1213">
        <f>G2</f>
        <v>0</v>
      </c>
      <c r="Y7" s="1213" t="s">
        <v>1954</v>
      </c>
      <c r="Z7" s="1214">
        <f>G3</f>
        <v>0</v>
      </c>
      <c r="AA7" s="1215"/>
      <c r="AB7" s="1215"/>
      <c r="AC7" s="1216"/>
      <c r="AD7" s="1217"/>
      <c r="AE7" s="1217"/>
      <c r="AF7" s="1217"/>
      <c r="AG7" s="1217"/>
      <c r="AH7" s="1217"/>
      <c r="AI7" s="1217"/>
      <c r="AJ7" s="1218"/>
    </row>
    <row r="8" spans="1:36" ht="15">
      <c r="A8" s="3293"/>
      <c r="B8" s="170" t="s">
        <v>1955</v>
      </c>
      <c r="C8" s="2022"/>
      <c r="D8" s="756" t="s">
        <v>112</v>
      </c>
      <c r="E8" s="757" t="e">
        <f>ROUND(C11/E7,4)</f>
        <v>#DIV/0!</v>
      </c>
      <c r="F8" s="2023" t="s">
        <v>1956</v>
      </c>
      <c r="G8" s="2024"/>
      <c r="H8" s="2024"/>
      <c r="I8" s="2024"/>
      <c r="J8" s="2025"/>
      <c r="K8" s="1119"/>
      <c r="L8" s="1999" t="s">
        <v>1957</v>
      </c>
      <c r="M8" s="864">
        <f>SUMPRODUCT((区片价!B234:B276=I2)*(区片价!C3:G3=E2)*(区片价!C234:G276))</f>
        <v>0</v>
      </c>
      <c r="N8" s="866">
        <f>SUMPRODUCT((因素修正幅度!B234:B276=I2)*(因素修正幅度!C3:G3=E2)*(因素修正幅度!C234:G276))</f>
        <v>0</v>
      </c>
      <c r="O8" s="1119"/>
      <c r="P8" s="1119"/>
      <c r="Q8" s="1119"/>
      <c r="R8" s="1211">
        <v>7</v>
      </c>
      <c r="S8" s="1212"/>
      <c r="T8" s="3355" t="e">
        <f t="shared" si="0"/>
        <v>#DIV/0!</v>
      </c>
      <c r="U8" s="1212"/>
      <c r="V8" s="3355" t="e">
        <f t="shared" si="1"/>
        <v>#DIV/0!</v>
      </c>
      <c r="W8" s="3786" t="s">
        <v>1958</v>
      </c>
      <c r="X8" s="3787"/>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3"/>
      <c r="B9" s="170" t="s">
        <v>1971</v>
      </c>
      <c r="C9" s="758">
        <f>SUMIF(修正!C71:C138,C8,修正!E71:E138)</f>
        <v>0</v>
      </c>
      <c r="D9" s="171" t="s">
        <v>113</v>
      </c>
      <c r="E9" s="171" t="e">
        <f>ROUND(C11/E7,4)</f>
        <v>#DIV/0!</v>
      </c>
      <c r="F9" s="2023" t="s">
        <v>1972</v>
      </c>
      <c r="G9" s="2024"/>
      <c r="H9" s="2024"/>
      <c r="I9" s="2024"/>
      <c r="J9" s="2025"/>
      <c r="K9" s="1119"/>
      <c r="L9" s="1999" t="s">
        <v>1973</v>
      </c>
      <c r="M9" s="864">
        <f>SUMPRODUCT((区片价!B277:B326=I2)*(区片价!C3:G3=E2)*(区片价!C277:G326))</f>
        <v>0</v>
      </c>
      <c r="N9" s="866">
        <f>SUMPRODUCT((因素修正幅度!B277:B326=I2)*(因素修正幅度!C3:G3=E2)*(因素修正幅度!C277:G326))</f>
        <v>0</v>
      </c>
      <c r="O9" s="1119"/>
      <c r="P9" s="1119"/>
      <c r="Q9" s="1119"/>
      <c r="R9" s="1211">
        <v>8</v>
      </c>
      <c r="S9" s="1212"/>
      <c r="T9" s="3355" t="e">
        <f t="shared" si="0"/>
        <v>#DIV/0!</v>
      </c>
      <c r="U9" s="1212"/>
      <c r="V9" s="3355" t="e">
        <f t="shared" si="1"/>
        <v>#DIV/0!</v>
      </c>
      <c r="W9" s="3788"/>
      <c r="X9" s="3356" t="s">
        <v>3273</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3" t="s">
        <v>1975</v>
      </c>
      <c r="G10" s="2024"/>
      <c r="H10" s="2024"/>
      <c r="I10" s="2024"/>
      <c r="J10" s="2025"/>
      <c r="K10" s="1119"/>
      <c r="L10" s="1999" t="s">
        <v>1976</v>
      </c>
      <c r="M10" s="864">
        <f>SUMPRODUCT((区片价!B327:B357=I2)*(区片价!C3:G3=E2)*(区片价!C327:G357))</f>
        <v>0</v>
      </c>
      <c r="N10" s="866">
        <f>SUMPRODUCT((因素修正幅度!B327:B357=I2)*(因素修正幅度!C3:G3=E2)*(因素修正幅度!C327:G357))</f>
        <v>0</v>
      </c>
      <c r="O10" s="1119"/>
      <c r="P10" s="1119"/>
      <c r="Q10" s="1119"/>
      <c r="R10" s="1211">
        <v>9</v>
      </c>
      <c r="S10" s="1212"/>
      <c r="T10" s="3355" t="e">
        <f t="shared" si="0"/>
        <v>#DIV/0!</v>
      </c>
      <c r="U10" s="1212"/>
      <c r="V10" s="3355" t="e">
        <f t="shared" si="1"/>
        <v>#DIV/0!</v>
      </c>
      <c r="W10" s="3788"/>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6" t="s">
        <v>1977</v>
      </c>
      <c r="C11" s="759">
        <f>C10/4</f>
        <v>0</v>
      </c>
      <c r="D11" s="759" t="s">
        <v>115</v>
      </c>
      <c r="E11" s="759" t="e">
        <f>ROUND(C11/E7,4)</f>
        <v>#DIV/0!</v>
      </c>
      <c r="F11" s="2027" t="s">
        <v>1978</v>
      </c>
      <c r="G11" s="2028"/>
      <c r="H11" s="2028"/>
      <c r="I11" s="2028"/>
      <c r="J11" s="2029"/>
      <c r="K11" s="1119"/>
      <c r="L11" s="1999" t="s">
        <v>1979</v>
      </c>
      <c r="M11" s="864">
        <f>SUMPRODUCT((区片价!B358:B377=I2)*(区片价!C3:G3=E2)*(区片价!C358:G377))</f>
        <v>0</v>
      </c>
      <c r="N11" s="866">
        <f>SUMPRODUCT((因素修正幅度!B358:B377=I2)*(因素修正幅度!C3:G3=E2)*(因素修正幅度!C358:G377))</f>
        <v>0</v>
      </c>
      <c r="O11" s="1119"/>
      <c r="P11" s="1119"/>
      <c r="Q11" s="1119"/>
      <c r="R11" s="1211">
        <v>10</v>
      </c>
      <c r="S11" s="1212"/>
      <c r="T11" s="3355" t="e">
        <f t="shared" si="0"/>
        <v>#DIV/0!</v>
      </c>
      <c r="U11" s="1212"/>
      <c r="V11" s="3355" t="e">
        <f t="shared" si="1"/>
        <v>#DIV/0!</v>
      </c>
      <c r="W11" s="1215"/>
      <c r="X11" s="1215"/>
      <c r="Y11" s="1215"/>
      <c r="Z11" s="1215"/>
      <c r="AA11" s="1215"/>
      <c r="AB11" s="1215"/>
      <c r="AC11" s="1216"/>
      <c r="AD11" s="2783"/>
      <c r="AE11" s="2783"/>
      <c r="AF11" s="2783"/>
      <c r="AG11" s="2783"/>
      <c r="AH11" s="2783"/>
      <c r="AI11" s="2783"/>
      <c r="AJ11" s="2784"/>
    </row>
    <row r="12" spans="1:36" ht="25.5" thickBot="1">
      <c r="A12" s="3298" t="s">
        <v>3243</v>
      </c>
      <c r="B12" s="3299" t="s">
        <v>3244</v>
      </c>
      <c r="C12" s="3300"/>
      <c r="D12" s="3301" t="s">
        <v>3245</v>
      </c>
      <c r="E12" s="3302" t="s">
        <v>3246</v>
      </c>
      <c r="F12" s="3303"/>
      <c r="G12" s="3304"/>
      <c r="H12" s="3304"/>
      <c r="I12" s="3304"/>
      <c r="J12" s="3305"/>
      <c r="K12" s="1119"/>
      <c r="L12" s="2035" t="s">
        <v>1982</v>
      </c>
      <c r="M12" s="865">
        <f>SUMPRODUCT((区片价!B378:B384=I2)*(区片价!C3:G3=E2)*(区片价!C378:G384))</f>
        <v>0</v>
      </c>
      <c r="N12" s="866">
        <f>SUMPRODUCT((因素修正幅度!B378:B384=I2)*(因素修正幅度!C3:G3=E2)*(因素修正幅度!C378:G384))</f>
        <v>0</v>
      </c>
      <c r="O12" s="1119"/>
      <c r="P12" s="1119"/>
      <c r="Q12" s="1119"/>
      <c r="R12" s="1211">
        <v>11</v>
      </c>
      <c r="S12" s="1212"/>
      <c r="T12" s="3355" t="e">
        <f t="shared" si="0"/>
        <v>#DIV/0!</v>
      </c>
      <c r="U12" s="1212"/>
      <c r="V12" s="3355" t="e">
        <f t="shared" si="1"/>
        <v>#DIV/0!</v>
      </c>
      <c r="W12" s="1215"/>
      <c r="X12" s="1215"/>
      <c r="Y12" s="1215"/>
      <c r="Z12" s="1215"/>
      <c r="AA12" s="1215"/>
      <c r="AB12" s="1215"/>
      <c r="AC12" s="1216"/>
      <c r="AD12" s="2783"/>
      <c r="AE12" s="2783"/>
      <c r="AF12" s="2783"/>
      <c r="AG12" s="2783"/>
      <c r="AH12" s="2783"/>
      <c r="AI12" s="2783"/>
      <c r="AJ12" s="2784"/>
    </row>
    <row r="13" spans="1:36" ht="15.75" thickBot="1">
      <c r="A13" s="3298" t="s">
        <v>3247</v>
      </c>
      <c r="B13" s="2030" t="s">
        <v>1980</v>
      </c>
      <c r="C13" s="755">
        <f>ROUND(C16*D16*E16*F16*G16*H16*I16*J16,4)</f>
        <v>0</v>
      </c>
      <c r="D13" s="2031" t="s">
        <v>1981</v>
      </c>
      <c r="E13" s="2032"/>
      <c r="F13" s="2032"/>
      <c r="G13" s="2033"/>
      <c r="H13" s="2033"/>
      <c r="I13" s="2033"/>
      <c r="J13" s="2034"/>
      <c r="K13" s="1119"/>
      <c r="L13" s="3294"/>
      <c r="M13" s="3295"/>
      <c r="N13" s="3296"/>
      <c r="O13" s="1119"/>
      <c r="P13" s="1119"/>
      <c r="Q13" s="1119"/>
      <c r="R13" s="1211">
        <v>12</v>
      </c>
      <c r="S13" s="1212"/>
      <c r="T13" s="3355" t="e">
        <f t="shared" si="0"/>
        <v>#DIV/0!</v>
      </c>
      <c r="U13" s="1212"/>
      <c r="V13" s="3355" t="e">
        <f t="shared" si="1"/>
        <v>#DIV/0!</v>
      </c>
      <c r="W13" s="1215"/>
      <c r="X13" s="1215"/>
      <c r="Y13" s="1215"/>
      <c r="Z13" s="1215"/>
      <c r="AA13" s="1215"/>
      <c r="AB13" s="1215"/>
      <c r="AC13" s="1216"/>
      <c r="AD13" s="2783"/>
      <c r="AE13" s="2783"/>
      <c r="AF13" s="2783"/>
      <c r="AG13" s="2783"/>
      <c r="AH13" s="2783"/>
      <c r="AI13" s="2783"/>
      <c r="AJ13" s="2784"/>
    </row>
    <row r="14" spans="1:36" ht="15">
      <c r="A14" s="3292"/>
      <c r="B14" s="2036" t="s">
        <v>1983</v>
      </c>
      <c r="C14" s="2037" t="s">
        <v>1984</v>
      </c>
      <c r="D14" s="1349" t="s">
        <v>1985</v>
      </c>
      <c r="E14" s="27" t="s">
        <v>1986</v>
      </c>
      <c r="F14" s="3306" t="s">
        <v>3248</v>
      </c>
      <c r="G14" s="3306" t="s">
        <v>3248</v>
      </c>
      <c r="H14" s="3306" t="s">
        <v>3248</v>
      </c>
      <c r="I14" s="3306" t="s">
        <v>3248</v>
      </c>
      <c r="J14" s="3306" t="s">
        <v>3248</v>
      </c>
      <c r="K14" s="1119"/>
      <c r="L14" s="1119"/>
      <c r="M14" s="1119"/>
      <c r="N14" s="1119"/>
      <c r="O14" s="1119"/>
      <c r="P14" s="1119"/>
      <c r="Q14" s="1119"/>
      <c r="R14" s="1211">
        <v>13</v>
      </c>
      <c r="S14" s="1212"/>
      <c r="T14" s="3355" t="e">
        <f t="shared" si="0"/>
        <v>#DIV/0!</v>
      </c>
      <c r="U14" s="1212"/>
      <c r="V14" s="3355" t="e">
        <f t="shared" si="1"/>
        <v>#DIV/0!</v>
      </c>
      <c r="W14" s="1215"/>
      <c r="X14" s="1215"/>
      <c r="Y14" s="1215"/>
      <c r="Z14" s="1215"/>
      <c r="AA14" s="1215"/>
      <c r="AB14" s="1215"/>
      <c r="AC14" s="1216"/>
      <c r="AD14" s="2783"/>
      <c r="AE14" s="2783"/>
      <c r="AF14" s="2783"/>
      <c r="AG14" s="2783"/>
      <c r="AH14" s="2783"/>
      <c r="AI14" s="2783"/>
      <c r="AJ14" s="2784"/>
    </row>
    <row r="15" spans="1:36" ht="15">
      <c r="A15" s="3292"/>
      <c r="B15" s="2038"/>
      <c r="C15" s="2039"/>
      <c r="D15" s="2040"/>
      <c r="E15" s="2041"/>
      <c r="F15" s="3307" t="s">
        <v>3249</v>
      </c>
      <c r="G15" s="3308"/>
      <c r="H15" s="3309"/>
      <c r="I15" s="3310"/>
      <c r="J15" s="3311"/>
      <c r="K15" s="1119"/>
      <c r="L15" s="1119"/>
      <c r="M15" s="1119"/>
      <c r="N15" s="1119"/>
      <c r="O15" s="1119"/>
      <c r="P15" s="1119"/>
      <c r="Q15" s="1119"/>
      <c r="R15" s="1211">
        <v>14</v>
      </c>
      <c r="S15" s="1212"/>
      <c r="T15" s="3355" t="e">
        <f t="shared" si="0"/>
        <v>#DIV/0!</v>
      </c>
      <c r="U15" s="1212"/>
      <c r="V15" s="3355" t="e">
        <f t="shared" si="1"/>
        <v>#DIV/0!</v>
      </c>
      <c r="W15" s="1215"/>
      <c r="X15" s="1215"/>
      <c r="Y15" s="1215"/>
      <c r="Z15" s="1215"/>
      <c r="AA15" s="1215"/>
      <c r="AB15" s="1215"/>
      <c r="AC15" s="1216"/>
      <c r="AD15" s="2783"/>
      <c r="AE15" s="2783"/>
      <c r="AF15" s="2783"/>
      <c r="AG15" s="2783"/>
      <c r="AH15" s="2783"/>
      <c r="AI15" s="2783"/>
      <c r="AJ15" s="2784"/>
    </row>
    <row r="16" spans="1:36" ht="15.75" thickBot="1">
      <c r="A16" s="3292"/>
      <c r="B16" s="3314" t="s">
        <v>1987</v>
      </c>
      <c r="C16" s="3312"/>
      <c r="D16" s="3312"/>
      <c r="E16" s="3312"/>
      <c r="F16" s="3312">
        <v>1</v>
      </c>
      <c r="G16" s="3312">
        <v>1</v>
      </c>
      <c r="H16" s="3312">
        <v>1</v>
      </c>
      <c r="I16" s="3312">
        <v>1</v>
      </c>
      <c r="J16" s="3313">
        <v>1</v>
      </c>
      <c r="K16" s="1119"/>
      <c r="L16" s="1993"/>
      <c r="M16" s="1993"/>
      <c r="N16" s="1993"/>
      <c r="O16" s="1993"/>
      <c r="P16" s="1993"/>
      <c r="Q16" s="1119"/>
      <c r="R16" s="1211">
        <v>15</v>
      </c>
      <c r="S16" s="1212"/>
      <c r="T16" s="3355" t="e">
        <f t="shared" si="0"/>
        <v>#DIV/0!</v>
      </c>
      <c r="U16" s="1212"/>
      <c r="V16" s="3355" t="e">
        <f t="shared" si="1"/>
        <v>#DIV/0!</v>
      </c>
      <c r="W16" s="1215"/>
      <c r="X16" s="1215"/>
      <c r="Y16" s="1215"/>
      <c r="Z16" s="1215"/>
      <c r="AA16" s="1215"/>
      <c r="AB16" s="1215"/>
      <c r="AC16" s="1216"/>
      <c r="AD16" s="2783"/>
      <c r="AE16" s="2783"/>
      <c r="AF16" s="2783"/>
      <c r="AG16" s="2783"/>
      <c r="AH16" s="2783"/>
      <c r="AI16" s="2783"/>
      <c r="AJ16" s="2784"/>
    </row>
    <row r="17" spans="1:37">
      <c r="A17" s="3324" t="s">
        <v>3250</v>
      </c>
      <c r="B17" s="3315" t="s">
        <v>3251</v>
      </c>
      <c r="C17" s="3325">
        <f>ROUND(IF(OR(E2="工业",E2="公共服务"),1,IF(AND(E18=0,E19=0),1,IF(AND(E18=J24,E19=G19),0.8,IF(E19=0,1+E17*(-0.2),1+E17*G17*(-0.2))))),4)</f>
        <v>1</v>
      </c>
      <c r="D17" s="3316" t="s">
        <v>3252</v>
      </c>
      <c r="E17" s="3325" t="e">
        <f>ROUND(G18/I18,2)</f>
        <v>#DIV/0!</v>
      </c>
      <c r="F17" s="3316" t="s">
        <v>3255</v>
      </c>
      <c r="G17" s="3325" t="e">
        <f>ROUND(E19/G19,2)</f>
        <v>#DIV/0!</v>
      </c>
      <c r="H17" s="3325"/>
      <c r="I17" s="3325"/>
      <c r="J17" s="3326"/>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7"/>
      <c r="B18" s="3004"/>
      <c r="C18" s="3322"/>
      <c r="D18" s="3317" t="s">
        <v>3253</v>
      </c>
      <c r="E18" s="3323"/>
      <c r="F18" s="3318" t="s">
        <v>3256</v>
      </c>
      <c r="G18" s="3322">
        <f>ROUND(1-(1/(POWER(1+G24,E18))),4)</f>
        <v>0</v>
      </c>
      <c r="H18" s="3318" t="s">
        <v>3258</v>
      </c>
      <c r="I18" s="3322">
        <f>ROUND(1-(1/(POWER(1+G24,J24))),4)</f>
        <v>0</v>
      </c>
      <c r="J18" s="3328"/>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2"/>
    </row>
    <row r="19" spans="1:37" s="2010" customFormat="1" ht="15" thickBot="1">
      <c r="A19" s="3329"/>
      <c r="B19" s="3330"/>
      <c r="C19" s="3331"/>
      <c r="D19" s="3331" t="s">
        <v>3254</v>
      </c>
      <c r="E19" s="3332"/>
      <c r="F19" s="3333" t="s">
        <v>3257</v>
      </c>
      <c r="G19" s="3332"/>
      <c r="H19" s="3331"/>
      <c r="I19" s="3331"/>
      <c r="J19" s="3334"/>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5"/>
      <c r="AH19" s="2137"/>
      <c r="AI19" s="2786"/>
      <c r="AJ19" s="2786"/>
      <c r="AK19" s="2053"/>
    </row>
    <row r="20" spans="1:37" s="2010" customFormat="1" ht="14.25">
      <c r="A20" s="3793" t="s">
        <v>3259</v>
      </c>
      <c r="B20" s="167" t="s">
        <v>1992</v>
      </c>
      <c r="C20" s="3319" t="e">
        <f>ROUND(IF(F21="与级别开发程度一致",0,(G21-E21)/C21),0)</f>
        <v>#DIV/0!</v>
      </c>
      <c r="D20" s="3335" t="s">
        <v>1996</v>
      </c>
      <c r="E20" s="3336"/>
      <c r="F20" s="3799" t="s">
        <v>1993</v>
      </c>
      <c r="G20" s="3800"/>
      <c r="H20" s="3320"/>
      <c r="I20" s="3320"/>
      <c r="J20" s="3321"/>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0" customFormat="1" ht="15" thickBot="1">
      <c r="A21" s="3794"/>
      <c r="B21" s="2160" t="s">
        <v>1995</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0" customFormat="1" ht="15.75" thickBot="1">
      <c r="A22" s="2154" t="s">
        <v>363</v>
      </c>
      <c r="B22" s="2155" t="s">
        <v>1998</v>
      </c>
      <c r="C22" s="2156">
        <f>SUMIF(修正!C20:C51,E3,修正!E20:E51)</f>
        <v>0</v>
      </c>
      <c r="D22" s="2157"/>
      <c r="E22" s="2158"/>
      <c r="F22" s="2158"/>
      <c r="G22" s="2158"/>
      <c r="H22" s="2158"/>
      <c r="I22" s="2158"/>
      <c r="J22" s="2159"/>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46" t="s">
        <v>364</v>
      </c>
      <c r="B23" s="2047"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2000</v>
      </c>
      <c r="E23" s="761">
        <v>44197</v>
      </c>
      <c r="F23" s="2050" t="s">
        <v>2001</v>
      </c>
      <c r="G23" s="762">
        <f>'数据-取费表'!B2</f>
        <v>45035</v>
      </c>
      <c r="H23" s="3337" t="s">
        <v>3261</v>
      </c>
      <c r="I23" s="3338" t="str">
        <f>IF(H23="季度增幅（自定义）",SUMIF(N25:N28,E2,O25:O28),"")</f>
        <v/>
      </c>
      <c r="J23" s="3440" t="s">
        <v>3260</v>
      </c>
      <c r="K23" s="1125"/>
      <c r="L23" s="2051" t="s">
        <v>2002</v>
      </c>
      <c r="M23" s="1327">
        <f>ROUND(SUMIF(地价!B2:G2,E2,地价!B16:G16),0)</f>
        <v>0</v>
      </c>
      <c r="N23" s="2052" t="s">
        <v>2003</v>
      </c>
      <c r="O23" s="763">
        <f>ROUNDDOWN(DATEDIF(E23,G23,"M")/3,0)</f>
        <v>9</v>
      </c>
      <c r="P23" s="1122"/>
      <c r="Q23" s="2782"/>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2004</v>
      </c>
      <c r="C24" s="764" t="e">
        <f>ROUND(POWER(1+G24,J24-I24)*(POWER(1+G24,I24)-1)/(POWER(1+G24,J24)-1),4)</f>
        <v>#DIV/0!</v>
      </c>
      <c r="D24" s="2056" t="s">
        <v>2005</v>
      </c>
      <c r="E24" s="1334">
        <f>存贷款利率!E22/100</f>
        <v>4.3499999999999997E-2</v>
      </c>
      <c r="F24" s="2056" t="s">
        <v>1997</v>
      </c>
      <c r="G24" s="768">
        <f>SUMIF(M30:Q30,E2,M33:Q33)</f>
        <v>0</v>
      </c>
      <c r="H24" s="2056" t="s">
        <v>2006</v>
      </c>
      <c r="I24" s="769" t="e">
        <f>SUMIF('数据-取费表'!C6:C15,E2,'数据-取费表'!F6:F15)/COUNTIF('数据-取费表'!C6:C15,E2)</f>
        <v>#DIV/0!</v>
      </c>
      <c r="J24" s="770">
        <f>IF(E2="住宅",70,IF(E2="商业",40,50))</f>
        <v>50</v>
      </c>
      <c r="K24" s="1125"/>
      <c r="L24" s="2057" t="s">
        <v>2007</v>
      </c>
      <c r="M24" s="1328">
        <f>ROUND(SUMPRODUCT((地价!A4:A16=YEAR(G23)&amp;"-"&amp;ROUNDUP(MONTH(G23)/3,0))*(地价!B2:G2=E2)*(地价!B4:G16)),0)</f>
        <v>0</v>
      </c>
      <c r="N24" s="2058" t="s">
        <v>2008</v>
      </c>
      <c r="O24" s="2059" t="s">
        <v>2009</v>
      </c>
      <c r="P24" s="2060" t="s">
        <v>2010</v>
      </c>
      <c r="Q24" s="1993"/>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1" t="s">
        <v>366</v>
      </c>
      <c r="B25" s="2062" t="s">
        <v>3340</v>
      </c>
      <c r="C25" s="771">
        <f>IF(B25="容积率修正",IF(G3&lt;10,D26,J26),C27)</f>
        <v>0</v>
      </c>
      <c r="D25" s="2063"/>
      <c r="E25" s="2063"/>
      <c r="F25" s="2063"/>
      <c r="G25" s="2063"/>
      <c r="H25" s="2063"/>
      <c r="I25" s="2063"/>
      <c r="J25" s="2064"/>
      <c r="K25" s="1125"/>
      <c r="L25" s="2782"/>
      <c r="M25" s="2782"/>
      <c r="N25" s="2065" t="s">
        <v>2011</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2012</v>
      </c>
      <c r="B26" s="2066" t="s">
        <v>2013</v>
      </c>
      <c r="C26" s="3339" t="s">
        <v>3262</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3263</v>
      </c>
      <c r="J26" s="772" t="str">
        <f>IF(G3&gt;=10,D115,"——")</f>
        <v>——</v>
      </c>
      <c r="K26" s="1125"/>
      <c r="L26" s="2782"/>
      <c r="M26" s="2782"/>
      <c r="N26" s="2065" t="s">
        <v>2014</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2015</v>
      </c>
      <c r="B27" s="2067" t="s">
        <v>2016</v>
      </c>
      <c r="C27" s="841">
        <f>ROUND(IF(I3&lt;6,SUMPRODUCT((B106:B110=I3)*(C105:N105=G2)*(C106:N110)),SUMIF(C105:N105,G2,C112:N112)),4)</f>
        <v>0</v>
      </c>
      <c r="D27" s="2042"/>
      <c r="E27" s="2042"/>
      <c r="F27" s="2068"/>
      <c r="G27" s="2069"/>
      <c r="H27" s="2070"/>
      <c r="I27" s="2071"/>
      <c r="J27" s="2072"/>
      <c r="K27" s="1119"/>
      <c r="L27" s="1993"/>
      <c r="M27" s="1993"/>
      <c r="N27" s="2065" t="s">
        <v>2017</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2018</v>
      </c>
      <c r="C28" s="760">
        <f>SUMIF(A47:A101,E2,B47:B101)</f>
        <v>0</v>
      </c>
      <c r="D28" s="2048"/>
      <c r="E28" s="2073"/>
      <c r="F28" s="2073"/>
      <c r="G28" s="2073"/>
      <c r="H28" s="2073"/>
      <c r="I28" s="2073"/>
      <c r="J28" s="2074"/>
      <c r="K28" s="1125"/>
      <c r="L28" s="2782"/>
      <c r="M28" s="2782"/>
      <c r="N28" s="2075"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2020</v>
      </c>
      <c r="C29" s="765"/>
      <c r="D29" s="2020"/>
      <c r="E29" s="2020"/>
      <c r="F29" s="2077"/>
      <c r="G29" s="2020"/>
      <c r="H29" s="2020"/>
      <c r="I29" s="2020"/>
      <c r="J29" s="2021"/>
      <c r="K29" s="1119"/>
      <c r="L29" s="1993"/>
      <c r="M29" s="1993"/>
      <c r="N29" s="2779" t="s">
        <v>2021</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2022</v>
      </c>
      <c r="C30" s="2317" t="e">
        <f>IF(B25="容积率修正",E33+SUM(E37:E42),SUM(V2:V16)+SUM(E37:E42))</f>
        <v>#DIV/0!</v>
      </c>
      <c r="D30" s="2079"/>
      <c r="E30" s="2042"/>
      <c r="F30" s="2080"/>
      <c r="G30" s="2042"/>
      <c r="H30" s="2042"/>
      <c r="I30" s="2042"/>
      <c r="J30" s="2081"/>
      <c r="K30" s="1119"/>
      <c r="L30" s="3345" t="s">
        <v>1934</v>
      </c>
      <c r="M30" s="3346" t="s">
        <v>1988</v>
      </c>
      <c r="N30" s="3346" t="s">
        <v>1989</v>
      </c>
      <c r="O30" s="3346" t="s">
        <v>1990</v>
      </c>
      <c r="P30" s="3346" t="s">
        <v>1991</v>
      </c>
      <c r="Q30" s="3349" t="s">
        <v>3267</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2023</v>
      </c>
      <c r="C31" s="766" t="e">
        <f>E34+SUM(I37:I42)</f>
        <v>#DIV/0!</v>
      </c>
      <c r="D31" s="2083"/>
      <c r="E31" s="2084"/>
      <c r="F31" s="2085"/>
      <c r="G31" s="2084"/>
      <c r="H31" s="2084"/>
      <c r="I31" s="2084"/>
      <c r="J31" s="2086"/>
      <c r="K31" s="1119"/>
      <c r="L31" s="3347" t="s">
        <v>1994</v>
      </c>
      <c r="M31" s="1996">
        <v>0.25</v>
      </c>
      <c r="N31" s="1996">
        <v>0.2</v>
      </c>
      <c r="O31" s="1996">
        <v>0.15</v>
      </c>
      <c r="P31" s="1996">
        <v>0.1</v>
      </c>
      <c r="Q31" s="3342">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9"/>
      <c r="L32" s="3348" t="s">
        <v>1997</v>
      </c>
      <c r="M32" s="2564">
        <f>ROUND($E$24*(1+M31),3)</f>
        <v>5.3999999999999999E-2</v>
      </c>
      <c r="N32" s="2564">
        <f>ROUND($E$24*(1+N31),3)</f>
        <v>5.1999999999999998E-2</v>
      </c>
      <c r="O32" s="2564">
        <f>ROUND($E$24*(1+O31),3)</f>
        <v>0.05</v>
      </c>
      <c r="P32" s="2564">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2028</v>
      </c>
      <c r="C33" s="175" t="e">
        <f>ROUND(C5*C22*C23*C24*C25*C28,0)</f>
        <v>#DIV/0!</v>
      </c>
      <c r="D33" s="2094"/>
      <c r="E33" s="773" t="e">
        <f>ROUND(C33*D33/10000,0)</f>
        <v>#DIV/0!</v>
      </c>
      <c r="F33" s="3340" t="s">
        <v>3265</v>
      </c>
      <c r="G33" s="2095"/>
      <c r="H33" s="2095"/>
      <c r="I33" s="2095"/>
      <c r="J33" s="2096"/>
      <c r="K33" s="1119"/>
      <c r="L33" s="3343" t="s">
        <v>3268</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2029</v>
      </c>
      <c r="C34" s="187" t="e">
        <f>ROUND(IF(E2="工业",C33*M42,IF(B25="楼层修正",SUM(V2:V16)*M41*10000/D34,C33*M41)),0)</f>
        <v>#DIV/0!</v>
      </c>
      <c r="D34" s="2099"/>
      <c r="E34" s="773" t="e">
        <f>ROUND(IF(B25="楼层修正",SUM(V2:V16)*M40,C34*D34/10000),0)</f>
        <v>#DIV/0!</v>
      </c>
      <c r="F34" s="2100" t="s">
        <v>2030</v>
      </c>
      <c r="G34" s="2101"/>
      <c r="H34" s="2101"/>
      <c r="I34" s="2101"/>
      <c r="J34" s="2102"/>
      <c r="K34" s="1119"/>
      <c r="L34" s="3343" t="s">
        <v>3269</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2031</v>
      </c>
      <c r="C35" s="3341" t="s">
        <v>3266</v>
      </c>
      <c r="D35" s="2033"/>
      <c r="E35" s="2105"/>
      <c r="F35" s="2105"/>
      <c r="G35" s="2031" t="s">
        <v>2032</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2025</v>
      </c>
      <c r="D36" s="447" t="s">
        <v>2026</v>
      </c>
      <c r="E36" s="447" t="s">
        <v>2027</v>
      </c>
      <c r="F36" s="342" t="s">
        <v>2033</v>
      </c>
      <c r="G36" s="2108" t="s">
        <v>2025</v>
      </c>
      <c r="H36" s="2108" t="s">
        <v>2026</v>
      </c>
      <c r="I36" s="2108" t="s">
        <v>2027</v>
      </c>
      <c r="J36" s="243"/>
      <c r="K36" s="3351" t="s">
        <v>3270</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97"/>
      <c r="B37" s="2109" t="s">
        <v>2034</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6"/>
      <c r="K37" s="3353" t="s">
        <v>3271</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98"/>
      <c r="B38" s="2037" t="s">
        <v>2035</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98"/>
      <c r="B39" s="2037" t="s">
        <v>3264</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2036</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2037</v>
      </c>
      <c r="M40" s="2113"/>
      <c r="Z40" s="1120"/>
      <c r="AA40" s="1120"/>
      <c r="AB40" s="1120"/>
      <c r="AC40" s="1120"/>
      <c r="AD40" s="1120"/>
      <c r="AE40" s="1120"/>
      <c r="AF40" s="1120"/>
      <c r="AG40" s="1120"/>
      <c r="AH40" s="1120"/>
      <c r="AI40" s="1120"/>
      <c r="AJ40" s="1120"/>
    </row>
    <row r="41" spans="1:37" s="1119" customFormat="1">
      <c r="A41" s="2111"/>
      <c r="B41" s="2037" t="s">
        <v>2038</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4" t="s">
        <v>3272</v>
      </c>
      <c r="M41" s="2114">
        <v>0.25</v>
      </c>
      <c r="Z41" s="1120"/>
      <c r="AA41" s="1120"/>
      <c r="AB41" s="1120"/>
      <c r="AC41" s="1120"/>
      <c r="AD41" s="1120"/>
      <c r="AE41" s="1120"/>
      <c r="AF41" s="1120"/>
      <c r="AG41" s="1120"/>
      <c r="AH41" s="1120"/>
      <c r="AI41" s="1120"/>
      <c r="AJ41" s="1120"/>
    </row>
    <row r="42" spans="1:37" s="1119" customFormat="1" ht="13.5" thickBot="1">
      <c r="A42" s="2097"/>
      <c r="B42" s="2115" t="s">
        <v>2039</v>
      </c>
      <c r="C42" s="187" t="e">
        <f>ROUND(D5*C22*C23*C44*C28*F42,0)</f>
        <v>#DIV/0!</v>
      </c>
      <c r="D42" s="2099"/>
      <c r="E42" s="187" t="e">
        <f t="shared" si="4"/>
        <v>#DIV/0!</v>
      </c>
      <c r="F42" s="767">
        <f>SUMIF(修正!A57:A68,G2,修正!G57:G68)</f>
        <v>0</v>
      </c>
      <c r="G42" s="187" t="e">
        <f>ROUND(IF(E2="工业",C42*$M$42,C42*$M$41),0)</f>
        <v>#DIV/0!</v>
      </c>
      <c r="H42" s="187">
        <f t="shared" si="5"/>
        <v>0</v>
      </c>
      <c r="I42" s="187" t="e">
        <f t="shared" si="6"/>
        <v>#DIV/0!</v>
      </c>
      <c r="J42" s="2116"/>
      <c r="L42" s="2117" t="s">
        <v>1991</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2120</v>
      </c>
      <c r="C44" s="342" t="e">
        <f>ROUND(POWER(1+E44,H44-G44)*(POWER(1+E44,G44)-1)/(POWER(1+E44,H44)-1),4)</f>
        <v>#DIV/0!</v>
      </c>
      <c r="D44" s="171" t="s">
        <v>1997</v>
      </c>
      <c r="E44" s="2149">
        <f>G24</f>
        <v>0</v>
      </c>
      <c r="F44" s="171" t="s">
        <v>2006</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2040</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2" t="s">
        <v>2041</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6" t="s">
        <v>2042</v>
      </c>
      <c r="B49" s="1350" t="s">
        <v>2043</v>
      </c>
      <c r="C49" s="1350" t="s">
        <v>2044</v>
      </c>
      <c r="D49" s="1350" t="s">
        <v>2045</v>
      </c>
      <c r="E49" s="743" t="s">
        <v>2046</v>
      </c>
      <c r="F49" s="2127" t="s">
        <v>2047</v>
      </c>
      <c r="G49" s="1350" t="s">
        <v>310</v>
      </c>
      <c r="H49" s="2128" t="s">
        <v>2048</v>
      </c>
      <c r="I49" s="1350" t="s">
        <v>2049</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26" t="s">
        <v>2050</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6" t="s">
        <v>2051</v>
      </c>
      <c r="B51" s="2130" t="str">
        <f>估价对象房地状况!C18</f>
        <v>估价对象周边道路状况、公共交通通达情况、停车便捷程度，综合评价交通便捷度较好</v>
      </c>
      <c r="C51" s="2040"/>
      <c r="D51" s="1065">
        <f t="shared" si="7"/>
        <v>0</v>
      </c>
      <c r="E51" s="745"/>
      <c r="F51" s="1813"/>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3274</v>
      </c>
      <c r="B52" s="2130">
        <f>估价对象房地状况!C19</f>
        <v>0</v>
      </c>
      <c r="C52" s="2040"/>
      <c r="D52" s="1065">
        <f t="shared" si="7"/>
        <v>0</v>
      </c>
      <c r="E52" s="745"/>
      <c r="F52" s="1813"/>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6" t="s">
        <v>2052</v>
      </c>
      <c r="B53" s="2131" t="s">
        <v>2053</v>
      </c>
      <c r="C53" s="2040"/>
      <c r="D53" s="1065">
        <f t="shared" si="7"/>
        <v>0</v>
      </c>
      <c r="E53" s="745"/>
      <c r="F53" s="1813"/>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6" t="s">
        <v>2054</v>
      </c>
      <c r="B54" s="2130">
        <f>估价对象房地状况!C24</f>
        <v>0</v>
      </c>
      <c r="C54" s="2040"/>
      <c r="D54" s="1065">
        <f t="shared" si="7"/>
        <v>0</v>
      </c>
      <c r="E54" s="745"/>
      <c r="F54" s="1813"/>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6" t="s">
        <v>2055</v>
      </c>
      <c r="B55" s="2132" t="s">
        <v>2056</v>
      </c>
      <c r="C55" s="2040"/>
      <c r="D55" s="1065">
        <f t="shared" si="7"/>
        <v>0</v>
      </c>
      <c r="E55" s="745"/>
      <c r="F55" s="1813"/>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3" t="s">
        <v>2057</v>
      </c>
      <c r="B56" s="1325" t="str">
        <f>估价对象房地状况!C21</f>
        <v>估价对象所在区域公共配套设施齐备情况</v>
      </c>
      <c r="C56" s="2040"/>
      <c r="D56" s="1065">
        <f t="shared" si="7"/>
        <v>0</v>
      </c>
      <c r="E56" s="745"/>
      <c r="F56" s="1813"/>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3" t="s">
        <v>2058</v>
      </c>
      <c r="B57" s="2130" t="str">
        <f>估价对象房地状况!C22</f>
        <v>估价对象所在区域基础设施水平</v>
      </c>
      <c r="C57" s="2040"/>
      <c r="D57" s="1065">
        <f t="shared" si="7"/>
        <v>0</v>
      </c>
      <c r="E57" s="745"/>
      <c r="F57" s="1813"/>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4" t="s">
        <v>2059</v>
      </c>
      <c r="B58" s="2135" t="str">
        <f>估价对象房地状况!C20</f>
        <v>区域自然环境：；人文环境；综合评价环境状况一般</v>
      </c>
      <c r="C58" s="2040"/>
      <c r="D58" s="1065">
        <f t="shared" si="7"/>
        <v>0</v>
      </c>
      <c r="E58" s="746"/>
      <c r="F58" s="1813"/>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2" t="s">
        <v>2060</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6" t="s">
        <v>2042</v>
      </c>
      <c r="B60" s="1350"/>
      <c r="C60" s="1350" t="s">
        <v>2044</v>
      </c>
      <c r="D60" s="1350" t="s">
        <v>2045</v>
      </c>
      <c r="E60" s="743" t="s">
        <v>2046</v>
      </c>
      <c r="F60" s="2127" t="s">
        <v>2061</v>
      </c>
      <c r="G60" s="1350" t="s">
        <v>310</v>
      </c>
      <c r="H60" s="2128" t="s">
        <v>2048</v>
      </c>
      <c r="I60" s="1350" t="s">
        <v>2049</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26" t="s">
        <v>2062</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6" t="s">
        <v>2051</v>
      </c>
      <c r="B62" s="2130" t="str">
        <f>估价对象房地状况!C18</f>
        <v>估价对象周边道路状况、公共交通通达情况、停车便捷程度，综合评价交通便捷度较好</v>
      </c>
      <c r="C62" s="2040"/>
      <c r="D62" s="1065">
        <f t="shared" si="12"/>
        <v>0</v>
      </c>
      <c r="E62" s="745"/>
      <c r="F62" s="1813"/>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3274</v>
      </c>
      <c r="B63" s="2130">
        <f>估价对象房地状况!C19</f>
        <v>0</v>
      </c>
      <c r="C63" s="2040"/>
      <c r="D63" s="1065">
        <f t="shared" si="12"/>
        <v>0</v>
      </c>
      <c r="E63" s="745"/>
      <c r="F63" s="1813"/>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6" t="s">
        <v>2052</v>
      </c>
      <c r="B64" s="2131" t="s">
        <v>2053</v>
      </c>
      <c r="C64" s="2040"/>
      <c r="D64" s="1065">
        <f t="shared" si="12"/>
        <v>0</v>
      </c>
      <c r="E64" s="745"/>
      <c r="F64" s="1813"/>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6" t="s">
        <v>2054</v>
      </c>
      <c r="B65" s="2130">
        <f>估价对象房地状况!C24</f>
        <v>0</v>
      </c>
      <c r="C65" s="2040"/>
      <c r="D65" s="1065">
        <f t="shared" si="12"/>
        <v>0</v>
      </c>
      <c r="E65" s="745"/>
      <c r="F65" s="1813"/>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6" t="s">
        <v>2055</v>
      </c>
      <c r="B66" s="2132" t="s">
        <v>2056</v>
      </c>
      <c r="C66" s="2040"/>
      <c r="D66" s="1065">
        <f t="shared" si="12"/>
        <v>0</v>
      </c>
      <c r="E66" s="745"/>
      <c r="F66" s="1813"/>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6" t="s">
        <v>2057</v>
      </c>
      <c r="B67" s="1325" t="str">
        <f>估价对象房地状况!C21</f>
        <v>估价对象所在区域公共配套设施齐备情况</v>
      </c>
      <c r="C67" s="2040"/>
      <c r="D67" s="1065">
        <f t="shared" si="12"/>
        <v>0</v>
      </c>
      <c r="E67" s="745"/>
      <c r="F67" s="1813"/>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6" t="s">
        <v>2058</v>
      </c>
      <c r="B68" s="1325" t="str">
        <f>估价对象房地状况!C22</f>
        <v>估价对象所在区域基础设施水平</v>
      </c>
      <c r="C68" s="2040"/>
      <c r="D68" s="1065">
        <f t="shared" si="12"/>
        <v>0</v>
      </c>
      <c r="E68" s="745"/>
      <c r="F68" s="1813"/>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4" t="s">
        <v>2059</v>
      </c>
      <c r="B69" s="2136" t="str">
        <f>估价对象房地状况!C20</f>
        <v>区域自然环境：；人文环境；综合评价环境状况一般</v>
      </c>
      <c r="C69" s="2040"/>
      <c r="D69" s="1065">
        <f t="shared" si="12"/>
        <v>0</v>
      </c>
      <c r="E69" s="746"/>
      <c r="F69" s="1813"/>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2063</v>
      </c>
      <c r="B70" s="2123">
        <f>1+E72</f>
        <v>1</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2042</v>
      </c>
      <c r="B71" s="1350"/>
      <c r="C71" s="1350" t="s">
        <v>2044</v>
      </c>
      <c r="D71" s="1350" t="s">
        <v>2045</v>
      </c>
      <c r="E71" s="743" t="s">
        <v>2046</v>
      </c>
      <c r="F71" s="2127" t="s">
        <v>2061</v>
      </c>
      <c r="G71" s="1350" t="s">
        <v>310</v>
      </c>
      <c r="H71" s="2128" t="s">
        <v>2048</v>
      </c>
      <c r="I71" s="1350" t="s">
        <v>2049</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26" t="s">
        <v>2064</v>
      </c>
      <c r="B72" s="2129" t="str">
        <f>估价对象房地状况!C15</f>
        <v>估价对象周边居住用地比例、居住小区规模和社区发展完善程度，综合评价居住社区成熟度一般</v>
      </c>
      <c r="C72" s="2040"/>
      <c r="D72" s="1065">
        <f t="shared" ref="D72:D80" si="17">SUMIF($J$71:$N$71,C72,J72:N72)</f>
        <v>0</v>
      </c>
      <c r="E72" s="744">
        <f>ROUND(SUM(D72:D80),4)</f>
        <v>0</v>
      </c>
      <c r="F72" s="1813"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6" t="s">
        <v>2051</v>
      </c>
      <c r="B73" s="2130" t="str">
        <f>估价对象房地状况!C18</f>
        <v>估价对象周边道路状况、公共交通通达情况、停车便捷程度，综合评价交通便捷度较好</v>
      </c>
      <c r="C73" s="2040"/>
      <c r="D73" s="1065">
        <f t="shared" si="17"/>
        <v>0</v>
      </c>
      <c r="E73" s="747"/>
      <c r="F73" s="1813"/>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3" customFormat="1" ht="36">
      <c r="A74" s="3363" t="s">
        <v>3274</v>
      </c>
      <c r="B74" s="2130">
        <f>估价对象房地状况!C19</f>
        <v>0</v>
      </c>
      <c r="C74" s="2040"/>
      <c r="D74" s="1065">
        <f t="shared" si="17"/>
        <v>0</v>
      </c>
      <c r="E74" s="747"/>
      <c r="F74" s="1813"/>
      <c r="G74" s="1063"/>
      <c r="H74" s="1066" t="str">
        <f t="shared" si="18"/>
        <v>——</v>
      </c>
      <c r="I74" s="3361">
        <v>0.1</v>
      </c>
      <c r="J74" s="1064">
        <f t="shared" si="19"/>
        <v>0</v>
      </c>
      <c r="K74" s="1064">
        <f t="shared" si="20"/>
        <v>0</v>
      </c>
      <c r="L74" s="1064">
        <v>0</v>
      </c>
      <c r="M74" s="1064">
        <f t="shared" si="21"/>
        <v>0</v>
      </c>
      <c r="N74" s="1064">
        <f t="shared" si="21"/>
        <v>0</v>
      </c>
      <c r="O74" s="1119"/>
      <c r="P74" s="1119"/>
      <c r="Q74" s="1119"/>
      <c r="AA74" s="2137"/>
      <c r="AB74" s="1120"/>
      <c r="AC74" s="1120"/>
      <c r="AD74" s="1120"/>
      <c r="AE74" s="1120"/>
      <c r="AF74" s="1120"/>
      <c r="AG74" s="1120"/>
      <c r="AH74" s="2137"/>
      <c r="AI74" s="2137"/>
      <c r="AJ74" s="2137"/>
      <c r="AK74" s="2137"/>
    </row>
    <row r="75" spans="1:37" ht="14.25">
      <c r="A75" s="2126" t="s">
        <v>2065</v>
      </c>
      <c r="B75" s="2130">
        <f>估价对象房地状况!C24</f>
        <v>0</v>
      </c>
      <c r="C75" s="2040"/>
      <c r="D75" s="1065">
        <f t="shared" si="17"/>
        <v>0</v>
      </c>
      <c r="E75" s="747"/>
      <c r="F75" s="1813"/>
      <c r="G75" s="1063"/>
      <c r="H75" s="1066" t="str">
        <f t="shared" si="18"/>
        <v>——</v>
      </c>
      <c r="I75" s="3361">
        <v>0.05</v>
      </c>
      <c r="J75" s="1064">
        <f t="shared" si="19"/>
        <v>0</v>
      </c>
      <c r="K75" s="1064">
        <f t="shared" si="20"/>
        <v>0</v>
      </c>
      <c r="L75" s="1064">
        <v>0</v>
      </c>
      <c r="M75" s="1064">
        <f t="shared" si="21"/>
        <v>0</v>
      </c>
      <c r="N75" s="1064">
        <f t="shared" si="21"/>
        <v>0</v>
      </c>
      <c r="O75" s="1119"/>
      <c r="P75" s="1119"/>
      <c r="Q75" s="1993"/>
      <c r="Z75" s="1994"/>
      <c r="AA75" s="2049"/>
      <c r="AG75" s="1121"/>
      <c r="AK75" s="2049"/>
    </row>
    <row r="76" spans="1:37" ht="25.5">
      <c r="A76" s="2126" t="s">
        <v>2057</v>
      </c>
      <c r="B76" s="1325" t="str">
        <f>估价对象房地状况!C21</f>
        <v>估价对象所在区域公共配套设施齐备情况</v>
      </c>
      <c r="C76" s="2040"/>
      <c r="D76" s="1065">
        <f t="shared" si="17"/>
        <v>0</v>
      </c>
      <c r="E76" s="747"/>
      <c r="F76" s="1813"/>
      <c r="G76" s="1063"/>
      <c r="H76" s="1066" t="str">
        <f t="shared" si="18"/>
        <v>——</v>
      </c>
      <c r="I76" s="3361">
        <v>0.08</v>
      </c>
      <c r="J76" s="1064">
        <f t="shared" si="19"/>
        <v>0</v>
      </c>
      <c r="K76" s="1064">
        <f t="shared" si="20"/>
        <v>0</v>
      </c>
      <c r="L76" s="1064">
        <v>0</v>
      </c>
      <c r="M76" s="1064">
        <f t="shared" si="21"/>
        <v>0</v>
      </c>
      <c r="N76" s="1064">
        <f t="shared" si="21"/>
        <v>0</v>
      </c>
      <c r="O76" s="1119"/>
      <c r="P76" s="1119"/>
      <c r="Z76" s="1994"/>
      <c r="AA76" s="2049"/>
      <c r="AG76" s="1121"/>
      <c r="AK76" s="2049"/>
    </row>
    <row r="77" spans="1:37" ht="25.5">
      <c r="A77" s="2126" t="s">
        <v>2058</v>
      </c>
      <c r="B77" s="1325" t="str">
        <f>估价对象房地状况!C22</f>
        <v>估价对象所在区域基础设施水平</v>
      </c>
      <c r="C77" s="2040"/>
      <c r="D77" s="1065">
        <f t="shared" si="17"/>
        <v>0</v>
      </c>
      <c r="E77" s="747"/>
      <c r="F77" s="1813"/>
      <c r="G77" s="1063"/>
      <c r="H77" s="1066" t="str">
        <f t="shared" si="18"/>
        <v>——</v>
      </c>
      <c r="I77" s="3361">
        <v>0.09</v>
      </c>
      <c r="J77" s="1064">
        <f t="shared" si="19"/>
        <v>0</v>
      </c>
      <c r="K77" s="1064">
        <f t="shared" si="20"/>
        <v>0</v>
      </c>
      <c r="L77" s="1064">
        <v>0</v>
      </c>
      <c r="M77" s="1064">
        <f t="shared" si="21"/>
        <v>0</v>
      </c>
      <c r="N77" s="1064">
        <f t="shared" si="21"/>
        <v>0</v>
      </c>
      <c r="O77" s="1119"/>
      <c r="P77" s="1119"/>
      <c r="Z77" s="1994"/>
      <c r="AA77" s="2049"/>
      <c r="AG77" s="1121"/>
      <c r="AK77" s="2049"/>
    </row>
    <row r="78" spans="1:37" ht="24">
      <c r="A78" s="2126" t="s">
        <v>2055</v>
      </c>
      <c r="B78" s="2132" t="s">
        <v>2056</v>
      </c>
      <c r="C78" s="2040"/>
      <c r="D78" s="1065">
        <f t="shared" si="17"/>
        <v>0</v>
      </c>
      <c r="E78" s="747"/>
      <c r="F78" s="1813"/>
      <c r="G78" s="1063"/>
      <c r="H78" s="1066" t="str">
        <f t="shared" si="18"/>
        <v>——</v>
      </c>
      <c r="I78" s="3361">
        <v>0.05</v>
      </c>
      <c r="J78" s="1064">
        <f t="shared" si="19"/>
        <v>0</v>
      </c>
      <c r="K78" s="1064">
        <f t="shared" si="20"/>
        <v>0</v>
      </c>
      <c r="L78" s="1064">
        <v>0</v>
      </c>
      <c r="M78" s="1064">
        <f t="shared" si="21"/>
        <v>0</v>
      </c>
      <c r="N78" s="1064">
        <f t="shared" si="21"/>
        <v>0</v>
      </c>
      <c r="O78" s="1993"/>
      <c r="P78" s="1993"/>
      <c r="Z78" s="1994"/>
      <c r="AA78" s="2049"/>
      <c r="AG78" s="1121"/>
      <c r="AK78" s="2049"/>
    </row>
    <row r="79" spans="1:37" ht="25.5">
      <c r="A79" s="2126" t="s">
        <v>2059</v>
      </c>
      <c r="B79" s="2129" t="str">
        <f>估价对象房地状况!C20</f>
        <v>区域自然环境：；人文环境；综合评价环境状况一般</v>
      </c>
      <c r="C79" s="2040"/>
      <c r="D79" s="1065">
        <f t="shared" si="17"/>
        <v>0</v>
      </c>
      <c r="E79" s="747"/>
      <c r="F79" s="1813"/>
      <c r="G79" s="1063"/>
      <c r="H79" s="1066" t="str">
        <f t="shared" si="18"/>
        <v>——</v>
      </c>
      <c r="I79" s="3361">
        <v>0.12</v>
      </c>
      <c r="J79" s="1064">
        <f t="shared" si="19"/>
        <v>0</v>
      </c>
      <c r="K79" s="1064">
        <f t="shared" si="20"/>
        <v>0</v>
      </c>
      <c r="L79" s="1064">
        <v>0</v>
      </c>
      <c r="M79" s="1064">
        <f t="shared" si="21"/>
        <v>0</v>
      </c>
      <c r="N79" s="1064">
        <f t="shared" si="21"/>
        <v>0</v>
      </c>
      <c r="Z79" s="1994"/>
      <c r="AA79" s="2049"/>
      <c r="AG79" s="1121"/>
      <c r="AK79" s="2049"/>
    </row>
    <row r="80" spans="1:37" ht="24.75" thickBot="1">
      <c r="A80" s="2134" t="s">
        <v>2066</v>
      </c>
      <c r="B80" s="2138"/>
      <c r="C80" s="2040"/>
      <c r="D80" s="1065">
        <f t="shared" si="17"/>
        <v>0</v>
      </c>
      <c r="E80" s="748"/>
      <c r="F80" s="1813"/>
      <c r="G80" s="1063"/>
      <c r="H80" s="1066" t="str">
        <f t="shared" si="18"/>
        <v>——</v>
      </c>
      <c r="I80" s="3362">
        <v>0.05</v>
      </c>
      <c r="J80" s="1064">
        <f t="shared" si="19"/>
        <v>0</v>
      </c>
      <c r="K80" s="1064">
        <f t="shared" si="20"/>
        <v>0</v>
      </c>
      <c r="L80" s="1064">
        <v>0</v>
      </c>
      <c r="M80" s="1064">
        <f t="shared" si="21"/>
        <v>0</v>
      </c>
      <c r="N80" s="1064">
        <f t="shared" si="21"/>
        <v>0</v>
      </c>
      <c r="Z80" s="1994"/>
      <c r="AA80" s="2049"/>
      <c r="AG80" s="1121"/>
      <c r="AK80" s="2049"/>
    </row>
    <row r="81" spans="1:37" ht="15">
      <c r="A81" s="2122" t="s">
        <v>2067</v>
      </c>
      <c r="B81" s="2123">
        <f>1+E83</f>
        <v>1</v>
      </c>
      <c r="C81" s="741"/>
      <c r="D81" s="741"/>
      <c r="E81" s="742"/>
      <c r="F81" s="2125"/>
      <c r="G81" s="3"/>
      <c r="H81" s="3"/>
      <c r="I81" s="3"/>
      <c r="J81" s="4"/>
      <c r="K81" s="4"/>
      <c r="L81" s="4"/>
      <c r="M81" s="4"/>
      <c r="N81" s="4"/>
      <c r="Z81" s="1994"/>
      <c r="AA81" s="2049"/>
      <c r="AG81" s="1121"/>
      <c r="AK81" s="2049"/>
    </row>
    <row r="82" spans="1:37" ht="24.75">
      <c r="A82" s="2126" t="s">
        <v>2042</v>
      </c>
      <c r="B82" s="1350"/>
      <c r="C82" s="1350" t="s">
        <v>2044</v>
      </c>
      <c r="D82" s="1350" t="s">
        <v>2045</v>
      </c>
      <c r="E82" s="743" t="s">
        <v>2046</v>
      </c>
      <c r="F82" s="2127" t="s">
        <v>2061</v>
      </c>
      <c r="G82" s="1350" t="s">
        <v>310</v>
      </c>
      <c r="H82" s="2128" t="s">
        <v>2048</v>
      </c>
      <c r="I82" s="1350" t="s">
        <v>2049</v>
      </c>
      <c r="J82" s="552" t="s">
        <v>1720</v>
      </c>
      <c r="K82" s="552" t="s">
        <v>1721</v>
      </c>
      <c r="L82" s="552" t="s">
        <v>1722</v>
      </c>
      <c r="M82" s="552" t="s">
        <v>1723</v>
      </c>
      <c r="N82" s="552" t="s">
        <v>1724</v>
      </c>
      <c r="Z82" s="1994"/>
      <c r="AA82" s="2049"/>
      <c r="AG82" s="1121"/>
      <c r="AK82" s="2049"/>
    </row>
    <row r="83" spans="1:37" ht="38.25">
      <c r="A83" s="2126" t="s">
        <v>2068</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2051</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1">
        <v>0.3</v>
      </c>
      <c r="J84" s="1064">
        <f t="shared" si="24"/>
        <v>0</v>
      </c>
      <c r="K84" s="1064">
        <f t="shared" si="25"/>
        <v>0</v>
      </c>
      <c r="L84" s="1064">
        <v>0</v>
      </c>
      <c r="M84" s="1064">
        <f t="shared" si="26"/>
        <v>0</v>
      </c>
      <c r="N84" s="1064">
        <f t="shared" si="26"/>
        <v>0</v>
      </c>
      <c r="Z84" s="1994"/>
      <c r="AA84" s="2049"/>
      <c r="AG84" s="1121"/>
      <c r="AK84" s="2049"/>
    </row>
    <row r="85" spans="1:37" ht="36">
      <c r="A85" s="3363" t="s">
        <v>3275</v>
      </c>
      <c r="B85" s="2130">
        <f>估价对象房地状况!G17</f>
        <v>0</v>
      </c>
      <c r="C85" s="2040"/>
      <c r="D85" s="1065">
        <f t="shared" si="22"/>
        <v>0</v>
      </c>
      <c r="E85" s="747"/>
      <c r="F85" s="1813"/>
      <c r="G85" s="1063"/>
      <c r="H85" s="1066" t="str">
        <f t="shared" si="23"/>
        <v>——</v>
      </c>
      <c r="I85" s="3361">
        <v>0.1</v>
      </c>
      <c r="J85" s="1064">
        <f t="shared" si="24"/>
        <v>0</v>
      </c>
      <c r="K85" s="1064">
        <f t="shared" si="25"/>
        <v>0</v>
      </c>
      <c r="L85" s="1064">
        <v>0</v>
      </c>
      <c r="M85" s="1064">
        <f t="shared" si="26"/>
        <v>0</v>
      </c>
      <c r="N85" s="1064">
        <f t="shared" si="26"/>
        <v>0</v>
      </c>
      <c r="Z85" s="1994"/>
      <c r="AA85" s="2049"/>
      <c r="AG85" s="1121"/>
      <c r="AK85" s="2049"/>
    </row>
    <row r="86" spans="1:37" ht="14.25">
      <c r="A86" s="2126" t="s">
        <v>2065</v>
      </c>
      <c r="B86" s="2130">
        <f>估价对象房地状况!G22</f>
        <v>0</v>
      </c>
      <c r="C86" s="2040"/>
      <c r="D86" s="1065">
        <f t="shared" si="22"/>
        <v>0</v>
      </c>
      <c r="E86" s="747"/>
      <c r="F86" s="1813"/>
      <c r="G86" s="1063"/>
      <c r="H86" s="1066" t="str">
        <f t="shared" si="23"/>
        <v>——</v>
      </c>
      <c r="I86" s="3361">
        <v>0.05</v>
      </c>
      <c r="J86" s="1064">
        <f t="shared" si="24"/>
        <v>0</v>
      </c>
      <c r="K86" s="1064">
        <f t="shared" si="25"/>
        <v>0</v>
      </c>
      <c r="L86" s="1064">
        <v>0</v>
      </c>
      <c r="M86" s="1064">
        <f t="shared" si="26"/>
        <v>0</v>
      </c>
      <c r="N86" s="1064">
        <f t="shared" si="26"/>
        <v>0</v>
      </c>
      <c r="Z86" s="1994"/>
      <c r="AA86" s="2049"/>
      <c r="AG86" s="1121"/>
      <c r="AK86" s="2049"/>
    </row>
    <row r="87" spans="1:37" ht="25.5">
      <c r="A87" s="2126" t="s">
        <v>2057</v>
      </c>
      <c r="B87" s="1325" t="str">
        <f>估价对象房地状况!G19</f>
        <v>估价对象所在区域公共配套设施齐备情况</v>
      </c>
      <c r="C87" s="2040"/>
      <c r="D87" s="1065">
        <f t="shared" si="22"/>
        <v>0</v>
      </c>
      <c r="E87" s="747"/>
      <c r="F87" s="1813"/>
      <c r="G87" s="1063"/>
      <c r="H87" s="1066" t="str">
        <f t="shared" si="23"/>
        <v>——</v>
      </c>
      <c r="I87" s="3361">
        <v>0.06</v>
      </c>
      <c r="J87" s="1064">
        <f t="shared" si="24"/>
        <v>0</v>
      </c>
      <c r="K87" s="1064">
        <f t="shared" si="25"/>
        <v>0</v>
      </c>
      <c r="L87" s="1064">
        <v>0</v>
      </c>
      <c r="M87" s="1064">
        <f t="shared" si="26"/>
        <v>0</v>
      </c>
      <c r="N87" s="1064">
        <f t="shared" si="26"/>
        <v>0</v>
      </c>
    </row>
    <row r="88" spans="1:37" ht="25.5">
      <c r="A88" s="2126" t="s">
        <v>2058</v>
      </c>
      <c r="B88" s="1325" t="str">
        <f>估价对象房地状况!G20</f>
        <v>估价对象所在区域基础设施水平</v>
      </c>
      <c r="C88" s="2040"/>
      <c r="D88" s="1065">
        <f t="shared" si="22"/>
        <v>0</v>
      </c>
      <c r="E88" s="747"/>
      <c r="F88" s="1813"/>
      <c r="G88" s="1063"/>
      <c r="H88" s="1066" t="str">
        <f t="shared" si="23"/>
        <v>——</v>
      </c>
      <c r="I88" s="3361">
        <v>0.12</v>
      </c>
      <c r="J88" s="1064">
        <f t="shared" si="24"/>
        <v>0</v>
      </c>
      <c r="K88" s="1064">
        <f t="shared" si="25"/>
        <v>0</v>
      </c>
      <c r="L88" s="1064">
        <v>0</v>
      </c>
      <c r="M88" s="1064">
        <f t="shared" si="26"/>
        <v>0</v>
      </c>
      <c r="N88" s="1064">
        <f t="shared" si="26"/>
        <v>0</v>
      </c>
    </row>
    <row r="89" spans="1:37" ht="24">
      <c r="A89" s="2126" t="s">
        <v>2055</v>
      </c>
      <c r="B89" s="2132" t="s">
        <v>2069</v>
      </c>
      <c r="C89" s="2040"/>
      <c r="D89" s="1065">
        <f t="shared" si="22"/>
        <v>0</v>
      </c>
      <c r="E89" s="747"/>
      <c r="F89" s="1813"/>
      <c r="G89" s="1063"/>
      <c r="H89" s="1066" t="str">
        <f t="shared" si="23"/>
        <v>——</v>
      </c>
      <c r="I89" s="3361">
        <v>0.06</v>
      </c>
      <c r="J89" s="1064">
        <f t="shared" si="24"/>
        <v>0</v>
      </c>
      <c r="K89" s="1064">
        <f t="shared" si="25"/>
        <v>0</v>
      </c>
      <c r="L89" s="1064">
        <v>0</v>
      </c>
      <c r="M89" s="1064">
        <f t="shared" si="26"/>
        <v>0</v>
      </c>
      <c r="N89" s="1064">
        <f t="shared" si="26"/>
        <v>0</v>
      </c>
    </row>
    <row r="90" spans="1:37" ht="39" thickBot="1">
      <c r="A90" s="2134" t="s">
        <v>2070</v>
      </c>
      <c r="B90" s="2139" t="str">
        <f>估价对象房地状况!G18</f>
        <v>该园区内是否有污染型企业，绿化情况，卫生条件，整体环境状况判断</v>
      </c>
      <c r="C90" s="2040"/>
      <c r="D90" s="1065">
        <f t="shared" si="22"/>
        <v>0</v>
      </c>
      <c r="E90" s="748"/>
      <c r="F90" s="1813"/>
      <c r="G90" s="1063"/>
      <c r="H90" s="1066" t="str">
        <f t="shared" si="23"/>
        <v>——</v>
      </c>
      <c r="I90" s="3362">
        <v>0.05</v>
      </c>
      <c r="J90" s="1064">
        <f t="shared" si="24"/>
        <v>0</v>
      </c>
      <c r="K90" s="1064">
        <f t="shared" si="25"/>
        <v>0</v>
      </c>
      <c r="L90" s="1064">
        <v>0</v>
      </c>
      <c r="M90" s="1064">
        <f t="shared" si="26"/>
        <v>0</v>
      </c>
      <c r="N90" s="1064">
        <f t="shared" si="26"/>
        <v>0</v>
      </c>
    </row>
    <row r="91" spans="1:37" ht="15">
      <c r="A91" s="3371" t="s">
        <v>2613</v>
      </c>
      <c r="B91" s="3372">
        <f>1+E93</f>
        <v>1</v>
      </c>
      <c r="C91" s="3365"/>
      <c r="D91" s="3366"/>
      <c r="E91" s="1813"/>
      <c r="F91" s="1813"/>
      <c r="G91" s="3367"/>
      <c r="H91" s="3368"/>
      <c r="I91" s="3369"/>
      <c r="J91" s="3370"/>
      <c r="K91" s="3370"/>
      <c r="L91" s="3370"/>
      <c r="M91" s="3370"/>
      <c r="N91" s="3370"/>
    </row>
    <row r="92" spans="1:37" ht="24.75">
      <c r="A92" s="3373" t="s">
        <v>3276</v>
      </c>
      <c r="B92" s="3360"/>
      <c r="C92" s="3360" t="s">
        <v>3285</v>
      </c>
      <c r="D92" s="3360" t="s">
        <v>3286</v>
      </c>
      <c r="E92" s="3342" t="s">
        <v>3287</v>
      </c>
      <c r="F92" s="3375" t="s">
        <v>3288</v>
      </c>
      <c r="G92" s="3360" t="s">
        <v>3289</v>
      </c>
      <c r="H92" s="3382" t="s">
        <v>3292</v>
      </c>
      <c r="I92" s="3360" t="s">
        <v>3293</v>
      </c>
      <c r="J92" s="3383" t="s">
        <v>3294</v>
      </c>
      <c r="K92" s="3383" t="s">
        <v>3295</v>
      </c>
      <c r="L92" s="3383" t="s">
        <v>3296</v>
      </c>
      <c r="M92" s="3383" t="s">
        <v>3297</v>
      </c>
      <c r="N92" s="3383" t="s">
        <v>3298</v>
      </c>
    </row>
    <row r="93" spans="1:37" ht="24">
      <c r="A93" s="3363" t="s">
        <v>3277</v>
      </c>
      <c r="B93" s="1305"/>
      <c r="C93" s="2040"/>
      <c r="D93" s="3360">
        <f>SUMIF($J$92:$N$92,C93,J93:N93)</f>
        <v>0</v>
      </c>
      <c r="E93" s="3376">
        <f>ROUND(SUM(D93:D101),4)</f>
        <v>0</v>
      </c>
      <c r="F93" s="1813"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3278</v>
      </c>
      <c r="B94" s="3364" t="str">
        <f>估价对象房地状况!C18</f>
        <v>估价对象周边道路状况、公共交通通达情况、停车便捷程度，综合评价交通便捷度较好</v>
      </c>
      <c r="C94" s="2040"/>
      <c r="D94" s="3360">
        <f t="shared" ref="D94:D101" si="30">SUMIF($J$60:$N$60,C94,J94:N94)</f>
        <v>0</v>
      </c>
      <c r="E94" s="3377"/>
      <c r="F94" s="1813"/>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3274</v>
      </c>
      <c r="B95" s="3364">
        <f>估价对象房地状况!C19</f>
        <v>0</v>
      </c>
      <c r="C95" s="2040"/>
      <c r="D95" s="3360">
        <f t="shared" si="30"/>
        <v>0</v>
      </c>
      <c r="E95" s="3377"/>
      <c r="F95" s="1813"/>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3279</v>
      </c>
      <c r="B96" s="3379" t="s">
        <v>3290</v>
      </c>
      <c r="C96" s="2040"/>
      <c r="D96" s="3360">
        <f t="shared" si="30"/>
        <v>0</v>
      </c>
      <c r="E96" s="3377"/>
      <c r="F96" s="1813"/>
      <c r="G96" s="3367"/>
      <c r="H96" s="3415" t="str">
        <f t="shared" si="31"/>
        <v>——</v>
      </c>
      <c r="I96" s="3361">
        <v>0.05</v>
      </c>
      <c r="J96" s="3339">
        <f t="shared" si="27"/>
        <v>0</v>
      </c>
      <c r="K96" s="3339">
        <f t="shared" si="28"/>
        <v>0</v>
      </c>
      <c r="L96" s="3339">
        <v>0</v>
      </c>
      <c r="M96" s="3339">
        <f t="shared" si="29"/>
        <v>0</v>
      </c>
      <c r="N96" s="3339">
        <f t="shared" si="29"/>
        <v>0</v>
      </c>
    </row>
    <row r="97" spans="1:14" ht="24">
      <c r="A97" s="3373" t="s">
        <v>3280</v>
      </c>
      <c r="B97" s="3364">
        <f>估价对象房地状况!C24</f>
        <v>0</v>
      </c>
      <c r="C97" s="2040"/>
      <c r="D97" s="3360">
        <f t="shared" si="30"/>
        <v>0</v>
      </c>
      <c r="E97" s="3377"/>
      <c r="F97" s="1813"/>
      <c r="G97" s="3367"/>
      <c r="H97" s="3415" t="str">
        <f t="shared" si="31"/>
        <v>——</v>
      </c>
      <c r="I97" s="3361">
        <v>0.05</v>
      </c>
      <c r="J97" s="3339">
        <f t="shared" si="27"/>
        <v>0</v>
      </c>
      <c r="K97" s="3339">
        <f t="shared" si="28"/>
        <v>0</v>
      </c>
      <c r="L97" s="3339">
        <v>0</v>
      </c>
      <c r="M97" s="3339">
        <f t="shared" si="29"/>
        <v>0</v>
      </c>
      <c r="N97" s="3339">
        <f t="shared" si="29"/>
        <v>0</v>
      </c>
    </row>
    <row r="98" spans="1:14" ht="24">
      <c r="A98" s="3373" t="s">
        <v>3281</v>
      </c>
      <c r="B98" s="3380" t="s">
        <v>3291</v>
      </c>
      <c r="C98" s="2040"/>
      <c r="D98" s="3360">
        <f t="shared" si="30"/>
        <v>0</v>
      </c>
      <c r="E98" s="3377"/>
      <c r="F98" s="1813"/>
      <c r="G98" s="3367"/>
      <c r="H98" s="3415" t="str">
        <f t="shared" si="31"/>
        <v>——</v>
      </c>
      <c r="I98" s="3361">
        <v>0.06</v>
      </c>
      <c r="J98" s="3339">
        <f t="shared" si="27"/>
        <v>0</v>
      </c>
      <c r="K98" s="3339">
        <f t="shared" si="28"/>
        <v>0</v>
      </c>
      <c r="L98" s="3339">
        <v>0</v>
      </c>
      <c r="M98" s="3339">
        <f t="shared" si="29"/>
        <v>0</v>
      </c>
      <c r="N98" s="3339">
        <f t="shared" si="29"/>
        <v>0</v>
      </c>
    </row>
    <row r="99" spans="1:14" ht="25.5">
      <c r="A99" s="3373" t="s">
        <v>3282</v>
      </c>
      <c r="B99" s="3364" t="str">
        <f>估价对象房地状况!C21</f>
        <v>估价对象所在区域公共配套设施齐备情况</v>
      </c>
      <c r="C99" s="2040"/>
      <c r="D99" s="3360">
        <f t="shared" si="30"/>
        <v>0</v>
      </c>
      <c r="E99" s="3377"/>
      <c r="F99" s="1813"/>
      <c r="G99" s="3367"/>
      <c r="H99" s="3415" t="str">
        <f t="shared" si="31"/>
        <v>——</v>
      </c>
      <c r="I99" s="3361">
        <v>0.06</v>
      </c>
      <c r="J99" s="3339">
        <f t="shared" si="27"/>
        <v>0</v>
      </c>
      <c r="K99" s="3339">
        <f t="shared" si="28"/>
        <v>0</v>
      </c>
      <c r="L99" s="3339">
        <v>0</v>
      </c>
      <c r="M99" s="3339">
        <f t="shared" si="29"/>
        <v>0</v>
      </c>
      <c r="N99" s="3339">
        <f t="shared" si="29"/>
        <v>0</v>
      </c>
    </row>
    <row r="100" spans="1:14" ht="25.5">
      <c r="A100" s="3373" t="s">
        <v>3283</v>
      </c>
      <c r="B100" s="3364" t="str">
        <f>估价对象房地状况!C22</f>
        <v>估价对象所在区域基础设施水平</v>
      </c>
      <c r="C100" s="2040"/>
      <c r="D100" s="3360">
        <f t="shared" si="30"/>
        <v>0</v>
      </c>
      <c r="E100" s="3377"/>
      <c r="F100" s="1813"/>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3284</v>
      </c>
      <c r="B101" s="3381" t="str">
        <f>估价对象房地状况!C20</f>
        <v>区域自然环境：；人文环境；综合评价环境状况一般</v>
      </c>
      <c r="C101" s="2040"/>
      <c r="D101" s="3360">
        <f t="shared" si="30"/>
        <v>0</v>
      </c>
      <c r="E101" s="3378"/>
      <c r="F101" s="1813"/>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95" t="s">
        <v>3299</v>
      </c>
      <c r="B103" s="3795"/>
      <c r="C103" s="3795"/>
      <c r="D103" s="3795"/>
      <c r="E103" s="3795"/>
      <c r="F103" s="3795"/>
      <c r="G103" s="3795"/>
      <c r="H103" s="3795"/>
      <c r="I103" s="3795"/>
      <c r="J103" s="3795"/>
      <c r="K103" s="3384"/>
      <c r="L103" s="3384"/>
      <c r="M103" s="3384"/>
      <c r="N103" s="3384"/>
    </row>
    <row r="104" spans="1:14">
      <c r="A104" s="3796" t="s">
        <v>3300</v>
      </c>
      <c r="B104" s="3796" t="s">
        <v>3301</v>
      </c>
      <c r="C104" s="3385" t="s">
        <v>3302</v>
      </c>
      <c r="D104" s="3386"/>
      <c r="E104" s="3386"/>
      <c r="F104" s="3386"/>
      <c r="G104" s="3386"/>
      <c r="H104" s="3386"/>
      <c r="I104" s="3386"/>
      <c r="J104" s="3387"/>
      <c r="K104" s="3388"/>
      <c r="L104" s="3388"/>
      <c r="M104" s="3388"/>
      <c r="N104" s="3388"/>
    </row>
    <row r="105" spans="1:14">
      <c r="A105" s="3796"/>
      <c r="B105" s="3796"/>
      <c r="C105" s="3389" t="s">
        <v>3303</v>
      </c>
      <c r="D105" s="3389" t="s">
        <v>3304</v>
      </c>
      <c r="E105" s="3389" t="s">
        <v>3305</v>
      </c>
      <c r="F105" s="3389" t="s">
        <v>3306</v>
      </c>
      <c r="G105" s="3389" t="s">
        <v>3307</v>
      </c>
      <c r="H105" s="3389" t="s">
        <v>3308</v>
      </c>
      <c r="I105" s="3389" t="s">
        <v>3309</v>
      </c>
      <c r="J105" s="3389" t="s">
        <v>3310</v>
      </c>
      <c r="K105" s="3389" t="s">
        <v>3311</v>
      </c>
      <c r="L105" s="3389" t="s">
        <v>3312</v>
      </c>
      <c r="M105" s="3389" t="s">
        <v>3313</v>
      </c>
      <c r="N105" s="3389" t="s">
        <v>3314</v>
      </c>
    </row>
    <row r="106" spans="1:14">
      <c r="A106" s="3782" t="s">
        <v>3315</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83"/>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83"/>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83"/>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83"/>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83"/>
      <c r="B111" s="3389" t="s">
        <v>3273</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84"/>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85" t="s">
        <v>3316</v>
      </c>
      <c r="B113" s="3785"/>
      <c r="C113" s="3785"/>
      <c r="D113" s="3785"/>
      <c r="E113" s="3785"/>
      <c r="F113" s="3785"/>
      <c r="G113" s="3785"/>
      <c r="H113" s="3785"/>
      <c r="I113" s="3785"/>
      <c r="J113" s="3785"/>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3317</v>
      </c>
      <c r="B116" s="3410">
        <f>G3</f>
        <v>0</v>
      </c>
      <c r="C116" s="3394" t="s">
        <v>3318</v>
      </c>
      <c r="D116" s="3395">
        <f>SUMPRODUCT((A118:A122=F116)*(B117:M117=H116)*B118:M122)</f>
        <v>0</v>
      </c>
      <c r="E116" s="1996" t="s">
        <v>3319</v>
      </c>
      <c r="F116" s="3396">
        <f>E2</f>
        <v>0</v>
      </c>
      <c r="G116" s="1996" t="s">
        <v>3320</v>
      </c>
      <c r="H116" s="3396">
        <f>G2</f>
        <v>0</v>
      </c>
      <c r="I116" s="1996"/>
      <c r="J116" s="3397"/>
      <c r="K116" s="3397"/>
      <c r="L116" s="3397"/>
      <c r="M116" s="3397"/>
      <c r="N116" s="3392"/>
    </row>
    <row r="117" spans="1:14">
      <c r="A117" s="3398"/>
      <c r="B117" s="3399" t="s">
        <v>3321</v>
      </c>
      <c r="C117" s="3399" t="s">
        <v>3322</v>
      </c>
      <c r="D117" s="3399" t="s">
        <v>3323</v>
      </c>
      <c r="E117" s="3400" t="s">
        <v>3324</v>
      </c>
      <c r="F117" s="3400" t="s">
        <v>3325</v>
      </c>
      <c r="G117" s="3400" t="s">
        <v>3326</v>
      </c>
      <c r="H117" s="3401" t="s">
        <v>3327</v>
      </c>
      <c r="I117" s="3401" t="s">
        <v>3328</v>
      </c>
      <c r="J117" s="3402" t="s">
        <v>3329</v>
      </c>
      <c r="K117" s="3402" t="s">
        <v>3330</v>
      </c>
      <c r="L117" s="3402" t="s">
        <v>3331</v>
      </c>
      <c r="M117" s="3403" t="s">
        <v>3332</v>
      </c>
      <c r="N117" s="3392"/>
    </row>
    <row r="118" spans="1:14">
      <c r="A118" s="3404" t="s">
        <v>3333</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3334</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3335</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3336</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2613</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1"/>
      <c r="C2" s="3481"/>
      <c r="D2" s="3481"/>
      <c r="E2" s="3481"/>
    </row>
    <row r="3" spans="1:5" ht="18">
      <c r="A3" s="3482" t="str">
        <f>IF(项目基本情况!B9="房地产市场价值","估价结果一览表（市场价值不需“结果表-1”）","估价结果一览表")</f>
        <v>估价结果一览表</v>
      </c>
      <c r="B3" s="3482"/>
      <c r="C3" s="3482"/>
      <c r="D3" s="3482"/>
      <c r="E3" s="3482"/>
    </row>
    <row r="4" spans="1:5" ht="19.5" thickBot="1">
      <c r="A4" s="1492"/>
      <c r="B4" s="3480" t="s">
        <v>917</v>
      </c>
      <c r="C4" s="3480"/>
      <c r="D4" s="3480"/>
      <c r="E4" s="1492"/>
    </row>
    <row r="5" spans="1:5" ht="16.5" thickTop="1">
      <c r="A5" s="1490"/>
      <c r="B5" s="3478" t="s">
        <v>909</v>
      </c>
      <c r="C5" s="1493" t="s">
        <v>910</v>
      </c>
      <c r="D5" s="850">
        <f ca="1">结果表!H101</f>
        <v>84893</v>
      </c>
      <c r="E5" s="1490"/>
    </row>
    <row r="6" spans="1:5" ht="15.75">
      <c r="A6" s="1490"/>
      <c r="B6" s="3478"/>
      <c r="C6" s="1493" t="s">
        <v>911</v>
      </c>
      <c r="D6" s="850" t="str">
        <f ca="1">NUMBERSTRING(INT(D5*10000),2)&amp;"元整"</f>
        <v>捌亿肆仟捌佰玖拾叁万元整</v>
      </c>
      <c r="E6" s="1490"/>
    </row>
    <row r="7" spans="1:5" ht="15.75">
      <c r="A7" s="1490"/>
      <c r="B7" s="3483"/>
      <c r="C7" s="1494" t="s">
        <v>912</v>
      </c>
      <c r="D7" s="851">
        <f ca="1">结果表!H102</f>
        <v>14775</v>
      </c>
      <c r="E7" s="1490"/>
    </row>
    <row r="8" spans="1:5" ht="15.75">
      <c r="A8" s="1490"/>
      <c r="B8" s="3484" t="str">
        <f>结果表!E103</f>
        <v>2.估价师知悉的法定优先受偿款</v>
      </c>
      <c r="C8" s="1495" t="s">
        <v>913</v>
      </c>
      <c r="D8" s="851">
        <f>结果表!H103</f>
        <v>0</v>
      </c>
      <c r="E8" s="1490"/>
    </row>
    <row r="9" spans="1:5" ht="15.75">
      <c r="A9" s="1490"/>
      <c r="B9" s="3486"/>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7" t="str">
        <f>结果表!E107</f>
        <v>3.房地产抵押价值</v>
      </c>
      <c r="C13" s="1498" t="s">
        <v>910</v>
      </c>
      <c r="D13" s="853">
        <f ca="1">结果表!H107</f>
        <v>84893</v>
      </c>
      <c r="E13" s="1490"/>
    </row>
    <row r="14" spans="1:5" ht="15.75">
      <c r="A14" s="1490"/>
      <c r="B14" s="3478"/>
      <c r="C14" s="1493" t="s">
        <v>911</v>
      </c>
      <c r="D14" s="850" t="str">
        <f ca="1">NUMBERSTRING(INT(D13*10000),2)&amp;"元整"</f>
        <v>捌亿肆仟捌佰玖拾叁万元整</v>
      </c>
      <c r="E14" s="1490"/>
    </row>
    <row r="15" spans="1:5" ht="15">
      <c r="A15" s="1490"/>
      <c r="B15" s="3483"/>
      <c r="C15" s="1494" t="s">
        <v>921</v>
      </c>
      <c r="D15" s="859">
        <f ca="1">结果表!H108</f>
        <v>14775</v>
      </c>
      <c r="E15" s="1490"/>
    </row>
    <row r="16" spans="1:5" ht="15">
      <c r="A16" s="1490"/>
      <c r="B16" s="3484" t="str">
        <f>结果表!E109</f>
        <v>——</v>
      </c>
      <c r="C16" s="1498" t="s">
        <v>922</v>
      </c>
      <c r="D16" s="1499" t="str">
        <f>结果表!H109</f>
        <v>——</v>
      </c>
      <c r="E16" s="1490"/>
    </row>
    <row r="17" spans="1:5" ht="15.75">
      <c r="A17" s="1490"/>
      <c r="B17" s="3485"/>
      <c r="C17" s="1493" t="s">
        <v>923</v>
      </c>
      <c r="D17" s="850" t="e">
        <f>NUMBERSTRING(INT(D16*10000),2)&amp;"元整"</f>
        <v>#VALUE!</v>
      </c>
      <c r="E17" s="1490"/>
    </row>
    <row r="18" spans="1:5" ht="15">
      <c r="A18" s="1490"/>
      <c r="B18" s="3486"/>
      <c r="C18" s="1494" t="s">
        <v>912</v>
      </c>
      <c r="D18" s="859" t="str">
        <f>结果表!H110</f>
        <v>——</v>
      </c>
      <c r="E18" s="1490"/>
    </row>
    <row r="19" spans="1:5" ht="15.75">
      <c r="A19" s="1490"/>
      <c r="B19" s="3477" t="str">
        <f>结果表!E111</f>
        <v>——</v>
      </c>
      <c r="C19" s="1498" t="s">
        <v>910</v>
      </c>
      <c r="D19" s="851" t="str">
        <f>结果表!H111</f>
        <v>——</v>
      </c>
      <c r="E19" s="1490"/>
    </row>
    <row r="20" spans="1:5" ht="15.75">
      <c r="A20" s="1490"/>
      <c r="B20" s="3478"/>
      <c r="C20" s="1493" t="s">
        <v>923</v>
      </c>
      <c r="D20" s="850" t="e">
        <f>NUMBERSTRING(INT(D19*10000),2)&amp;"元整"</f>
        <v>#VALUE!</v>
      </c>
      <c r="E20" s="1490"/>
    </row>
    <row r="21" spans="1:5" ht="15.75" thickBot="1">
      <c r="A21" s="1490"/>
      <c r="B21" s="3479"/>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2595</v>
      </c>
      <c r="B1" s="3066" t="s">
        <v>2596</v>
      </c>
      <c r="C1" s="3066" t="s">
        <v>2597</v>
      </c>
      <c r="D1" s="3066" t="s">
        <v>2598</v>
      </c>
      <c r="E1" s="3066" t="s">
        <v>2599</v>
      </c>
      <c r="F1" s="3066" t="s">
        <v>2600</v>
      </c>
      <c r="G1" s="3066" t="s">
        <v>2601</v>
      </c>
      <c r="H1" s="3066" t="s">
        <v>2602</v>
      </c>
      <c r="I1" s="3066" t="s">
        <v>2603</v>
      </c>
      <c r="J1" s="3066" t="s">
        <v>2604</v>
      </c>
      <c r="K1" s="3066" t="s">
        <v>2605</v>
      </c>
      <c r="L1" s="3066" t="s">
        <v>2606</v>
      </c>
      <c r="M1" s="3067" t="s">
        <v>2607</v>
      </c>
    </row>
    <row r="2" spans="1:13" ht="19.5" customHeight="1">
      <c r="A2" s="3069" t="s">
        <v>2608</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2609</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2610</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2611</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2612</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2613</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2614</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2615</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2616</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2617</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2618</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2619</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2620</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2621</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2622</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2623</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2624</v>
      </c>
      <c r="B18" s="3091"/>
      <c r="C18" s="3092"/>
      <c r="D18" s="3092"/>
      <c r="E18" s="3091"/>
      <c r="F18" s="3092"/>
      <c r="G18" s="3092"/>
    </row>
    <row r="19" spans="1:13" ht="19.5" customHeight="1" thickBot="1">
      <c r="A19" s="3089" t="s">
        <v>2625</v>
      </c>
      <c r="B19" s="3094" t="s">
        <v>2626</v>
      </c>
      <c r="C19" s="3094" t="s">
        <v>2627</v>
      </c>
      <c r="D19" s="3095"/>
      <c r="E19" s="3089" t="s">
        <v>2628</v>
      </c>
      <c r="F19" s="3096"/>
      <c r="G19" s="3096"/>
    </row>
    <row r="20" spans="1:13" ht="19.5" customHeight="1">
      <c r="A20" s="3808" t="s">
        <v>2608</v>
      </c>
      <c r="B20" s="3801" t="s">
        <v>2629</v>
      </c>
      <c r="C20" s="3097" t="s">
        <v>2440</v>
      </c>
      <c r="D20" s="3098"/>
      <c r="E20" s="3099">
        <v>1</v>
      </c>
      <c r="F20" s="3100" t="s">
        <v>2441</v>
      </c>
      <c r="G20" s="3100"/>
    </row>
    <row r="21" spans="1:13" ht="19.5" customHeight="1">
      <c r="A21" s="3809"/>
      <c r="B21" s="3802"/>
      <c r="C21" s="3101" t="s">
        <v>2442</v>
      </c>
      <c r="D21" s="3102"/>
      <c r="E21" s="3103">
        <v>1</v>
      </c>
      <c r="F21" s="3100" t="s">
        <v>2443</v>
      </c>
      <c r="G21" s="3100"/>
    </row>
    <row r="22" spans="1:13" ht="19.5" customHeight="1">
      <c r="A22" s="3809"/>
      <c r="B22" s="3802"/>
      <c r="C22" s="3101" t="s">
        <v>2444</v>
      </c>
      <c r="D22" s="3102"/>
      <c r="E22" s="3103">
        <v>0.9</v>
      </c>
      <c r="F22" s="3100" t="s">
        <v>2445</v>
      </c>
      <c r="G22" s="3100"/>
    </row>
    <row r="23" spans="1:13" ht="19.5" customHeight="1">
      <c r="A23" s="3809"/>
      <c r="B23" s="3802"/>
      <c r="C23" s="3101" t="s">
        <v>2446</v>
      </c>
      <c r="D23" s="3102"/>
      <c r="E23" s="3103">
        <v>0.9</v>
      </c>
      <c r="F23" s="3100" t="s">
        <v>2447</v>
      </c>
      <c r="G23" s="3100"/>
    </row>
    <row r="24" spans="1:13" ht="19.5" customHeight="1">
      <c r="A24" s="3809"/>
      <c r="B24" s="3802"/>
      <c r="C24" s="3101" t="s">
        <v>2448</v>
      </c>
      <c r="D24" s="3102"/>
      <c r="E24" s="3103">
        <v>0.8</v>
      </c>
      <c r="F24" s="3100" t="s">
        <v>2449</v>
      </c>
      <c r="G24" s="3100"/>
    </row>
    <row r="25" spans="1:13" ht="19.5" customHeight="1" thickBot="1">
      <c r="A25" s="3810"/>
      <c r="B25" s="3803"/>
      <c r="C25" s="3104" t="s">
        <v>2450</v>
      </c>
      <c r="D25" s="3105"/>
      <c r="E25" s="3106">
        <v>0.8</v>
      </c>
      <c r="F25" s="3100" t="s">
        <v>2451</v>
      </c>
      <c r="G25" s="3100"/>
    </row>
    <row r="26" spans="1:13" ht="19.5" customHeight="1" thickBot="1">
      <c r="A26" s="3107" t="s">
        <v>2630</v>
      </c>
      <c r="B26" s="3108" t="s">
        <v>2629</v>
      </c>
      <c r="C26" s="3109" t="s">
        <v>2631</v>
      </c>
      <c r="D26" s="3110"/>
      <c r="E26" s="3111">
        <v>1</v>
      </c>
      <c r="F26" s="3100" t="s">
        <v>2452</v>
      </c>
      <c r="G26" s="3100"/>
    </row>
    <row r="27" spans="1:13" ht="19.5" customHeight="1">
      <c r="A27" s="3804" t="s">
        <v>2632</v>
      </c>
      <c r="B27" s="3801" t="s">
        <v>2613</v>
      </c>
      <c r="C27" s="3097" t="s">
        <v>2453</v>
      </c>
      <c r="D27" s="3098"/>
      <c r="E27" s="3099">
        <v>1</v>
      </c>
      <c r="F27" s="3100" t="s">
        <v>2454</v>
      </c>
      <c r="G27" s="3100"/>
    </row>
    <row r="28" spans="1:13" ht="19.5" customHeight="1">
      <c r="A28" s="3805"/>
      <c r="B28" s="3802"/>
      <c r="C28" s="3101" t="s">
        <v>2455</v>
      </c>
      <c r="D28" s="3102"/>
      <c r="E28" s="3103">
        <v>1</v>
      </c>
      <c r="F28" s="3100" t="s">
        <v>2456</v>
      </c>
      <c r="G28" s="3100"/>
    </row>
    <row r="29" spans="1:13" ht="19.5" customHeight="1">
      <c r="A29" s="3805"/>
      <c r="B29" s="3802"/>
      <c r="C29" s="3101" t="s">
        <v>2457</v>
      </c>
      <c r="D29" s="3102"/>
      <c r="E29" s="3103">
        <v>0.8</v>
      </c>
      <c r="F29" s="3100" t="s">
        <v>2458</v>
      </c>
      <c r="G29" s="3100"/>
    </row>
    <row r="30" spans="1:13" ht="19.5" customHeight="1">
      <c r="A30" s="3805"/>
      <c r="B30" s="3802"/>
      <c r="C30" s="3101" t="s">
        <v>2459</v>
      </c>
      <c r="D30" s="3102"/>
      <c r="E30" s="3103">
        <v>0.8</v>
      </c>
      <c r="F30" s="3100" t="s">
        <v>2460</v>
      </c>
      <c r="G30" s="3100"/>
    </row>
    <row r="31" spans="1:13" ht="19.5" customHeight="1">
      <c r="A31" s="3805"/>
      <c r="B31" s="3802"/>
      <c r="C31" s="3101" t="s">
        <v>2461</v>
      </c>
      <c r="D31" s="3102"/>
      <c r="E31" s="3103">
        <v>0.8</v>
      </c>
      <c r="F31" s="3100" t="s">
        <v>2462</v>
      </c>
      <c r="G31" s="3100"/>
    </row>
    <row r="32" spans="1:13" ht="19.5" customHeight="1">
      <c r="A32" s="3805"/>
      <c r="B32" s="3802"/>
      <c r="C32" s="3101" t="s">
        <v>2463</v>
      </c>
      <c r="D32" s="3102"/>
      <c r="E32" s="3103">
        <v>0.7</v>
      </c>
      <c r="F32" s="3100" t="s">
        <v>2464</v>
      </c>
      <c r="G32" s="3100"/>
    </row>
    <row r="33" spans="1:7" ht="19.5" customHeight="1">
      <c r="A33" s="3805"/>
      <c r="B33" s="3802"/>
      <c r="C33" s="3101" t="s">
        <v>2465</v>
      </c>
      <c r="D33" s="3102"/>
      <c r="E33" s="3103">
        <v>0.8</v>
      </c>
      <c r="F33" s="3100" t="s">
        <v>2466</v>
      </c>
      <c r="G33" s="3100"/>
    </row>
    <row r="34" spans="1:7" ht="19.5" customHeight="1">
      <c r="A34" s="3805"/>
      <c r="B34" s="3802"/>
      <c r="C34" s="3101" t="s">
        <v>2467</v>
      </c>
      <c r="D34" s="3102"/>
      <c r="E34" s="3103">
        <v>0.6</v>
      </c>
      <c r="F34" s="3100" t="s">
        <v>2468</v>
      </c>
      <c r="G34" s="3100"/>
    </row>
    <row r="35" spans="1:7" ht="19.5" customHeight="1">
      <c r="A35" s="3805"/>
      <c r="B35" s="3802"/>
      <c r="C35" s="3101" t="s">
        <v>2469</v>
      </c>
      <c r="D35" s="3102"/>
      <c r="E35" s="3103">
        <v>0.2</v>
      </c>
      <c r="F35" s="3100" t="s">
        <v>2470</v>
      </c>
      <c r="G35" s="3100"/>
    </row>
    <row r="36" spans="1:7" ht="19.5" customHeight="1">
      <c r="A36" s="3805"/>
      <c r="B36" s="3802"/>
      <c r="C36" s="3101" t="s">
        <v>2471</v>
      </c>
      <c r="D36" s="3102"/>
      <c r="E36" s="3103">
        <v>0.2</v>
      </c>
      <c r="F36" s="3100" t="s">
        <v>2472</v>
      </c>
      <c r="G36" s="3100"/>
    </row>
    <row r="37" spans="1:7" ht="19.5" customHeight="1">
      <c r="A37" s="3805"/>
      <c r="B37" s="3807" t="s">
        <v>2633</v>
      </c>
      <c r="C37" s="3101" t="s">
        <v>2473</v>
      </c>
      <c r="D37" s="3102"/>
      <c r="E37" s="3103">
        <v>0.6</v>
      </c>
      <c r="F37" s="3100" t="s">
        <v>2474</v>
      </c>
      <c r="G37" s="3100"/>
    </row>
    <row r="38" spans="1:7" ht="19.5" customHeight="1">
      <c r="A38" s="3805"/>
      <c r="B38" s="3802"/>
      <c r="C38" s="3101" t="s">
        <v>2475</v>
      </c>
      <c r="D38" s="3102"/>
      <c r="E38" s="3103">
        <v>0.6</v>
      </c>
      <c r="F38" s="3100" t="s">
        <v>2476</v>
      </c>
      <c r="G38" s="3100"/>
    </row>
    <row r="39" spans="1:7" ht="19.5" customHeight="1" thickBot="1">
      <c r="A39" s="3806"/>
      <c r="B39" s="3803"/>
      <c r="C39" s="3104" t="s">
        <v>2477</v>
      </c>
      <c r="D39" s="3105"/>
      <c r="E39" s="3106">
        <v>0.6</v>
      </c>
      <c r="F39" s="3100" t="s">
        <v>2478</v>
      </c>
      <c r="G39" s="3100"/>
    </row>
    <row r="40" spans="1:7" ht="19.5" customHeight="1" thickBot="1">
      <c r="A40" s="3107" t="s">
        <v>2610</v>
      </c>
      <c r="B40" s="3108" t="s">
        <v>2610</v>
      </c>
      <c r="C40" s="3109" t="s">
        <v>2634</v>
      </c>
      <c r="D40" s="3110"/>
      <c r="E40" s="3111">
        <v>1</v>
      </c>
      <c r="F40" s="3100" t="s">
        <v>2479</v>
      </c>
      <c r="G40" s="3100"/>
    </row>
    <row r="41" spans="1:7" ht="19.5" customHeight="1">
      <c r="A41" s="3808" t="s">
        <v>2611</v>
      </c>
      <c r="B41" s="3801" t="s">
        <v>2635</v>
      </c>
      <c r="C41" s="3097" t="s">
        <v>2480</v>
      </c>
      <c r="D41" s="3098"/>
      <c r="E41" s="3099">
        <v>1</v>
      </c>
      <c r="F41" s="3100" t="s">
        <v>2481</v>
      </c>
      <c r="G41" s="3100"/>
    </row>
    <row r="42" spans="1:7" ht="19.5" customHeight="1">
      <c r="A42" s="3809"/>
      <c r="B42" s="3802"/>
      <c r="C42" s="3101" t="s">
        <v>2482</v>
      </c>
      <c r="D42" s="3102"/>
      <c r="E42" s="3103">
        <v>1</v>
      </c>
      <c r="F42" s="3100" t="s">
        <v>2483</v>
      </c>
      <c r="G42" s="3100"/>
    </row>
    <row r="43" spans="1:7" ht="19.5" customHeight="1">
      <c r="A43" s="3809"/>
      <c r="B43" s="3811"/>
      <c r="C43" s="3101" t="s">
        <v>2484</v>
      </c>
      <c r="D43" s="3102"/>
      <c r="E43" s="3103">
        <v>1.5</v>
      </c>
      <c r="F43" s="3100" t="s">
        <v>2485</v>
      </c>
      <c r="G43" s="3100"/>
    </row>
    <row r="44" spans="1:7" ht="19.5" customHeight="1">
      <c r="A44" s="3809"/>
      <c r="B44" s="3112" t="s">
        <v>2636</v>
      </c>
      <c r="C44" s="3101" t="s">
        <v>2637</v>
      </c>
      <c r="D44" s="3102"/>
      <c r="E44" s="3103">
        <v>2</v>
      </c>
      <c r="F44" s="3100" t="s">
        <v>2486</v>
      </c>
      <c r="G44" s="3100"/>
    </row>
    <row r="45" spans="1:7" ht="19.5" customHeight="1">
      <c r="A45" s="3809"/>
      <c r="B45" s="3807" t="s">
        <v>2638</v>
      </c>
      <c r="C45" s="3101" t="s">
        <v>2487</v>
      </c>
      <c r="D45" s="3102"/>
      <c r="E45" s="3103">
        <v>1</v>
      </c>
      <c r="F45" s="3100" t="s">
        <v>2488</v>
      </c>
      <c r="G45" s="3100"/>
    </row>
    <row r="46" spans="1:7" ht="19.5" customHeight="1">
      <c r="A46" s="3809"/>
      <c r="B46" s="3802"/>
      <c r="C46" s="3101" t="s">
        <v>2489</v>
      </c>
      <c r="D46" s="3102"/>
      <c r="E46" s="3103">
        <v>1</v>
      </c>
      <c r="F46" s="3100" t="s">
        <v>2490</v>
      </c>
      <c r="G46" s="3100"/>
    </row>
    <row r="47" spans="1:7" ht="19.5" customHeight="1">
      <c r="A47" s="3809"/>
      <c r="B47" s="3802"/>
      <c r="C47" s="3101" t="s">
        <v>2491</v>
      </c>
      <c r="D47" s="3102"/>
      <c r="E47" s="3103">
        <v>1</v>
      </c>
      <c r="F47" s="3100" t="s">
        <v>2492</v>
      </c>
      <c r="G47" s="3100"/>
    </row>
    <row r="48" spans="1:7" ht="19.5" customHeight="1">
      <c r="A48" s="3809"/>
      <c r="B48" s="3802"/>
      <c r="C48" s="3101" t="s">
        <v>2493</v>
      </c>
      <c r="D48" s="3102"/>
      <c r="E48" s="3103">
        <v>1</v>
      </c>
      <c r="F48" s="3100" t="s">
        <v>2494</v>
      </c>
      <c r="G48" s="3100"/>
    </row>
    <row r="49" spans="1:7" ht="19.5" customHeight="1">
      <c r="A49" s="3809"/>
      <c r="B49" s="3802"/>
      <c r="C49" s="3101" t="s">
        <v>2495</v>
      </c>
      <c r="D49" s="3102"/>
      <c r="E49" s="3103">
        <v>1</v>
      </c>
      <c r="F49" s="3100" t="s">
        <v>2496</v>
      </c>
      <c r="G49" s="3100"/>
    </row>
    <row r="50" spans="1:7" ht="19.5" customHeight="1">
      <c r="A50" s="3809"/>
      <c r="B50" s="3802"/>
      <c r="C50" s="3101" t="s">
        <v>2497</v>
      </c>
      <c r="D50" s="3102"/>
      <c r="E50" s="3103">
        <v>1</v>
      </c>
      <c r="F50" s="3100" t="s">
        <v>2498</v>
      </c>
      <c r="G50" s="3100"/>
    </row>
    <row r="51" spans="1:7" ht="19.5" customHeight="1" thickBot="1">
      <c r="A51" s="3810"/>
      <c r="B51" s="3803"/>
      <c r="C51" s="3104" t="s">
        <v>2499</v>
      </c>
      <c r="D51" s="3105"/>
      <c r="E51" s="3106">
        <v>1</v>
      </c>
      <c r="F51" s="3100" t="s">
        <v>2500</v>
      </c>
      <c r="G51" s="3100"/>
    </row>
    <row r="52" spans="1:7" ht="19.5" customHeight="1">
      <c r="A52" s="3113"/>
      <c r="B52" s="3113"/>
      <c r="C52" s="3113"/>
      <c r="D52" s="3113"/>
      <c r="E52" s="3113"/>
      <c r="F52" s="3113"/>
      <c r="G52" s="3113"/>
    </row>
    <row r="54" spans="1:7" ht="19.5" customHeight="1">
      <c r="A54" s="3114"/>
      <c r="B54" s="3086" t="s">
        <v>2639</v>
      </c>
      <c r="C54" s="3086" t="s">
        <v>2639</v>
      </c>
      <c r="D54" s="3086" t="s">
        <v>2639</v>
      </c>
      <c r="E54" s="3089" t="s">
        <v>2639</v>
      </c>
      <c r="F54" s="3089" t="s">
        <v>2640</v>
      </c>
      <c r="G54" s="3089" t="s">
        <v>2641</v>
      </c>
    </row>
    <row r="55" spans="1:7" ht="19.5" customHeight="1">
      <c r="A55" s="3115"/>
      <c r="B55" s="3089" t="s">
        <v>2608</v>
      </c>
      <c r="C55" s="3089" t="s">
        <v>2608</v>
      </c>
      <c r="D55" s="3089" t="s">
        <v>2608</v>
      </c>
      <c r="E55" s="3086" t="s">
        <v>2609</v>
      </c>
      <c r="F55" s="3086" t="s">
        <v>2611</v>
      </c>
      <c r="G55" s="3086" t="s">
        <v>2642</v>
      </c>
    </row>
    <row r="56" spans="1:7" ht="19.5" customHeight="1">
      <c r="A56" s="3116"/>
      <c r="B56" s="3086">
        <v>1</v>
      </c>
      <c r="C56" s="3086">
        <v>2</v>
      </c>
      <c r="D56" s="3086">
        <v>3</v>
      </c>
      <c r="E56" s="3117" t="s">
        <v>2643</v>
      </c>
      <c r="F56" s="3117" t="s">
        <v>2643</v>
      </c>
      <c r="G56" s="3117" t="s">
        <v>2643</v>
      </c>
    </row>
    <row r="57" spans="1:7" ht="19.5" customHeight="1">
      <c r="A57" s="3118" t="s">
        <v>2596</v>
      </c>
      <c r="B57" s="3086">
        <v>0.7</v>
      </c>
      <c r="C57" s="3086">
        <v>0.4</v>
      </c>
      <c r="D57" s="3086">
        <v>0.3</v>
      </c>
      <c r="E57" s="3117">
        <v>0.3</v>
      </c>
      <c r="F57" s="3086">
        <v>0.3</v>
      </c>
      <c r="G57" s="3086">
        <v>0.2</v>
      </c>
    </row>
    <row r="58" spans="1:7" ht="19.5" customHeight="1">
      <c r="A58" s="3118" t="s">
        <v>2597</v>
      </c>
      <c r="B58" s="3086">
        <v>0.7</v>
      </c>
      <c r="C58" s="3086">
        <v>0.4</v>
      </c>
      <c r="D58" s="3086">
        <v>0.3</v>
      </c>
      <c r="E58" s="3086">
        <v>0.3</v>
      </c>
      <c r="F58" s="3086">
        <v>0.3</v>
      </c>
      <c r="G58" s="3086">
        <v>0.2</v>
      </c>
    </row>
    <row r="59" spans="1:7" ht="19.5" customHeight="1">
      <c r="A59" s="3118" t="s">
        <v>2598</v>
      </c>
      <c r="B59" s="3086">
        <v>0.6</v>
      </c>
      <c r="C59" s="3086">
        <v>0.3</v>
      </c>
      <c r="D59" s="3086">
        <v>0.25</v>
      </c>
      <c r="E59" s="3086">
        <v>0.25</v>
      </c>
      <c r="F59" s="3086">
        <v>0.25</v>
      </c>
      <c r="G59" s="3086">
        <v>0.15</v>
      </c>
    </row>
    <row r="60" spans="1:7" ht="19.5" customHeight="1">
      <c r="A60" s="3118" t="s">
        <v>2599</v>
      </c>
      <c r="B60" s="3086">
        <v>0.6</v>
      </c>
      <c r="C60" s="3086">
        <v>0.3</v>
      </c>
      <c r="D60" s="3086">
        <v>0.25</v>
      </c>
      <c r="E60" s="3086">
        <v>0.25</v>
      </c>
      <c r="F60" s="3086">
        <v>0.25</v>
      </c>
      <c r="G60" s="3086">
        <v>0.15</v>
      </c>
    </row>
    <row r="61" spans="1:7" ht="19.5" customHeight="1">
      <c r="A61" s="3118" t="s">
        <v>2600</v>
      </c>
      <c r="B61" s="3086">
        <v>0.6</v>
      </c>
      <c r="C61" s="3086">
        <v>0.3</v>
      </c>
      <c r="D61" s="3086">
        <v>0.25</v>
      </c>
      <c r="E61" s="3086">
        <v>0.25</v>
      </c>
      <c r="F61" s="3086">
        <v>0.25</v>
      </c>
      <c r="G61" s="3086">
        <v>0.15</v>
      </c>
    </row>
    <row r="62" spans="1:7" ht="19.5" customHeight="1">
      <c r="A62" s="3118" t="s">
        <v>2601</v>
      </c>
      <c r="B62" s="3086">
        <v>0.6</v>
      </c>
      <c r="C62" s="3086">
        <v>0.3</v>
      </c>
      <c r="D62" s="3086">
        <v>0.25</v>
      </c>
      <c r="E62" s="3086">
        <v>0.25</v>
      </c>
      <c r="F62" s="3086">
        <v>0.25</v>
      </c>
      <c r="G62" s="3086">
        <v>0.15</v>
      </c>
    </row>
    <row r="63" spans="1:7" ht="19.5" customHeight="1">
      <c r="A63" s="3118" t="s">
        <v>2602</v>
      </c>
      <c r="B63" s="3086">
        <v>0.6</v>
      </c>
      <c r="C63" s="3086">
        <v>0.3</v>
      </c>
      <c r="D63" s="3086">
        <v>0.25</v>
      </c>
      <c r="E63" s="3086">
        <v>0.25</v>
      </c>
      <c r="F63" s="3086">
        <v>0.25</v>
      </c>
      <c r="G63" s="3086">
        <v>0.15</v>
      </c>
    </row>
    <row r="64" spans="1:7" ht="19.5" customHeight="1">
      <c r="A64" s="3118" t="s">
        <v>2603</v>
      </c>
      <c r="B64" s="3086">
        <v>0.5</v>
      </c>
      <c r="C64" s="3086">
        <v>0.2</v>
      </c>
      <c r="D64" s="3086">
        <v>0.2</v>
      </c>
      <c r="E64" s="3086">
        <v>0.2</v>
      </c>
      <c r="F64" s="3086">
        <v>0.2</v>
      </c>
      <c r="G64" s="3086">
        <v>0.1</v>
      </c>
    </row>
    <row r="65" spans="1:7" ht="19.5" customHeight="1">
      <c r="A65" s="3118" t="s">
        <v>2604</v>
      </c>
      <c r="B65" s="3086">
        <v>0.5</v>
      </c>
      <c r="C65" s="3086">
        <v>0.2</v>
      </c>
      <c r="D65" s="3086">
        <v>0.2</v>
      </c>
      <c r="E65" s="3086">
        <v>0.2</v>
      </c>
      <c r="F65" s="3086">
        <v>0.2</v>
      </c>
      <c r="G65" s="3086">
        <v>0.1</v>
      </c>
    </row>
    <row r="66" spans="1:7" ht="19.5" customHeight="1">
      <c r="A66" s="3118" t="s">
        <v>2605</v>
      </c>
      <c r="B66" s="3086">
        <v>0.5</v>
      </c>
      <c r="C66" s="3086">
        <v>0.2</v>
      </c>
      <c r="D66" s="3086">
        <v>0.2</v>
      </c>
      <c r="E66" s="3086">
        <v>0.2</v>
      </c>
      <c r="F66" s="3086">
        <v>0.2</v>
      </c>
      <c r="G66" s="3086">
        <v>0.1</v>
      </c>
    </row>
    <row r="67" spans="1:7" ht="19.5" customHeight="1">
      <c r="A67" s="3118" t="s">
        <v>2606</v>
      </c>
      <c r="B67" s="3086">
        <v>0.5</v>
      </c>
      <c r="C67" s="3086">
        <v>0.2</v>
      </c>
      <c r="D67" s="3086">
        <v>0.2</v>
      </c>
      <c r="E67" s="3086">
        <v>0.2</v>
      </c>
      <c r="F67" s="3086">
        <v>0.2</v>
      </c>
      <c r="G67" s="3086">
        <v>0.1</v>
      </c>
    </row>
    <row r="68" spans="1:7" ht="19.5" customHeight="1">
      <c r="A68" s="3118" t="s">
        <v>2607</v>
      </c>
      <c r="B68" s="3086">
        <v>0.5</v>
      </c>
      <c r="C68" s="3086">
        <v>0.2</v>
      </c>
      <c r="D68" s="3086">
        <v>0.2</v>
      </c>
      <c r="E68" s="3086">
        <v>0.2</v>
      </c>
      <c r="F68" s="3086">
        <v>0.2</v>
      </c>
      <c r="G68" s="3086">
        <v>0.1</v>
      </c>
    </row>
    <row r="70" spans="1:7" ht="19.5" customHeight="1">
      <c r="A70" s="3119"/>
      <c r="B70" s="3120"/>
      <c r="C70" s="3120"/>
      <c r="D70" s="3120" t="s">
        <v>2644</v>
      </c>
      <c r="E70" s="3120"/>
      <c r="F70" s="3120"/>
    </row>
    <row r="71" spans="1:7" ht="19.5" customHeight="1">
      <c r="A71" s="3112" t="s">
        <v>2645</v>
      </c>
      <c r="B71" s="3112" t="s">
        <v>2646</v>
      </c>
      <c r="C71" s="3112" t="s">
        <v>2647</v>
      </c>
      <c r="D71" s="3112" t="s">
        <v>2648</v>
      </c>
      <c r="E71" s="3112" t="s">
        <v>2649</v>
      </c>
      <c r="F71" s="3112" t="s">
        <v>2650</v>
      </c>
    </row>
    <row r="72" spans="1:7" ht="13.5">
      <c r="A72" s="3112"/>
      <c r="B72" s="3112"/>
      <c r="C72" s="3112" t="s">
        <v>2651</v>
      </c>
      <c r="D72" s="3112"/>
      <c r="E72" s="3112" t="s">
        <v>2622</v>
      </c>
      <c r="F72" s="3112" t="s">
        <v>2622</v>
      </c>
    </row>
    <row r="73" spans="1:7" ht="13.5">
      <c r="A73" s="3112">
        <v>1</v>
      </c>
      <c r="B73" s="3807" t="s">
        <v>2652</v>
      </c>
      <c r="C73" s="3086" t="s">
        <v>2653</v>
      </c>
      <c r="D73" s="3086" t="s">
        <v>2654</v>
      </c>
      <c r="E73" s="3112">
        <v>0.2</v>
      </c>
      <c r="F73" s="3112">
        <v>25</v>
      </c>
    </row>
    <row r="74" spans="1:7" ht="24">
      <c r="A74" s="3112">
        <v>2</v>
      </c>
      <c r="B74" s="3802"/>
      <c r="C74" s="3086" t="s">
        <v>2655</v>
      </c>
      <c r="D74" s="3086" t="s">
        <v>2656</v>
      </c>
      <c r="E74" s="3112">
        <v>0.2</v>
      </c>
      <c r="F74" s="3112">
        <v>25</v>
      </c>
    </row>
    <row r="75" spans="1:7" ht="24">
      <c r="A75" s="3112">
        <v>3</v>
      </c>
      <c r="B75" s="3802"/>
      <c r="C75" s="3086" t="s">
        <v>2657</v>
      </c>
      <c r="D75" s="3086" t="s">
        <v>2658</v>
      </c>
      <c r="E75" s="3112">
        <v>0.2</v>
      </c>
      <c r="F75" s="3112">
        <v>25</v>
      </c>
    </row>
    <row r="76" spans="1:7" ht="13.5">
      <c r="A76" s="3112">
        <v>4</v>
      </c>
      <c r="B76" s="3802"/>
      <c r="C76" s="3086" t="s">
        <v>2659</v>
      </c>
      <c r="D76" s="3086" t="s">
        <v>2660</v>
      </c>
      <c r="E76" s="3112">
        <v>0.15</v>
      </c>
      <c r="F76" s="3112">
        <v>20</v>
      </c>
    </row>
    <row r="77" spans="1:7" ht="24">
      <c r="A77" s="3112">
        <v>5</v>
      </c>
      <c r="B77" s="3802"/>
      <c r="C77" s="3086" t="s">
        <v>2661</v>
      </c>
      <c r="D77" s="3086" t="s">
        <v>2662</v>
      </c>
      <c r="E77" s="3112">
        <v>0.15</v>
      </c>
      <c r="F77" s="3112">
        <v>20</v>
      </c>
    </row>
    <row r="78" spans="1:7" ht="24">
      <c r="A78" s="3112">
        <v>6</v>
      </c>
      <c r="B78" s="3802"/>
      <c r="C78" s="3086" t="s">
        <v>2663</v>
      </c>
      <c r="D78" s="3086" t="s">
        <v>2664</v>
      </c>
      <c r="E78" s="3112">
        <v>0.15</v>
      </c>
      <c r="F78" s="3112">
        <v>20</v>
      </c>
    </row>
    <row r="79" spans="1:7" ht="24">
      <c r="A79" s="3112">
        <v>7</v>
      </c>
      <c r="B79" s="3802"/>
      <c r="C79" s="3086" t="s">
        <v>2665</v>
      </c>
      <c r="D79" s="3086" t="s">
        <v>2666</v>
      </c>
      <c r="E79" s="3112">
        <v>0.15</v>
      </c>
      <c r="F79" s="3112">
        <v>20</v>
      </c>
    </row>
    <row r="80" spans="1:7" ht="24">
      <c r="A80" s="3112">
        <v>8</v>
      </c>
      <c r="B80" s="3802"/>
      <c r="C80" s="3086" t="s">
        <v>2667</v>
      </c>
      <c r="D80" s="3086" t="s">
        <v>2668</v>
      </c>
      <c r="E80" s="3112">
        <v>0.1</v>
      </c>
      <c r="F80" s="3112">
        <v>15</v>
      </c>
    </row>
    <row r="81" spans="1:6" ht="24">
      <c r="A81" s="3112">
        <v>9</v>
      </c>
      <c r="B81" s="3802"/>
      <c r="C81" s="3086" t="s">
        <v>2669</v>
      </c>
      <c r="D81" s="3086" t="s">
        <v>2670</v>
      </c>
      <c r="E81" s="3112">
        <v>0.1</v>
      </c>
      <c r="F81" s="3112">
        <v>15</v>
      </c>
    </row>
    <row r="82" spans="1:6" ht="24">
      <c r="A82" s="3112">
        <v>10</v>
      </c>
      <c r="B82" s="3802"/>
      <c r="C82" s="3086" t="s">
        <v>2671</v>
      </c>
      <c r="D82" s="3086" t="s">
        <v>2672</v>
      </c>
      <c r="E82" s="3112">
        <v>0.1</v>
      </c>
      <c r="F82" s="3112">
        <v>15</v>
      </c>
    </row>
    <row r="83" spans="1:6" ht="24">
      <c r="A83" s="3112">
        <v>11</v>
      </c>
      <c r="B83" s="3802"/>
      <c r="C83" s="3086" t="s">
        <v>2673</v>
      </c>
      <c r="D83" s="3086" t="s">
        <v>2674</v>
      </c>
      <c r="E83" s="3112">
        <v>0.1</v>
      </c>
      <c r="F83" s="3112">
        <v>15</v>
      </c>
    </row>
    <row r="84" spans="1:6" ht="24">
      <c r="A84" s="3112">
        <v>12</v>
      </c>
      <c r="B84" s="3802"/>
      <c r="C84" s="3086" t="s">
        <v>2675</v>
      </c>
      <c r="D84" s="3086" t="s">
        <v>2676</v>
      </c>
      <c r="E84" s="3112">
        <v>0.1</v>
      </c>
      <c r="F84" s="3112">
        <v>15</v>
      </c>
    </row>
    <row r="85" spans="1:6" ht="13.5">
      <c r="A85" s="3112">
        <v>13</v>
      </c>
      <c r="B85" s="3802"/>
      <c r="C85" s="3086" t="s">
        <v>2677</v>
      </c>
      <c r="D85" s="3086" t="s">
        <v>2678</v>
      </c>
      <c r="E85" s="3112">
        <v>0.1</v>
      </c>
      <c r="F85" s="3112">
        <v>15</v>
      </c>
    </row>
    <row r="86" spans="1:6" ht="13.5">
      <c r="A86" s="3112">
        <v>14</v>
      </c>
      <c r="B86" s="3802"/>
      <c r="C86" s="3086" t="s">
        <v>2679</v>
      </c>
      <c r="D86" s="3086" t="s">
        <v>2680</v>
      </c>
      <c r="E86" s="3112">
        <v>0.1</v>
      </c>
      <c r="F86" s="3112">
        <v>15</v>
      </c>
    </row>
    <row r="87" spans="1:6" ht="13.5">
      <c r="A87" s="3112">
        <v>15</v>
      </c>
      <c r="B87" s="3802"/>
      <c r="C87" s="3086" t="s">
        <v>2681</v>
      </c>
      <c r="D87" s="3086" t="s">
        <v>2682</v>
      </c>
      <c r="E87" s="3112">
        <v>0.1</v>
      </c>
      <c r="F87" s="3112">
        <v>15</v>
      </c>
    </row>
    <row r="88" spans="1:6" ht="24">
      <c r="A88" s="3112">
        <v>16</v>
      </c>
      <c r="B88" s="3802"/>
      <c r="C88" s="3086" t="s">
        <v>2683</v>
      </c>
      <c r="D88" s="3086" t="s">
        <v>2684</v>
      </c>
      <c r="E88" s="3112">
        <v>0.1</v>
      </c>
      <c r="F88" s="3112">
        <v>15</v>
      </c>
    </row>
    <row r="89" spans="1:6" ht="24">
      <c r="A89" s="3112">
        <v>17</v>
      </c>
      <c r="B89" s="3811"/>
      <c r="C89" s="3086" t="s">
        <v>2685</v>
      </c>
      <c r="D89" s="3086" t="s">
        <v>2686</v>
      </c>
      <c r="E89" s="3112">
        <v>0.1</v>
      </c>
      <c r="F89" s="3112">
        <v>15</v>
      </c>
    </row>
    <row r="90" spans="1:6" ht="13.5">
      <c r="A90" s="3112">
        <v>18</v>
      </c>
      <c r="B90" s="3807" t="s">
        <v>2687</v>
      </c>
      <c r="C90" s="3086" t="s">
        <v>2688</v>
      </c>
      <c r="D90" s="3086" t="s">
        <v>2689</v>
      </c>
      <c r="E90" s="3112">
        <v>0.2</v>
      </c>
      <c r="F90" s="3112">
        <v>25</v>
      </c>
    </row>
    <row r="91" spans="1:6" ht="24">
      <c r="A91" s="3112">
        <v>19</v>
      </c>
      <c r="B91" s="3802"/>
      <c r="C91" s="3086" t="s">
        <v>2690</v>
      </c>
      <c r="D91" s="3086" t="s">
        <v>2691</v>
      </c>
      <c r="E91" s="3112">
        <v>0.2</v>
      </c>
      <c r="F91" s="3112">
        <v>25</v>
      </c>
    </row>
    <row r="92" spans="1:6" ht="13.5">
      <c r="A92" s="3112">
        <v>20</v>
      </c>
      <c r="B92" s="3802"/>
      <c r="C92" s="3086" t="s">
        <v>2692</v>
      </c>
      <c r="D92" s="3086" t="s">
        <v>2693</v>
      </c>
      <c r="E92" s="3112">
        <v>0.15</v>
      </c>
      <c r="F92" s="3112">
        <v>20</v>
      </c>
    </row>
    <row r="93" spans="1:6" ht="13.5">
      <c r="A93" s="3112">
        <v>21</v>
      </c>
      <c r="B93" s="3802"/>
      <c r="C93" s="3086" t="s">
        <v>2694</v>
      </c>
      <c r="D93" s="3086" t="s">
        <v>2695</v>
      </c>
      <c r="E93" s="3112">
        <v>0.15</v>
      </c>
      <c r="F93" s="3112">
        <v>20</v>
      </c>
    </row>
    <row r="94" spans="1:6" ht="13.5">
      <c r="A94" s="3112">
        <v>22</v>
      </c>
      <c r="B94" s="3802"/>
      <c r="C94" s="3086" t="s">
        <v>2696</v>
      </c>
      <c r="D94" s="3086" t="s">
        <v>2697</v>
      </c>
      <c r="E94" s="3112">
        <v>0.15</v>
      </c>
      <c r="F94" s="3112">
        <v>20</v>
      </c>
    </row>
    <row r="95" spans="1:6" ht="36">
      <c r="A95" s="3112">
        <v>23</v>
      </c>
      <c r="B95" s="3802"/>
      <c r="C95" s="3086" t="s">
        <v>2698</v>
      </c>
      <c r="D95" s="3086" t="s">
        <v>2699</v>
      </c>
      <c r="E95" s="3112">
        <v>0.15</v>
      </c>
      <c r="F95" s="3112">
        <v>20</v>
      </c>
    </row>
    <row r="96" spans="1:6" ht="13.5">
      <c r="A96" s="3112">
        <v>24</v>
      </c>
      <c r="B96" s="3802"/>
      <c r="C96" s="3086" t="s">
        <v>2700</v>
      </c>
      <c r="D96" s="3086" t="s">
        <v>2701</v>
      </c>
      <c r="E96" s="3112">
        <v>0.1</v>
      </c>
      <c r="F96" s="3112">
        <v>15</v>
      </c>
    </row>
    <row r="97" spans="1:6" ht="13.5">
      <c r="A97" s="3112">
        <v>25</v>
      </c>
      <c r="B97" s="3802"/>
      <c r="C97" s="3086" t="s">
        <v>2702</v>
      </c>
      <c r="D97" s="3086" t="s">
        <v>2703</v>
      </c>
      <c r="E97" s="3112">
        <v>0.1</v>
      </c>
      <c r="F97" s="3112">
        <v>15</v>
      </c>
    </row>
    <row r="98" spans="1:6" ht="24">
      <c r="A98" s="3112">
        <v>26</v>
      </c>
      <c r="B98" s="3802"/>
      <c r="C98" s="3086" t="s">
        <v>2704</v>
      </c>
      <c r="D98" s="3086" t="s">
        <v>2705</v>
      </c>
      <c r="E98" s="3112">
        <v>0.1</v>
      </c>
      <c r="F98" s="3112">
        <v>15</v>
      </c>
    </row>
    <row r="99" spans="1:6" ht="24">
      <c r="A99" s="3112">
        <v>27</v>
      </c>
      <c r="B99" s="3802"/>
      <c r="C99" s="3086" t="s">
        <v>2706</v>
      </c>
      <c r="D99" s="3086" t="s">
        <v>2707</v>
      </c>
      <c r="E99" s="3112">
        <v>0.1</v>
      </c>
      <c r="F99" s="3112">
        <v>15</v>
      </c>
    </row>
    <row r="100" spans="1:6" ht="13.5">
      <c r="A100" s="3112">
        <v>28</v>
      </c>
      <c r="B100" s="3802"/>
      <c r="C100" s="3086" t="s">
        <v>2708</v>
      </c>
      <c r="D100" s="3086" t="s">
        <v>2709</v>
      </c>
      <c r="E100" s="3112">
        <v>0.1</v>
      </c>
      <c r="F100" s="3112">
        <v>15</v>
      </c>
    </row>
    <row r="101" spans="1:6" ht="13.5">
      <c r="A101" s="3112">
        <v>29</v>
      </c>
      <c r="B101" s="3802"/>
      <c r="C101" s="3086" t="s">
        <v>2710</v>
      </c>
      <c r="D101" s="3086" t="s">
        <v>2711</v>
      </c>
      <c r="E101" s="3112">
        <v>0.1</v>
      </c>
      <c r="F101" s="3112">
        <v>15</v>
      </c>
    </row>
    <row r="102" spans="1:6" ht="13.5">
      <c r="A102" s="3112">
        <v>30</v>
      </c>
      <c r="B102" s="3802"/>
      <c r="C102" s="3086" t="s">
        <v>2712</v>
      </c>
      <c r="D102" s="3086" t="s">
        <v>2713</v>
      </c>
      <c r="E102" s="3112">
        <v>0.1</v>
      </c>
      <c r="F102" s="3112">
        <v>15</v>
      </c>
    </row>
    <row r="103" spans="1:6" ht="24">
      <c r="A103" s="3112">
        <v>31</v>
      </c>
      <c r="B103" s="3802"/>
      <c r="C103" s="3086" t="s">
        <v>2714</v>
      </c>
      <c r="D103" s="3086" t="s">
        <v>2715</v>
      </c>
      <c r="E103" s="3112">
        <v>0.1</v>
      </c>
      <c r="F103" s="3112">
        <v>15</v>
      </c>
    </row>
    <row r="104" spans="1:6" ht="24">
      <c r="A104" s="3112">
        <v>32</v>
      </c>
      <c r="B104" s="3802"/>
      <c r="C104" s="3086" t="s">
        <v>2716</v>
      </c>
      <c r="D104" s="3086" t="s">
        <v>2717</v>
      </c>
      <c r="E104" s="3112">
        <v>0.1</v>
      </c>
      <c r="F104" s="3112">
        <v>15</v>
      </c>
    </row>
    <row r="105" spans="1:6" ht="24">
      <c r="A105" s="3112">
        <v>33</v>
      </c>
      <c r="B105" s="3802"/>
      <c r="C105" s="3086" t="s">
        <v>2718</v>
      </c>
      <c r="D105" s="3086" t="s">
        <v>2719</v>
      </c>
      <c r="E105" s="3112">
        <v>0.1</v>
      </c>
      <c r="F105" s="3112">
        <v>15</v>
      </c>
    </row>
    <row r="106" spans="1:6" ht="24">
      <c r="A106" s="3112">
        <v>34</v>
      </c>
      <c r="B106" s="3811"/>
      <c r="C106" s="3086" t="s">
        <v>2720</v>
      </c>
      <c r="D106" s="3086" t="s">
        <v>2721</v>
      </c>
      <c r="E106" s="3112">
        <v>0.1</v>
      </c>
      <c r="F106" s="3112">
        <v>15</v>
      </c>
    </row>
    <row r="107" spans="1:6" ht="24">
      <c r="A107" s="3112">
        <v>35</v>
      </c>
      <c r="B107" s="3807" t="s">
        <v>2722</v>
      </c>
      <c r="C107" s="3112" t="s">
        <v>2723</v>
      </c>
      <c r="D107" s="3086" t="s">
        <v>2724</v>
      </c>
      <c r="E107" s="3112">
        <v>0.15</v>
      </c>
      <c r="F107" s="3112">
        <v>20</v>
      </c>
    </row>
    <row r="108" spans="1:6" ht="13.5">
      <c r="A108" s="3112">
        <v>36</v>
      </c>
      <c r="B108" s="3802"/>
      <c r="C108" s="3112" t="s">
        <v>2725</v>
      </c>
      <c r="D108" s="3086" t="s">
        <v>2726</v>
      </c>
      <c r="E108" s="3112">
        <v>0.15</v>
      </c>
      <c r="F108" s="3112">
        <v>20</v>
      </c>
    </row>
    <row r="109" spans="1:6" ht="13.5">
      <c r="A109" s="3112">
        <v>37</v>
      </c>
      <c r="B109" s="3802"/>
      <c r="C109" s="3112" t="s">
        <v>2727</v>
      </c>
      <c r="D109" s="3086" t="s">
        <v>2728</v>
      </c>
      <c r="E109" s="3112">
        <v>0.15</v>
      </c>
      <c r="F109" s="3112">
        <v>20</v>
      </c>
    </row>
    <row r="110" spans="1:6" ht="13.5">
      <c r="A110" s="3112">
        <v>38</v>
      </c>
      <c r="B110" s="3802"/>
      <c r="C110" s="3112" t="s">
        <v>2729</v>
      </c>
      <c r="D110" s="3086" t="s">
        <v>2730</v>
      </c>
      <c r="E110" s="3112">
        <v>0.1</v>
      </c>
      <c r="F110" s="3112">
        <v>15</v>
      </c>
    </row>
    <row r="111" spans="1:6" ht="24">
      <c r="A111" s="3112">
        <v>39</v>
      </c>
      <c r="B111" s="3802"/>
      <c r="C111" s="3112" t="s">
        <v>2731</v>
      </c>
      <c r="D111" s="3086" t="s">
        <v>2732</v>
      </c>
      <c r="E111" s="3112">
        <v>0.1</v>
      </c>
      <c r="F111" s="3112">
        <v>15</v>
      </c>
    </row>
    <row r="112" spans="1:6" ht="24">
      <c r="A112" s="3112">
        <v>40</v>
      </c>
      <c r="B112" s="3811"/>
      <c r="C112" s="3112" t="s">
        <v>2733</v>
      </c>
      <c r="D112" s="3086" t="s">
        <v>2734</v>
      </c>
      <c r="E112" s="3112">
        <v>0.1</v>
      </c>
      <c r="F112" s="3112">
        <v>15</v>
      </c>
    </row>
    <row r="113" spans="1:6" ht="13.5">
      <c r="A113" s="3112">
        <v>41</v>
      </c>
      <c r="B113" s="3812" t="s">
        <v>2735</v>
      </c>
      <c r="C113" s="3112" t="s">
        <v>2736</v>
      </c>
      <c r="D113" s="3086" t="s">
        <v>2737</v>
      </c>
      <c r="E113" s="3112">
        <v>0.1</v>
      </c>
      <c r="F113" s="3112">
        <v>15</v>
      </c>
    </row>
    <row r="114" spans="1:6" ht="13.5">
      <c r="A114" s="3112">
        <v>42</v>
      </c>
      <c r="B114" s="3812"/>
      <c r="C114" s="3112" t="s">
        <v>2738</v>
      </c>
      <c r="D114" s="3086" t="s">
        <v>2739</v>
      </c>
      <c r="E114" s="3112">
        <v>0.1</v>
      </c>
      <c r="F114" s="3112">
        <v>15</v>
      </c>
    </row>
    <row r="115" spans="1:6" ht="24">
      <c r="A115" s="3112">
        <v>43</v>
      </c>
      <c r="B115" s="3812"/>
      <c r="C115" s="3112" t="s">
        <v>2740</v>
      </c>
      <c r="D115" s="3086" t="s">
        <v>2741</v>
      </c>
      <c r="E115" s="3112">
        <v>0.1</v>
      </c>
      <c r="F115" s="3112">
        <v>15</v>
      </c>
    </row>
    <row r="116" spans="1:6" ht="13.5">
      <c r="A116" s="3112">
        <v>44</v>
      </c>
      <c r="B116" s="3807" t="s">
        <v>2742</v>
      </c>
      <c r="C116" s="3112" t="s">
        <v>2743</v>
      </c>
      <c r="D116" s="3086" t="s">
        <v>2744</v>
      </c>
      <c r="E116" s="3112">
        <v>0.1</v>
      </c>
      <c r="F116" s="3112">
        <v>15</v>
      </c>
    </row>
    <row r="117" spans="1:6" ht="24">
      <c r="A117" s="3112">
        <v>45</v>
      </c>
      <c r="B117" s="3811"/>
      <c r="C117" s="3086" t="s">
        <v>2745</v>
      </c>
      <c r="D117" s="3086" t="s">
        <v>2746</v>
      </c>
      <c r="E117" s="3112">
        <v>0.1</v>
      </c>
      <c r="F117" s="3112">
        <v>15</v>
      </c>
    </row>
    <row r="118" spans="1:6" ht="24">
      <c r="A118" s="3112">
        <v>46</v>
      </c>
      <c r="B118" s="3807" t="s">
        <v>2747</v>
      </c>
      <c r="C118" s="3112" t="s">
        <v>2748</v>
      </c>
      <c r="D118" s="3086" t="s">
        <v>2749</v>
      </c>
      <c r="E118" s="3112">
        <v>0.1</v>
      </c>
      <c r="F118" s="3112">
        <v>15</v>
      </c>
    </row>
    <row r="119" spans="1:6" ht="24">
      <c r="A119" s="3112">
        <v>47</v>
      </c>
      <c r="B119" s="3811"/>
      <c r="C119" s="3112" t="s">
        <v>2750</v>
      </c>
      <c r="D119" s="3086" t="s">
        <v>2751</v>
      </c>
      <c r="E119" s="3112">
        <v>0.1</v>
      </c>
      <c r="F119" s="3112">
        <v>15</v>
      </c>
    </row>
    <row r="120" spans="1:6" ht="13.5">
      <c r="A120" s="3112">
        <v>48</v>
      </c>
      <c r="B120" s="3807" t="s">
        <v>2752</v>
      </c>
      <c r="C120" s="3112" t="s">
        <v>2753</v>
      </c>
      <c r="D120" s="3086" t="s">
        <v>2754</v>
      </c>
      <c r="E120" s="3112">
        <v>0.1</v>
      </c>
      <c r="F120" s="3112">
        <v>15</v>
      </c>
    </row>
    <row r="121" spans="1:6" ht="13.5">
      <c r="A121" s="3112">
        <v>49</v>
      </c>
      <c r="B121" s="3811"/>
      <c r="C121" s="3112" t="s">
        <v>2755</v>
      </c>
      <c r="D121" s="3086" t="s">
        <v>2756</v>
      </c>
      <c r="E121" s="3112">
        <v>0.1</v>
      </c>
      <c r="F121" s="3112">
        <v>15</v>
      </c>
    </row>
    <row r="122" spans="1:6" ht="24">
      <c r="A122" s="3112">
        <v>50</v>
      </c>
      <c r="B122" s="3812" t="s">
        <v>2757</v>
      </c>
      <c r="C122" s="3112" t="s">
        <v>2758</v>
      </c>
      <c r="D122" s="3086" t="s">
        <v>2759</v>
      </c>
      <c r="E122" s="3112">
        <v>0.1</v>
      </c>
      <c r="F122" s="3112">
        <v>15</v>
      </c>
    </row>
    <row r="123" spans="1:6" ht="24">
      <c r="A123" s="3112">
        <v>51</v>
      </c>
      <c r="B123" s="3812"/>
      <c r="C123" s="3112" t="s">
        <v>2760</v>
      </c>
      <c r="D123" s="3086" t="s">
        <v>2761</v>
      </c>
      <c r="E123" s="3112">
        <v>0.1</v>
      </c>
      <c r="F123" s="3112">
        <v>15</v>
      </c>
    </row>
    <row r="124" spans="1:6" ht="24">
      <c r="A124" s="3112">
        <v>52</v>
      </c>
      <c r="B124" s="3812" t="s">
        <v>2762</v>
      </c>
      <c r="C124" s="3112" t="s">
        <v>2763</v>
      </c>
      <c r="D124" s="3086" t="s">
        <v>2764</v>
      </c>
      <c r="E124" s="3112">
        <v>0.1</v>
      </c>
      <c r="F124" s="3112">
        <v>15</v>
      </c>
    </row>
    <row r="125" spans="1:6" ht="24">
      <c r="A125" s="3112">
        <v>53</v>
      </c>
      <c r="B125" s="3812"/>
      <c r="C125" s="3112" t="s">
        <v>2765</v>
      </c>
      <c r="D125" s="3086" t="s">
        <v>2766</v>
      </c>
      <c r="E125" s="3112">
        <v>0.1</v>
      </c>
      <c r="F125" s="3112">
        <v>15</v>
      </c>
    </row>
    <row r="126" spans="1:6" ht="13.5">
      <c r="A126" s="3112">
        <v>54</v>
      </c>
      <c r="B126" s="3112" t="s">
        <v>2767</v>
      </c>
      <c r="C126" s="3112" t="s">
        <v>2768</v>
      </c>
      <c r="D126" s="3086" t="s">
        <v>2769</v>
      </c>
      <c r="E126" s="3112">
        <v>0.1</v>
      </c>
      <c r="F126" s="3112">
        <v>15</v>
      </c>
    </row>
    <row r="127" spans="1:6" ht="13.5">
      <c r="A127" s="3112">
        <v>55</v>
      </c>
      <c r="B127" s="3812" t="s">
        <v>2770</v>
      </c>
      <c r="C127" s="3112" t="s">
        <v>2771</v>
      </c>
      <c r="D127" s="3086" t="s">
        <v>2772</v>
      </c>
      <c r="E127" s="3112">
        <v>0.1</v>
      </c>
      <c r="F127" s="3112">
        <v>15</v>
      </c>
    </row>
    <row r="128" spans="1:6" ht="13.5">
      <c r="A128" s="3112">
        <v>56</v>
      </c>
      <c r="B128" s="3812"/>
      <c r="C128" s="3112" t="s">
        <v>2773</v>
      </c>
      <c r="D128" s="3086" t="s">
        <v>2774</v>
      </c>
      <c r="E128" s="3112">
        <v>0.1</v>
      </c>
      <c r="F128" s="3112">
        <v>15</v>
      </c>
    </row>
    <row r="129" spans="1:6" ht="24">
      <c r="A129" s="3112">
        <v>57</v>
      </c>
      <c r="B129" s="3812"/>
      <c r="C129" s="3112" t="s">
        <v>2775</v>
      </c>
      <c r="D129" s="3086" t="s">
        <v>2776</v>
      </c>
      <c r="E129" s="3112">
        <v>0.1</v>
      </c>
      <c r="F129" s="3112">
        <v>15</v>
      </c>
    </row>
    <row r="130" spans="1:6" ht="24">
      <c r="A130" s="3112">
        <v>58</v>
      </c>
      <c r="B130" s="3812" t="s">
        <v>2777</v>
      </c>
      <c r="C130" s="3112" t="s">
        <v>2778</v>
      </c>
      <c r="D130" s="3086" t="s">
        <v>2779</v>
      </c>
      <c r="E130" s="3112">
        <v>0.1</v>
      </c>
      <c r="F130" s="3112">
        <v>15</v>
      </c>
    </row>
    <row r="131" spans="1:6" ht="13.5">
      <c r="A131" s="3112">
        <v>59</v>
      </c>
      <c r="B131" s="3812"/>
      <c r="C131" s="3112" t="s">
        <v>2780</v>
      </c>
      <c r="D131" s="3086" t="s">
        <v>2781</v>
      </c>
      <c r="E131" s="3112">
        <v>0.1</v>
      </c>
      <c r="F131" s="3112">
        <v>15</v>
      </c>
    </row>
    <row r="132" spans="1:6" ht="13.5">
      <c r="A132" s="3112">
        <v>60</v>
      </c>
      <c r="B132" s="3807" t="s">
        <v>2782</v>
      </c>
      <c r="C132" s="3112" t="s">
        <v>2783</v>
      </c>
      <c r="D132" s="3086" t="s">
        <v>2784</v>
      </c>
      <c r="E132" s="3112">
        <v>0.1</v>
      </c>
      <c r="F132" s="3112">
        <v>15</v>
      </c>
    </row>
    <row r="133" spans="1:6" ht="13.5">
      <c r="A133" s="3112">
        <v>61</v>
      </c>
      <c r="B133" s="3811"/>
      <c r="C133" s="3112" t="s">
        <v>2785</v>
      </c>
      <c r="D133" s="3086" t="s">
        <v>2786</v>
      </c>
      <c r="E133" s="3112">
        <v>0.1</v>
      </c>
      <c r="F133" s="3112">
        <v>15</v>
      </c>
    </row>
    <row r="134" spans="1:6" ht="24">
      <c r="A134" s="3112">
        <v>62</v>
      </c>
      <c r="B134" s="3112" t="s">
        <v>2787</v>
      </c>
      <c r="C134" s="3112" t="s">
        <v>2788</v>
      </c>
      <c r="D134" s="3086" t="s">
        <v>2789</v>
      </c>
      <c r="E134" s="3112">
        <v>0.1</v>
      </c>
      <c r="F134" s="3112">
        <v>15</v>
      </c>
    </row>
    <row r="135" spans="1:6" ht="13.5">
      <c r="A135" s="3112">
        <v>63</v>
      </c>
      <c r="B135" s="3812" t="s">
        <v>2790</v>
      </c>
      <c r="C135" s="3112" t="s">
        <v>2791</v>
      </c>
      <c r="D135" s="3086" t="s">
        <v>2792</v>
      </c>
      <c r="E135" s="3112">
        <v>0.1</v>
      </c>
      <c r="F135" s="3112">
        <v>15</v>
      </c>
    </row>
    <row r="136" spans="1:6" ht="13.5">
      <c r="A136" s="3112">
        <v>64</v>
      </c>
      <c r="B136" s="3812"/>
      <c r="C136" s="3112" t="s">
        <v>2793</v>
      </c>
      <c r="D136" s="3086" t="s">
        <v>2794</v>
      </c>
      <c r="E136" s="3112">
        <v>0.1</v>
      </c>
      <c r="F136" s="3112">
        <v>15</v>
      </c>
    </row>
    <row r="137" spans="1:6" ht="13.5">
      <c r="A137" s="3112">
        <v>65</v>
      </c>
      <c r="B137" s="3112" t="s">
        <v>2795</v>
      </c>
      <c r="C137" s="3112" t="s">
        <v>2796</v>
      </c>
      <c r="D137" s="3086" t="s">
        <v>2797</v>
      </c>
      <c r="E137" s="3112">
        <v>0.1</v>
      </c>
      <c r="F137" s="3112">
        <v>15</v>
      </c>
    </row>
    <row r="138" spans="1:6" ht="13.5">
      <c r="A138" s="3112"/>
      <c r="B138" s="3112"/>
      <c r="C138" s="3112"/>
      <c r="D138" s="3112"/>
      <c r="E138" s="3112" t="s">
        <v>2798</v>
      </c>
      <c r="F138" s="3112"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2799</v>
      </c>
      <c r="B1" s="3121"/>
      <c r="C1" s="3121"/>
      <c r="D1" s="3121"/>
      <c r="E1" s="3121"/>
      <c r="F1" s="3121"/>
      <c r="G1" s="3121"/>
      <c r="H1" s="3121"/>
      <c r="I1" s="3121"/>
      <c r="J1" s="3121"/>
      <c r="K1" s="3121"/>
      <c r="L1" s="3121"/>
      <c r="M1" s="3121"/>
      <c r="N1" s="749"/>
    </row>
    <row r="2" spans="1:20">
      <c r="A2" s="3122" t="s">
        <v>2800</v>
      </c>
      <c r="B2" s="3123" t="s">
        <v>2596</v>
      </c>
      <c r="C2" s="3123" t="s">
        <v>2597</v>
      </c>
      <c r="D2" s="3123" t="s">
        <v>2598</v>
      </c>
      <c r="E2" s="3123" t="s">
        <v>2599</v>
      </c>
      <c r="F2" s="3123" t="s">
        <v>2600</v>
      </c>
      <c r="G2" s="3123" t="s">
        <v>2601</v>
      </c>
      <c r="H2" s="3124" t="s">
        <v>2602</v>
      </c>
      <c r="I2" s="3124" t="s">
        <v>2603</v>
      </c>
      <c r="J2" s="3125" t="s">
        <v>2604</v>
      </c>
      <c r="K2" s="3125" t="s">
        <v>2605</v>
      </c>
      <c r="L2" s="3125" t="s">
        <v>2606</v>
      </c>
      <c r="M2" s="3126" t="s">
        <v>2607</v>
      </c>
      <c r="Q2" s="3136" t="s">
        <v>2805</v>
      </c>
      <c r="R2" s="3136" t="s">
        <v>2806</v>
      </c>
      <c r="S2" s="3136" t="s">
        <v>2807</v>
      </c>
      <c r="T2" s="3136" t="s">
        <v>2808</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2801</v>
      </c>
      <c r="B93" s="3121"/>
      <c r="C93" s="3121"/>
      <c r="D93" s="3121"/>
      <c r="E93" s="3121"/>
      <c r="F93" s="3121"/>
      <c r="G93" s="3121"/>
      <c r="H93" s="3121"/>
      <c r="I93" s="3121"/>
      <c r="J93" s="3121"/>
      <c r="K93" s="3121"/>
      <c r="L93" s="3121"/>
      <c r="M93" s="3121"/>
    </row>
    <row r="94" spans="1:20">
      <c r="A94" s="3122" t="s">
        <v>2800</v>
      </c>
      <c r="B94" s="3123" t="s">
        <v>2596</v>
      </c>
      <c r="C94" s="3123" t="s">
        <v>2597</v>
      </c>
      <c r="D94" s="3123" t="s">
        <v>2598</v>
      </c>
      <c r="E94" s="3123" t="s">
        <v>2599</v>
      </c>
      <c r="F94" s="3123" t="s">
        <v>2600</v>
      </c>
      <c r="G94" s="3123" t="s">
        <v>2601</v>
      </c>
      <c r="H94" s="3124" t="s">
        <v>2602</v>
      </c>
      <c r="I94" s="3124" t="s">
        <v>2603</v>
      </c>
      <c r="J94" s="3125" t="s">
        <v>2604</v>
      </c>
      <c r="K94" s="3125" t="s">
        <v>2605</v>
      </c>
      <c r="L94" s="3125" t="s">
        <v>2606</v>
      </c>
      <c r="M94" s="3126" t="s">
        <v>2607</v>
      </c>
      <c r="N94" s="750">
        <f>SUMPRODUCT((A95:A184=ROUNDDOWN(基准地价修正!G3,1))*(B94:M94=基准地价修正!G2)*(B95:M184))</f>
        <v>0</v>
      </c>
      <c r="Q94" s="3136" t="s">
        <v>2805</v>
      </c>
      <c r="R94" s="3136" t="s">
        <v>2806</v>
      </c>
      <c r="S94" s="3136" t="s">
        <v>2807</v>
      </c>
      <c r="T94" s="3136" t="s">
        <v>2808</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2802</v>
      </c>
      <c r="B185" s="3121"/>
      <c r="C185" s="3121"/>
      <c r="D185" s="3121"/>
      <c r="E185" s="3121"/>
      <c r="F185" s="3121"/>
      <c r="G185" s="3121"/>
      <c r="H185" s="3121"/>
      <c r="I185" s="3121"/>
      <c r="J185" s="3121"/>
      <c r="K185" s="3121"/>
      <c r="L185" s="3121"/>
      <c r="M185" s="3121"/>
    </row>
    <row r="186" spans="1:20">
      <c r="A186" s="3122" t="s">
        <v>2800</v>
      </c>
      <c r="B186" s="3123" t="s">
        <v>2596</v>
      </c>
      <c r="C186" s="3123" t="s">
        <v>2597</v>
      </c>
      <c r="D186" s="3123" t="s">
        <v>2598</v>
      </c>
      <c r="E186" s="3123" t="s">
        <v>2599</v>
      </c>
      <c r="F186" s="3123" t="s">
        <v>2600</v>
      </c>
      <c r="G186" s="3123" t="s">
        <v>2601</v>
      </c>
      <c r="H186" s="3124" t="s">
        <v>2602</v>
      </c>
      <c r="I186" s="3124" t="s">
        <v>2603</v>
      </c>
      <c r="J186" s="3125" t="s">
        <v>2604</v>
      </c>
      <c r="K186" s="3125" t="s">
        <v>2605</v>
      </c>
      <c r="L186" s="3125" t="s">
        <v>2606</v>
      </c>
      <c r="M186" s="3126" t="s">
        <v>2607</v>
      </c>
      <c r="Q186" s="3136" t="s">
        <v>2805</v>
      </c>
      <c r="R186" s="3136" t="s">
        <v>2806</v>
      </c>
      <c r="S186" s="3136" t="s">
        <v>2807</v>
      </c>
      <c r="T186" s="3136" t="s">
        <v>2808</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2803</v>
      </c>
      <c r="B277" s="3121"/>
      <c r="C277" s="3121"/>
      <c r="D277" s="3121"/>
      <c r="E277" s="3121"/>
      <c r="F277" s="3121"/>
      <c r="G277" s="3121"/>
      <c r="H277" s="3121"/>
      <c r="I277" s="3121"/>
      <c r="J277" s="3121"/>
      <c r="K277" s="3121"/>
      <c r="L277" s="3121"/>
      <c r="M277" s="3121"/>
    </row>
    <row r="278" spans="1:21">
      <c r="A278" s="3122" t="s">
        <v>2800</v>
      </c>
      <c r="B278" s="3123" t="s">
        <v>2596</v>
      </c>
      <c r="C278" s="3123" t="s">
        <v>2597</v>
      </c>
      <c r="D278" s="3123" t="s">
        <v>2598</v>
      </c>
      <c r="E278" s="3123" t="s">
        <v>2599</v>
      </c>
      <c r="F278" s="3123" t="s">
        <v>2600</v>
      </c>
      <c r="G278" s="3123" t="s">
        <v>2601</v>
      </c>
      <c r="H278" s="3124" t="s">
        <v>2602</v>
      </c>
      <c r="I278" s="3124" t="s">
        <v>2603</v>
      </c>
      <c r="J278" s="3125" t="s">
        <v>2604</v>
      </c>
      <c r="K278" s="3125" t="s">
        <v>2605</v>
      </c>
      <c r="L278" s="3125" t="s">
        <v>2606</v>
      </c>
      <c r="M278" s="3126" t="s">
        <v>2607</v>
      </c>
      <c r="Q278" s="3136" t="s">
        <v>2805</v>
      </c>
      <c r="R278" s="3136" t="s">
        <v>2806</v>
      </c>
      <c r="S278" s="3136" t="s">
        <v>2809</v>
      </c>
      <c r="T278" s="3136" t="s">
        <v>2810</v>
      </c>
      <c r="U278" s="3136" t="s">
        <v>2808</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2804</v>
      </c>
      <c r="B369" s="3134"/>
      <c r="C369" s="3134"/>
      <c r="D369" s="3134"/>
      <c r="E369" s="3134"/>
      <c r="F369" s="3134"/>
      <c r="G369" s="3134"/>
      <c r="H369" s="3134"/>
      <c r="I369" s="3134"/>
      <c r="J369" s="3134"/>
      <c r="K369" s="3134"/>
      <c r="L369" s="3134"/>
      <c r="M369" s="3134"/>
    </row>
    <row r="370" spans="1:20">
      <c r="A370" s="3122" t="s">
        <v>2800</v>
      </c>
      <c r="B370" s="3123" t="s">
        <v>2596</v>
      </c>
      <c r="C370" s="3123" t="s">
        <v>2597</v>
      </c>
      <c r="D370" s="3123" t="s">
        <v>2598</v>
      </c>
      <c r="E370" s="3123" t="s">
        <v>2599</v>
      </c>
      <c r="F370" s="3123" t="s">
        <v>2600</v>
      </c>
      <c r="G370" s="3123" t="s">
        <v>2601</v>
      </c>
      <c r="H370" s="3124" t="s">
        <v>2602</v>
      </c>
      <c r="I370" s="3124" t="s">
        <v>2603</v>
      </c>
      <c r="J370" s="3125" t="s">
        <v>2604</v>
      </c>
      <c r="K370" s="3125" t="s">
        <v>2605</v>
      </c>
      <c r="L370" s="3125" t="s">
        <v>2606</v>
      </c>
      <c r="M370" s="3126" t="s">
        <v>2607</v>
      </c>
      <c r="N370" s="750">
        <f>SUMPRODUCT((A371:A460=ROUNDDOWN(基准地价修正!G3,1))*(B370:M370=基准地价修正!G2)*(B371:M460))</f>
        <v>0</v>
      </c>
      <c r="Q370" s="3136" t="s">
        <v>2805</v>
      </c>
      <c r="R370" s="3136" t="s">
        <v>2806</v>
      </c>
      <c r="S370" s="3136" t="s">
        <v>2807</v>
      </c>
      <c r="T370" s="3136" t="s">
        <v>2808</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65948</v>
      </c>
      <c r="C2" s="2" t="s">
        <v>106</v>
      </c>
      <c r="D2" s="199"/>
      <c r="E2" s="199"/>
      <c r="F2" s="199"/>
      <c r="G2" s="199"/>
    </row>
    <row r="3" spans="1:7" s="200" customFormat="1" ht="18" customHeight="1" thickBot="1">
      <c r="A3" s="203" t="s">
        <v>58</v>
      </c>
      <c r="B3" s="204">
        <f ca="1">ROUND(B2*10000/'数据-汇总表'!E3,0)</f>
        <v>11478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210</v>
      </c>
      <c r="D9" s="845">
        <f>'数据-汇总表'!E5</f>
        <v>14977.599999999997</v>
      </c>
      <c r="E9" s="225">
        <f>'数据-取费表'!B27</f>
        <v>140</v>
      </c>
      <c r="F9" s="221"/>
      <c r="G9" s="226"/>
    </row>
    <row r="10" spans="1:7" s="214" customFormat="1" ht="13.5" customHeight="1">
      <c r="A10" s="779" t="s">
        <v>356</v>
      </c>
      <c r="B10" s="224" t="s">
        <v>67</v>
      </c>
      <c r="C10" s="225">
        <f>ROUND(D10*E10/10000,0)</f>
        <v>722</v>
      </c>
      <c r="D10" s="845">
        <f>'数据-汇总表'!E6</f>
        <v>42480.27</v>
      </c>
      <c r="E10" s="225">
        <f>'数据-取费表'!B28</f>
        <v>170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1149</v>
      </c>
      <c r="D19" s="849">
        <f>'数据-汇总表'!E3</f>
        <v>57457.869999999995</v>
      </c>
      <c r="E19" s="211">
        <f>'数据-取费表'!B31</f>
        <v>200</v>
      </c>
      <c r="F19" s="231"/>
      <c r="G19" s="1" t="s">
        <v>436</v>
      </c>
    </row>
    <row r="20" spans="1:7" s="214" customFormat="1" ht="13.5" customHeight="1">
      <c r="A20" s="777" t="s">
        <v>419</v>
      </c>
      <c r="B20" s="210" t="s">
        <v>77</v>
      </c>
      <c r="C20" s="232">
        <f>ROUND((C5+C19)*F20,0)</f>
        <v>435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2820</v>
      </c>
      <c r="D22" s="235">
        <f ca="1">C26</f>
        <v>1.1999999999999999E-3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147</v>
      </c>
      <c r="D24" s="238"/>
      <c r="E24" s="238"/>
      <c r="F24" s="239"/>
      <c r="G24" s="240" t="s">
        <v>82</v>
      </c>
    </row>
    <row r="25" spans="1:7" s="214" customFormat="1" ht="24">
      <c r="A25" s="780" t="s">
        <v>348</v>
      </c>
      <c r="B25" s="215" t="s">
        <v>420</v>
      </c>
      <c r="C25" s="1105">
        <f ca="1">ROUND(IF('数据-取费表'!B22&lt;=1,C20*F22*'数据-取费表'!B23/2,C20*(POWER((1+F22),'数据-取费表'!B23/2)-1)),0)</f>
        <v>27</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4.75">
      <c r="A27" s="777" t="s">
        <v>342</v>
      </c>
      <c r="B27" s="244" t="s">
        <v>85</v>
      </c>
      <c r="C27" s="245">
        <f>C28</f>
        <v>1977</v>
      </c>
      <c r="D27" s="235">
        <f>C29</f>
        <v>1.8E-3</v>
      </c>
      <c r="E27" s="236" t="s">
        <v>99</v>
      </c>
      <c r="F27" s="246">
        <f>'数据-取费表'!Q16</f>
        <v>0.09</v>
      </c>
      <c r="G27" s="247" t="s">
        <v>431</v>
      </c>
    </row>
    <row r="28" spans="1:7" s="214" customFormat="1" ht="13.5" customHeight="1">
      <c r="A28" s="780" t="s">
        <v>349</v>
      </c>
      <c r="B28" s="248" t="s">
        <v>424</v>
      </c>
      <c r="C28" s="249">
        <f>ROUND((C5+C19+C20)*F27*'数据-取费表'!B21/'数据-取费表'!B20,0)</f>
        <v>1977</v>
      </c>
      <c r="D28" s="235"/>
      <c r="E28" s="236"/>
      <c r="F28" s="246"/>
      <c r="G28" s="247"/>
    </row>
    <row r="29" spans="1:7" s="214" customFormat="1" ht="13.5" customHeight="1">
      <c r="A29" s="780" t="s">
        <v>347</v>
      </c>
      <c r="B29" s="248" t="s">
        <v>425</v>
      </c>
      <c r="C29" s="238">
        <f>ROUND(C21*F27*'数据-取费表'!B21/'数据-取费表'!B20,4)</f>
        <v>1.8E-3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29191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28917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26214</v>
      </c>
      <c r="D34" s="217"/>
      <c r="E34" s="220"/>
      <c r="F34" s="257">
        <f>IF('数据-取费表'!B24=0,1,'数据-取费表'!N16)</f>
        <v>0.99</v>
      </c>
      <c r="G34" s="219" t="s">
        <v>89</v>
      </c>
    </row>
    <row r="35" spans="1:7" ht="13.5" customHeight="1">
      <c r="A35" s="780" t="s">
        <v>351</v>
      </c>
      <c r="B35" s="215" t="s">
        <v>33</v>
      </c>
      <c r="C35" s="220">
        <f>ROUND(C34*F35,0)</f>
        <v>786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386</v>
      </c>
      <c r="D36" s="220"/>
      <c r="E36" s="220"/>
      <c r="F36" s="259">
        <f>'数据-取费表'!B34</f>
        <v>0.05</v>
      </c>
      <c r="G36" s="260" t="s">
        <v>35</v>
      </c>
    </row>
    <row r="37" spans="1:7" s="258" customFormat="1" ht="13.5" customHeight="1">
      <c r="A37" s="780" t="s">
        <v>353</v>
      </c>
      <c r="B37" s="215" t="s">
        <v>91</v>
      </c>
      <c r="C37" s="249">
        <f>ROUND(E37*D37*F34/10000,0)</f>
        <v>1138</v>
      </c>
      <c r="D37" s="217">
        <f>'数据-汇总表'!E3</f>
        <v>57457.869999999995</v>
      </c>
      <c r="E37" s="249">
        <f>'数据-取费表'!B35</f>
        <v>200</v>
      </c>
      <c r="F37" s="259"/>
      <c r="G37" s="261" t="s">
        <v>92</v>
      </c>
    </row>
    <row r="38" spans="1:7" ht="13.5" customHeight="1">
      <c r="A38" s="780" t="s">
        <v>354</v>
      </c>
      <c r="B38" s="215" t="s">
        <v>36</v>
      </c>
      <c r="C38" s="220">
        <f>ROUND(C34*F38,0)</f>
        <v>393</v>
      </c>
      <c r="D38" s="220"/>
      <c r="E38" s="220"/>
      <c r="F38" s="259">
        <f>'数据-取费表'!B36</f>
        <v>1.4999999999999999E-2</v>
      </c>
      <c r="G38" s="219" t="s">
        <v>90</v>
      </c>
    </row>
    <row r="39" spans="1:7" s="214" customFormat="1" ht="13.5" customHeight="1">
      <c r="A39" s="777" t="s">
        <v>338</v>
      </c>
      <c r="B39" s="210" t="s">
        <v>77</v>
      </c>
      <c r="C39" s="232">
        <f>ROUND(C33*F20,0)</f>
        <v>578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1836</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1800</v>
      </c>
      <c r="D42" s="238"/>
      <c r="E42" s="238"/>
      <c r="F42" s="239"/>
      <c r="G42" s="3677" t="s">
        <v>94</v>
      </c>
    </row>
    <row r="43" spans="1:7" ht="13.5" customHeight="1">
      <c r="A43" s="780" t="s">
        <v>347</v>
      </c>
      <c r="B43" s="215" t="s">
        <v>426</v>
      </c>
      <c r="C43" s="238">
        <f ca="1">ROUND(IF('数据-取费表'!B22&lt;=1,C39*F22*'数据-取费表'!B21/2,C39*(POWER((1+F22),'数据-取费表'!B21/2)-1)),0)</f>
        <v>36</v>
      </c>
      <c r="D43" s="238"/>
      <c r="E43" s="238"/>
      <c r="F43" s="239"/>
      <c r="G43" s="3678"/>
    </row>
    <row r="44" spans="1:7" ht="13.5" customHeight="1">
      <c r="A44" s="780" t="s">
        <v>348</v>
      </c>
      <c r="B44" s="215" t="s">
        <v>428</v>
      </c>
      <c r="C44" s="238">
        <f ca="1">ROUND(IF('数据-取费表'!B22&lt;=1,C40*F22*'数据-取费表'!B21/2,C40*(POWER((1+F22),'数据-取费表'!B21/2)-1)),4)</f>
        <v>1.1999999999999999E-3</v>
      </c>
      <c r="D44" s="238"/>
      <c r="E44" s="238"/>
      <c r="F44" s="239"/>
      <c r="G44" s="3679"/>
    </row>
    <row r="45" spans="1:7" s="214" customFormat="1" ht="13.5" customHeight="1">
      <c r="A45" s="777" t="s">
        <v>341</v>
      </c>
      <c r="B45" s="244" t="s">
        <v>85</v>
      </c>
      <c r="C45" s="245">
        <f>C46</f>
        <v>2655</v>
      </c>
      <c r="D45" s="235">
        <f>C47</f>
        <v>1.8E-3</v>
      </c>
      <c r="E45" s="236" t="s">
        <v>102</v>
      </c>
      <c r="F45" s="246"/>
      <c r="G45" s="247" t="s">
        <v>434</v>
      </c>
    </row>
    <row r="46" spans="1:7" s="214" customFormat="1" ht="13.5" customHeight="1">
      <c r="A46" s="780" t="s">
        <v>349</v>
      </c>
      <c r="B46" s="248" t="s">
        <v>427</v>
      </c>
      <c r="C46" s="249">
        <f>ROUND((C33+C39)*F27,0)</f>
        <v>2655</v>
      </c>
      <c r="D46" s="263"/>
      <c r="E46" s="236"/>
      <c r="F46" s="246"/>
      <c r="G46" s="247"/>
    </row>
    <row r="47" spans="1:7" s="214" customFormat="1" ht="13.5" customHeight="1">
      <c r="A47" s="780" t="s">
        <v>347</v>
      </c>
      <c r="B47" s="248" t="s">
        <v>429</v>
      </c>
      <c r="C47" s="238">
        <f>ROUND(C40*F27,4)</f>
        <v>1.8E-3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36757</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36757</v>
      </c>
      <c r="D51" s="232"/>
      <c r="E51" s="232"/>
      <c r="F51" s="264"/>
      <c r="G51" s="234" t="s">
        <v>37</v>
      </c>
    </row>
    <row r="52" spans="1:7" s="208" customFormat="1" ht="16.5" thickBot="1">
      <c r="A52" s="265" t="s">
        <v>38</v>
      </c>
      <c r="B52" s="266"/>
      <c r="C52" s="267">
        <f ca="1">C31+C51</f>
        <v>65948</v>
      </c>
      <c r="D52" s="266"/>
      <c r="E52" s="266"/>
      <c r="F52" s="266"/>
      <c r="G52" s="268"/>
    </row>
    <row r="55" spans="1:7" ht="15">
      <c r="B55" s="270" t="s">
        <v>39</v>
      </c>
      <c r="C55" s="271"/>
    </row>
    <row r="56" spans="1:7">
      <c r="B56" s="273" t="s">
        <v>40</v>
      </c>
      <c r="C56" s="274">
        <f ca="1">ROUND(C51/C52,3)</f>
        <v>0.55700000000000005</v>
      </c>
    </row>
    <row r="57" spans="1:7">
      <c r="B57" s="273" t="s">
        <v>41</v>
      </c>
      <c r="C57" s="275">
        <f ca="1">1-C56</f>
        <v>0.44299999999999995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15" t="s">
        <v>2844</v>
      </c>
      <c r="B1" s="3815"/>
      <c r="C1" s="3815"/>
      <c r="D1" s="3815"/>
      <c r="E1" s="3815"/>
      <c r="F1" s="3815"/>
      <c r="G1" s="3816"/>
      <c r="I1" s="3217" t="s">
        <v>2845</v>
      </c>
      <c r="J1" s="3218" t="s">
        <v>2846</v>
      </c>
      <c r="K1" s="3218" t="s">
        <v>2847</v>
      </c>
      <c r="L1" s="3218" t="s">
        <v>2848</v>
      </c>
      <c r="M1" s="3218" t="s">
        <v>2849</v>
      </c>
      <c r="N1" s="3218" t="s">
        <v>2850</v>
      </c>
      <c r="O1" s="3218" t="s">
        <v>2851</v>
      </c>
      <c r="P1" s="3218" t="s">
        <v>2852</v>
      </c>
      <c r="Q1" s="3218" t="s">
        <v>2853</v>
      </c>
      <c r="R1" s="3218" t="s">
        <v>2854</v>
      </c>
      <c r="S1" s="3218" t="s">
        <v>2855</v>
      </c>
      <c r="T1" s="3219" t="s">
        <v>2856</v>
      </c>
    </row>
    <row r="2" spans="1:20" ht="12" thickBot="1">
      <c r="A2" s="3221" t="s">
        <v>2857</v>
      </c>
      <c r="B2" s="3221"/>
      <c r="C2" s="3221"/>
      <c r="D2" s="3221"/>
      <c r="E2" s="3221"/>
      <c r="F2" s="3221"/>
      <c r="G2" s="3222" t="s">
        <v>2858</v>
      </c>
      <c r="I2" s="3223" t="s">
        <v>2859</v>
      </c>
      <c r="J2" s="3223" t="s">
        <v>2860</v>
      </c>
      <c r="K2" s="3223" t="s">
        <v>2861</v>
      </c>
      <c r="L2" s="3223" t="s">
        <v>2862</v>
      </c>
      <c r="M2" s="3223" t="s">
        <v>2863</v>
      </c>
      <c r="N2" s="3223" t="s">
        <v>2864</v>
      </c>
      <c r="O2" s="3223" t="s">
        <v>2865</v>
      </c>
      <c r="P2" s="3223" t="s">
        <v>2866</v>
      </c>
      <c r="Q2" s="3223" t="s">
        <v>2867</v>
      </c>
      <c r="R2" s="3223" t="s">
        <v>2868</v>
      </c>
      <c r="S2" s="3223" t="s">
        <v>2869</v>
      </c>
      <c r="T2" s="3223" t="s">
        <v>2870</v>
      </c>
    </row>
    <row r="3" spans="1:20" s="3229" customFormat="1">
      <c r="A3" s="3813" t="s">
        <v>2871</v>
      </c>
      <c r="B3" s="3224"/>
      <c r="C3" s="3225" t="s">
        <v>2812</v>
      </c>
      <c r="D3" s="3225" t="s">
        <v>2872</v>
      </c>
      <c r="E3" s="3225" t="s">
        <v>2814</v>
      </c>
      <c r="F3" s="3225" t="s">
        <v>2873</v>
      </c>
      <c r="G3" s="3225" t="s">
        <v>2632</v>
      </c>
      <c r="H3" s="3226"/>
      <c r="I3" s="3227" t="s">
        <v>2874</v>
      </c>
      <c r="J3" s="3228" t="s">
        <v>128</v>
      </c>
      <c r="K3" s="3228" t="s">
        <v>129</v>
      </c>
      <c r="L3" s="3227" t="s">
        <v>130</v>
      </c>
      <c r="M3" s="3227" t="s">
        <v>131</v>
      </c>
      <c r="N3" s="3227" t="s">
        <v>132</v>
      </c>
      <c r="O3" s="3227" t="s">
        <v>133</v>
      </c>
      <c r="P3" s="3227" t="s">
        <v>134</v>
      </c>
      <c r="Q3" s="3227" t="s">
        <v>135</v>
      </c>
      <c r="R3" s="3227" t="s">
        <v>136</v>
      </c>
      <c r="S3" s="3227" t="s">
        <v>2875</v>
      </c>
      <c r="T3" s="3227" t="s">
        <v>2876</v>
      </c>
    </row>
    <row r="4" spans="1:20" s="3229" customFormat="1" ht="12" thickBot="1">
      <c r="A4" s="3814"/>
      <c r="B4" s="3230" t="s">
        <v>2877</v>
      </c>
      <c r="C4" s="3230" t="s">
        <v>2878</v>
      </c>
      <c r="D4" s="3230" t="s">
        <v>2878</v>
      </c>
      <c r="E4" s="3230" t="s">
        <v>2878</v>
      </c>
      <c r="F4" s="3231" t="s">
        <v>2878</v>
      </c>
      <c r="G4" s="3231" t="s">
        <v>2878</v>
      </c>
      <c r="H4" s="3226"/>
      <c r="I4" s="3228" t="s">
        <v>137</v>
      </c>
      <c r="J4" s="3228" t="s">
        <v>111</v>
      </c>
      <c r="K4" s="3228" t="s">
        <v>138</v>
      </c>
      <c r="L4" s="3227" t="s">
        <v>139</v>
      </c>
      <c r="M4" s="3227" t="s">
        <v>140</v>
      </c>
      <c r="N4" s="3227" t="s">
        <v>141</v>
      </c>
      <c r="O4" s="3227" t="s">
        <v>142</v>
      </c>
      <c r="P4" s="3227" t="s">
        <v>143</v>
      </c>
      <c r="Q4" s="3227" t="s">
        <v>2879</v>
      </c>
      <c r="R4" s="3227" t="s">
        <v>2880</v>
      </c>
      <c r="S4" s="3227" t="s">
        <v>2881</v>
      </c>
      <c r="T4" s="3227" t="s">
        <v>2882</v>
      </c>
    </row>
    <row r="5" spans="1:20">
      <c r="A5" s="3232" t="s">
        <v>2845</v>
      </c>
      <c r="B5" s="3223" t="s">
        <v>2859</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2883</v>
      </c>
      <c r="R5" s="3227" t="s">
        <v>2884</v>
      </c>
      <c r="S5" s="3227" t="s">
        <v>153</v>
      </c>
      <c r="T5" s="3227" t="s">
        <v>2885</v>
      </c>
    </row>
    <row r="6" spans="1:20" ht="12" thickBot="1">
      <c r="A6" s="3227" t="s">
        <v>144</v>
      </c>
      <c r="B6" s="3227" t="s">
        <v>2874</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2886</v>
      </c>
      <c r="Q6" s="3227" t="s">
        <v>2887</v>
      </c>
      <c r="R6" s="3227" t="s">
        <v>161</v>
      </c>
      <c r="S6" s="3227" t="s">
        <v>2888</v>
      </c>
      <c r="T6" s="3227" t="s">
        <v>2889</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2890</v>
      </c>
      <c r="Q7" s="3227" t="s">
        <v>2891</v>
      </c>
      <c r="R7" s="3227" t="s">
        <v>2892</v>
      </c>
      <c r="S7" s="3227" t="s">
        <v>2893</v>
      </c>
      <c r="T7" s="3227" t="s">
        <v>2894</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2895</v>
      </c>
      <c r="Q8" s="3227" t="s">
        <v>174</v>
      </c>
      <c r="R8" s="3227" t="s">
        <v>2896</v>
      </c>
      <c r="S8" s="3227" t="s">
        <v>2897</v>
      </c>
      <c r="T8" s="3234" t="s">
        <v>2898</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2899</v>
      </c>
      <c r="Q9" s="3227" t="s">
        <v>182</v>
      </c>
      <c r="R9" s="3227" t="s">
        <v>183</v>
      </c>
      <c r="S9" s="3227" t="s">
        <v>200</v>
      </c>
    </row>
    <row r="10" spans="1:20">
      <c r="A10" s="3232" t="s">
        <v>184</v>
      </c>
      <c r="B10" s="3223" t="s">
        <v>2860</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2900</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2901</v>
      </c>
      <c r="P11" s="3227" t="s">
        <v>191</v>
      </c>
      <c r="Q11" s="3227" t="s">
        <v>199</v>
      </c>
      <c r="R11" s="3227" t="s">
        <v>2902</v>
      </c>
      <c r="S11" s="3227" t="s">
        <v>2903</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2904</v>
      </c>
      <c r="P12" s="3227" t="s">
        <v>2905</v>
      </c>
      <c r="Q12" s="3227" t="s">
        <v>2906</v>
      </c>
      <c r="R12" s="3227" t="s">
        <v>2907</v>
      </c>
      <c r="S12" s="3227" t="s">
        <v>2908</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2909</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2910</v>
      </c>
      <c r="K14" s="3228" t="s">
        <v>215</v>
      </c>
      <c r="L14" s="3227" t="s">
        <v>216</v>
      </c>
      <c r="M14" s="3227" t="s">
        <v>217</v>
      </c>
      <c r="N14" s="3227" t="s">
        <v>218</v>
      </c>
      <c r="O14" s="3227" t="s">
        <v>240</v>
      </c>
      <c r="P14" s="3227" t="s">
        <v>213</v>
      </c>
      <c r="Q14" s="3227" t="s">
        <v>2911</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2912</v>
      </c>
      <c r="P15" s="3227" t="s">
        <v>2913</v>
      </c>
      <c r="Q15" s="3227" t="s">
        <v>242</v>
      </c>
      <c r="R15" s="3227" t="s">
        <v>2914</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2915</v>
      </c>
      <c r="P16" s="3227" t="s">
        <v>227</v>
      </c>
      <c r="Q16" s="3227" t="s">
        <v>250</v>
      </c>
      <c r="R16" s="3227" t="s">
        <v>207</v>
      </c>
      <c r="S16" s="3227" t="s">
        <v>2916</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2917</v>
      </c>
      <c r="P17" s="3227" t="s">
        <v>2918</v>
      </c>
      <c r="Q17" s="3227" t="s">
        <v>256</v>
      </c>
      <c r="R17" s="3227" t="s">
        <v>2919</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2920</v>
      </c>
      <c r="P18" s="3227" t="s">
        <v>241</v>
      </c>
      <c r="Q18" s="3227" t="s">
        <v>2921</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2922</v>
      </c>
      <c r="P19" s="3227" t="s">
        <v>249</v>
      </c>
      <c r="Q19" s="3227" t="s">
        <v>2923</v>
      </c>
      <c r="R19" s="3227" t="s">
        <v>265</v>
      </c>
      <c r="S19" s="3227" t="s">
        <v>2924</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2925</v>
      </c>
      <c r="P20" s="3227" t="s">
        <v>2926</v>
      </c>
      <c r="Q20" s="3227" t="s">
        <v>290</v>
      </c>
      <c r="R20" s="3227" t="s">
        <v>2927</v>
      </c>
      <c r="S20" s="3227" t="s">
        <v>277</v>
      </c>
    </row>
    <row r="21" spans="1:19" ht="14.25" customHeight="1" thickBot="1">
      <c r="A21" s="3227" t="s">
        <v>184</v>
      </c>
      <c r="B21" s="3228" t="s">
        <v>208</v>
      </c>
      <c r="C21" s="3227">
        <v>32370</v>
      </c>
      <c r="D21" s="3227">
        <v>26730</v>
      </c>
      <c r="E21" s="3227">
        <v>26640</v>
      </c>
      <c r="F21" s="3227"/>
      <c r="G21" s="3227">
        <v>19440</v>
      </c>
      <c r="J21" s="3234" t="s">
        <v>2928</v>
      </c>
      <c r="K21" s="3228" t="s">
        <v>267</v>
      </c>
      <c r="L21" s="3227" t="s">
        <v>268</v>
      </c>
      <c r="M21" s="3227" t="s">
        <v>269</v>
      </c>
      <c r="N21" s="3227" t="s">
        <v>270</v>
      </c>
      <c r="O21" s="3227" t="s">
        <v>264</v>
      </c>
      <c r="P21" s="3227" t="s">
        <v>283</v>
      </c>
      <c r="Q21" s="3227" t="s">
        <v>293</v>
      </c>
      <c r="R21" s="3227" t="s">
        <v>2929</v>
      </c>
      <c r="S21" s="3234" t="s">
        <v>2930</v>
      </c>
    </row>
    <row r="22" spans="1:19" ht="14.25" customHeight="1">
      <c r="A22" s="3227" t="s">
        <v>184</v>
      </c>
      <c r="B22" s="3228" t="s">
        <v>2910</v>
      </c>
      <c r="C22" s="3227">
        <v>29830</v>
      </c>
      <c r="D22" s="3227">
        <v>27600</v>
      </c>
      <c r="E22" s="3227">
        <v>28150</v>
      </c>
      <c r="F22" s="3227"/>
      <c r="G22" s="3227">
        <v>20080</v>
      </c>
      <c r="K22" s="3228" t="s">
        <v>2931</v>
      </c>
      <c r="L22" s="3227" t="s">
        <v>272</v>
      </c>
      <c r="M22" s="3227" t="s">
        <v>273</v>
      </c>
      <c r="N22" s="3227" t="s">
        <v>274</v>
      </c>
      <c r="O22" s="3227" t="s">
        <v>2932</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2933</v>
      </c>
      <c r="L23" s="3227" t="s">
        <v>278</v>
      </c>
      <c r="M23" s="3227" t="s">
        <v>279</v>
      </c>
      <c r="N23" s="3227" t="s">
        <v>2934</v>
      </c>
      <c r="O23" s="3227" t="s">
        <v>2935</v>
      </c>
      <c r="P23" s="3227" t="s">
        <v>289</v>
      </c>
      <c r="Q23" s="3227" t="s">
        <v>298</v>
      </c>
      <c r="R23" s="3227" t="s">
        <v>2936</v>
      </c>
    </row>
    <row r="24" spans="1:19" ht="14.25" customHeight="1">
      <c r="A24" s="3227" t="s">
        <v>184</v>
      </c>
      <c r="B24" s="3228" t="s">
        <v>230</v>
      </c>
      <c r="C24" s="3227">
        <v>27930</v>
      </c>
      <c r="D24" s="3227">
        <v>32260</v>
      </c>
      <c r="E24" s="3227">
        <v>32120</v>
      </c>
      <c r="F24" s="3227"/>
      <c r="G24" s="3227">
        <v>23470</v>
      </c>
      <c r="K24" s="3228" t="s">
        <v>2937</v>
      </c>
      <c r="L24" s="3227" t="s">
        <v>281</v>
      </c>
      <c r="M24" s="3227" t="s">
        <v>282</v>
      </c>
      <c r="N24" s="3227" t="s">
        <v>2938</v>
      </c>
      <c r="O24" s="3227" t="s">
        <v>285</v>
      </c>
      <c r="P24" s="3227" t="s">
        <v>2939</v>
      </c>
      <c r="Q24" s="3236" t="s">
        <v>2940</v>
      </c>
      <c r="R24" s="3227" t="s">
        <v>2941</v>
      </c>
    </row>
    <row r="25" spans="1:19" ht="14.25" customHeight="1">
      <c r="A25" s="3227" t="s">
        <v>184</v>
      </c>
      <c r="B25" s="3228" t="s">
        <v>235</v>
      </c>
      <c r="C25" s="3227">
        <v>32230</v>
      </c>
      <c r="D25" s="3227">
        <v>29640</v>
      </c>
      <c r="E25" s="3227">
        <v>29510</v>
      </c>
      <c r="F25" s="3227"/>
      <c r="G25" s="3227">
        <v>21560</v>
      </c>
      <c r="K25" s="3228" t="s">
        <v>2942</v>
      </c>
      <c r="L25" s="3227" t="s">
        <v>2943</v>
      </c>
      <c r="M25" s="3227" t="s">
        <v>284</v>
      </c>
      <c r="N25" s="3227" t="s">
        <v>292</v>
      </c>
      <c r="O25" s="3227" t="s">
        <v>288</v>
      </c>
      <c r="P25" s="3227" t="s">
        <v>275</v>
      </c>
      <c r="Q25" s="3236" t="s">
        <v>271</v>
      </c>
      <c r="R25" s="3227" t="s">
        <v>2944</v>
      </c>
    </row>
    <row r="26" spans="1:19" ht="14.25" customHeight="1" thickBot="1">
      <c r="A26" s="3227" t="s">
        <v>184</v>
      </c>
      <c r="B26" s="3228" t="s">
        <v>244</v>
      </c>
      <c r="C26" s="3227">
        <v>31690</v>
      </c>
      <c r="D26" s="3227">
        <v>27650</v>
      </c>
      <c r="E26" s="3227">
        <v>28200</v>
      </c>
      <c r="F26" s="3227"/>
      <c r="G26" s="3227">
        <v>20110</v>
      </c>
      <c r="K26" s="3233" t="s">
        <v>2945</v>
      </c>
      <c r="L26" s="3227" t="s">
        <v>2946</v>
      </c>
      <c r="M26" s="3227" t="s">
        <v>287</v>
      </c>
      <c r="N26" s="3227" t="s">
        <v>294</v>
      </c>
      <c r="O26" s="3227" t="s">
        <v>2947</v>
      </c>
      <c r="P26" s="3227" t="s">
        <v>2948</v>
      </c>
      <c r="Q26" s="3236" t="s">
        <v>276</v>
      </c>
      <c r="R26" s="3227" t="s">
        <v>2949</v>
      </c>
    </row>
    <row r="27" spans="1:19" ht="14.25" customHeight="1">
      <c r="A27" s="3227" t="s">
        <v>184</v>
      </c>
      <c r="B27" s="3228" t="s">
        <v>251</v>
      </c>
      <c r="C27" s="3227">
        <v>29610</v>
      </c>
      <c r="D27" s="3227">
        <v>27770</v>
      </c>
      <c r="E27" s="3227">
        <v>28300</v>
      </c>
      <c r="F27" s="3227"/>
      <c r="G27" s="3227">
        <v>20210</v>
      </c>
      <c r="L27" s="3227" t="s">
        <v>2950</v>
      </c>
      <c r="M27" s="3227" t="s">
        <v>291</v>
      </c>
      <c r="N27" s="3227" t="s">
        <v>297</v>
      </c>
      <c r="O27" s="3227" t="s">
        <v>2951</v>
      </c>
      <c r="P27" s="3227" t="s">
        <v>2952</v>
      </c>
      <c r="Q27" s="3227" t="s">
        <v>2953</v>
      </c>
      <c r="R27" s="3227" t="s">
        <v>2954</v>
      </c>
    </row>
    <row r="28" spans="1:19" ht="14.25" customHeight="1">
      <c r="A28" s="3227" t="s">
        <v>184</v>
      </c>
      <c r="B28" s="3228" t="s">
        <v>259</v>
      </c>
      <c r="C28" s="3227"/>
      <c r="D28" s="3227">
        <v>31520</v>
      </c>
      <c r="E28" s="3227">
        <v>31410</v>
      </c>
      <c r="F28" s="3227"/>
      <c r="G28" s="3227">
        <v>22940</v>
      </c>
      <c r="L28" s="3227" t="s">
        <v>2955</v>
      </c>
      <c r="M28" s="3227" t="s">
        <v>2956</v>
      </c>
      <c r="N28" s="3227" t="s">
        <v>2957</v>
      </c>
      <c r="O28" s="3227" t="s">
        <v>2958</v>
      </c>
      <c r="P28" s="3227" t="s">
        <v>2959</v>
      </c>
      <c r="Q28" s="3227" t="s">
        <v>2960</v>
      </c>
      <c r="R28" s="3227" t="s">
        <v>2961</v>
      </c>
    </row>
    <row r="29" spans="1:19" ht="14.25" customHeight="1" thickBot="1">
      <c r="A29" s="3235" t="s">
        <v>184</v>
      </c>
      <c r="B29" s="3237" t="s">
        <v>2928</v>
      </c>
      <c r="C29" s="3238"/>
      <c r="D29" s="3238">
        <v>29460</v>
      </c>
      <c r="E29" s="3238">
        <v>28640</v>
      </c>
      <c r="F29" s="3238"/>
      <c r="G29" s="3238">
        <v>21430</v>
      </c>
      <c r="L29" s="3227" t="s">
        <v>2962</v>
      </c>
      <c r="M29" s="3227" t="s">
        <v>2963</v>
      </c>
      <c r="N29" s="3227" t="s">
        <v>2964</v>
      </c>
      <c r="O29" s="3227" t="s">
        <v>2965</v>
      </c>
      <c r="P29" s="3227" t="s">
        <v>2966</v>
      </c>
      <c r="Q29" s="3227" t="s">
        <v>2967</v>
      </c>
      <c r="R29" s="3227" t="s">
        <v>280</v>
      </c>
    </row>
    <row r="30" spans="1:19" ht="14.25" customHeight="1">
      <c r="A30" s="3232" t="s">
        <v>296</v>
      </c>
      <c r="B30" s="3223" t="s">
        <v>2861</v>
      </c>
      <c r="C30" s="3223">
        <v>26890</v>
      </c>
      <c r="D30" s="3223">
        <v>26770</v>
      </c>
      <c r="E30" s="3223">
        <v>25700</v>
      </c>
      <c r="F30" s="3223">
        <v>8180</v>
      </c>
      <c r="G30" s="3239">
        <v>18740</v>
      </c>
      <c r="L30" s="3227" t="s">
        <v>2968</v>
      </c>
      <c r="M30" s="3227" t="s">
        <v>2969</v>
      </c>
      <c r="N30" s="3227" t="s">
        <v>2970</v>
      </c>
      <c r="O30" s="3227" t="s">
        <v>2971</v>
      </c>
      <c r="P30" s="3227" t="s">
        <v>2972</v>
      </c>
      <c r="Q30" s="3227" t="s">
        <v>2973</v>
      </c>
      <c r="R30" s="3227" t="s">
        <v>2974</v>
      </c>
    </row>
    <row r="31" spans="1:19" ht="14.25" customHeight="1">
      <c r="A31" s="3227" t="s">
        <v>296</v>
      </c>
      <c r="B31" s="3228" t="s">
        <v>129</v>
      </c>
      <c r="C31" s="3227">
        <v>24550</v>
      </c>
      <c r="D31" s="3227">
        <v>23990</v>
      </c>
      <c r="E31" s="3227">
        <v>22930</v>
      </c>
      <c r="F31" s="3227">
        <v>7470</v>
      </c>
      <c r="G31" s="3240">
        <v>16790</v>
      </c>
      <c r="L31" s="3227" t="s">
        <v>2975</v>
      </c>
      <c r="M31" s="3227" t="s">
        <v>2976</v>
      </c>
      <c r="N31" s="3227" t="s">
        <v>2977</v>
      </c>
      <c r="O31" s="3227" t="s">
        <v>2978</v>
      </c>
      <c r="P31" s="3227" t="s">
        <v>2979</v>
      </c>
      <c r="Q31" s="3227" t="s">
        <v>2980</v>
      </c>
      <c r="R31" s="3227" t="s">
        <v>2981</v>
      </c>
    </row>
    <row r="32" spans="1:19" ht="14.25" customHeight="1" thickBot="1">
      <c r="A32" s="3227" t="s">
        <v>296</v>
      </c>
      <c r="B32" s="3228" t="s">
        <v>138</v>
      </c>
      <c r="C32" s="3227">
        <v>27210</v>
      </c>
      <c r="D32" s="3227">
        <v>23240</v>
      </c>
      <c r="E32" s="3227">
        <v>23260</v>
      </c>
      <c r="F32" s="3227">
        <v>7130</v>
      </c>
      <c r="G32" s="3240">
        <v>16270</v>
      </c>
      <c r="L32" s="3227" t="s">
        <v>2982</v>
      </c>
      <c r="M32" s="3227" t="s">
        <v>2983</v>
      </c>
      <c r="N32" s="3227" t="s">
        <v>300</v>
      </c>
      <c r="O32" s="3227" t="s">
        <v>2984</v>
      </c>
      <c r="P32" s="3227" t="s">
        <v>299</v>
      </c>
      <c r="Q32" s="3227" t="s">
        <v>2985</v>
      </c>
      <c r="R32" s="3234" t="s">
        <v>2986</v>
      </c>
    </row>
    <row r="33" spans="1:17" ht="14.25" customHeight="1" thickBot="1">
      <c r="A33" s="3227" t="s">
        <v>296</v>
      </c>
      <c r="B33" s="3228" t="s">
        <v>147</v>
      </c>
      <c r="C33" s="3227">
        <v>27300</v>
      </c>
      <c r="D33" s="3227">
        <v>22980</v>
      </c>
      <c r="E33" s="3227">
        <v>24260</v>
      </c>
      <c r="F33" s="3227">
        <v>5860</v>
      </c>
      <c r="G33" s="3240">
        <v>16090</v>
      </c>
      <c r="L33" s="3234" t="s">
        <v>2987</v>
      </c>
      <c r="M33" s="3227" t="s">
        <v>2988</v>
      </c>
      <c r="N33" s="3227" t="s">
        <v>301</v>
      </c>
      <c r="O33" s="3227" t="s">
        <v>2989</v>
      </c>
      <c r="P33" s="3227" t="s">
        <v>2990</v>
      </c>
      <c r="Q33" s="3227" t="s">
        <v>2991</v>
      </c>
    </row>
    <row r="34" spans="1:17" ht="14.25" customHeight="1">
      <c r="A34" s="3227" t="s">
        <v>296</v>
      </c>
      <c r="B34" s="3228" t="s">
        <v>156</v>
      </c>
      <c r="C34" s="3227">
        <v>23090</v>
      </c>
      <c r="D34" s="3227">
        <v>23390</v>
      </c>
      <c r="E34" s="3227">
        <v>23510</v>
      </c>
      <c r="F34" s="3227">
        <v>6700</v>
      </c>
      <c r="G34" s="3240">
        <v>16370</v>
      </c>
      <c r="M34" s="3227" t="s">
        <v>2992</v>
      </c>
      <c r="N34" s="3227" t="s">
        <v>302</v>
      </c>
      <c r="O34" s="3227" t="s">
        <v>2993</v>
      </c>
      <c r="P34" s="3227" t="s">
        <v>2994</v>
      </c>
      <c r="Q34" s="3227" t="s">
        <v>2995</v>
      </c>
    </row>
    <row r="35" spans="1:17" ht="14.25" customHeight="1">
      <c r="A35" s="3227" t="s">
        <v>296</v>
      </c>
      <c r="B35" s="3228" t="s">
        <v>163</v>
      </c>
      <c r="C35" s="3227">
        <v>27270</v>
      </c>
      <c r="D35" s="3227">
        <v>24270</v>
      </c>
      <c r="E35" s="3227">
        <v>24950</v>
      </c>
      <c r="F35" s="3227">
        <v>6600</v>
      </c>
      <c r="G35" s="3240">
        <v>16990</v>
      </c>
      <c r="M35" s="3227" t="s">
        <v>2996</v>
      </c>
      <c r="N35" s="3227" t="s">
        <v>2997</v>
      </c>
      <c r="O35" s="3227" t="s">
        <v>2998</v>
      </c>
      <c r="P35" s="3227" t="s">
        <v>2999</v>
      </c>
      <c r="Q35" s="3227" t="s">
        <v>3000</v>
      </c>
    </row>
    <row r="36" spans="1:17" ht="14.25" customHeight="1">
      <c r="A36" s="3227" t="s">
        <v>296</v>
      </c>
      <c r="B36" s="3228" t="s">
        <v>169</v>
      </c>
      <c r="C36" s="3227">
        <v>23490</v>
      </c>
      <c r="D36" s="3227">
        <v>23020</v>
      </c>
      <c r="E36" s="3227">
        <v>25230</v>
      </c>
      <c r="F36" s="3227">
        <v>6780</v>
      </c>
      <c r="G36" s="3240">
        <v>16120</v>
      </c>
      <c r="M36" s="3227" t="s">
        <v>3001</v>
      </c>
      <c r="N36" s="3227" t="s">
        <v>3002</v>
      </c>
      <c r="O36" s="3227" t="s">
        <v>3003</v>
      </c>
      <c r="P36" s="3227" t="s">
        <v>3004</v>
      </c>
      <c r="Q36" s="3227" t="s">
        <v>3005</v>
      </c>
    </row>
    <row r="37" spans="1:17" ht="14.25" customHeight="1">
      <c r="A37" s="3227" t="s">
        <v>296</v>
      </c>
      <c r="B37" s="3228" t="s">
        <v>176</v>
      </c>
      <c r="C37" s="3227">
        <v>24380</v>
      </c>
      <c r="D37" s="3227">
        <v>22240</v>
      </c>
      <c r="E37" s="3227">
        <v>25980</v>
      </c>
      <c r="F37" s="3227">
        <v>8160</v>
      </c>
      <c r="G37" s="3240">
        <v>15570</v>
      </c>
      <c r="M37" s="3227" t="s">
        <v>3006</v>
      </c>
      <c r="N37" s="3227" t="s">
        <v>3007</v>
      </c>
      <c r="O37" s="3227" t="s">
        <v>3008</v>
      </c>
      <c r="P37" s="3227" t="s">
        <v>3009</v>
      </c>
      <c r="Q37" s="3227" t="s">
        <v>3010</v>
      </c>
    </row>
    <row r="38" spans="1:17" ht="14.25" customHeight="1">
      <c r="A38" s="3227" t="s">
        <v>296</v>
      </c>
      <c r="B38" s="3228" t="s">
        <v>186</v>
      </c>
      <c r="C38" s="3227">
        <v>23120</v>
      </c>
      <c r="D38" s="3227">
        <v>24630</v>
      </c>
      <c r="E38" s="3227">
        <v>25030</v>
      </c>
      <c r="F38" s="3227">
        <v>7710</v>
      </c>
      <c r="G38" s="3240">
        <v>17240</v>
      </c>
      <c r="M38" s="3227" t="s">
        <v>3011</v>
      </c>
      <c r="N38" s="3227" t="s">
        <v>3012</v>
      </c>
      <c r="O38" s="3227" t="s">
        <v>3013</v>
      </c>
      <c r="P38" s="3227" t="s">
        <v>3014</v>
      </c>
      <c r="Q38" s="3227" t="s">
        <v>3015</v>
      </c>
    </row>
    <row r="39" spans="1:17" ht="14.25" customHeight="1">
      <c r="A39" s="3227" t="s">
        <v>296</v>
      </c>
      <c r="B39" s="3228" t="s">
        <v>195</v>
      </c>
      <c r="C39" s="3227">
        <v>22330</v>
      </c>
      <c r="D39" s="3227">
        <v>21140</v>
      </c>
      <c r="E39" s="3227">
        <v>23970</v>
      </c>
      <c r="F39" s="3227">
        <v>7940</v>
      </c>
      <c r="G39" s="3240">
        <v>14790</v>
      </c>
      <c r="M39" s="3227" t="s">
        <v>3016</v>
      </c>
      <c r="N39" s="3227" t="s">
        <v>3017</v>
      </c>
      <c r="O39" s="3227" t="s">
        <v>3018</v>
      </c>
      <c r="P39" s="3227" t="s">
        <v>3019</v>
      </c>
      <c r="Q39" s="3227" t="s">
        <v>3020</v>
      </c>
    </row>
    <row r="40" spans="1:17" ht="14.25" customHeight="1">
      <c r="A40" s="3227" t="s">
        <v>296</v>
      </c>
      <c r="B40" s="3228" t="s">
        <v>202</v>
      </c>
      <c r="C40" s="3227">
        <v>24740</v>
      </c>
      <c r="D40" s="3227">
        <v>24690</v>
      </c>
      <c r="E40" s="3227">
        <v>22610</v>
      </c>
      <c r="F40" s="3227"/>
      <c r="G40" s="3240">
        <v>17280</v>
      </c>
      <c r="M40" s="3227" t="s">
        <v>3021</v>
      </c>
      <c r="N40" s="3227" t="s">
        <v>3022</v>
      </c>
      <c r="O40" s="3227" t="s">
        <v>3023</v>
      </c>
      <c r="P40" s="3227" t="s">
        <v>3024</v>
      </c>
      <c r="Q40" s="3227" t="s">
        <v>3025</v>
      </c>
    </row>
    <row r="41" spans="1:17" ht="14.25" customHeight="1" thickBot="1">
      <c r="A41" s="3227" t="s">
        <v>296</v>
      </c>
      <c r="B41" s="3228" t="s">
        <v>209</v>
      </c>
      <c r="C41" s="3227">
        <v>21220</v>
      </c>
      <c r="D41" s="3227">
        <v>21120</v>
      </c>
      <c r="E41" s="3227">
        <v>22590</v>
      </c>
      <c r="F41" s="3227"/>
      <c r="G41" s="3240">
        <v>14780</v>
      </c>
      <c r="M41" s="3234" t="s">
        <v>3026</v>
      </c>
      <c r="N41" s="3227" t="s">
        <v>3027</v>
      </c>
      <c r="O41" s="3227" t="s">
        <v>3028</v>
      </c>
      <c r="P41" s="3227" t="s">
        <v>3029</v>
      </c>
      <c r="Q41" s="3227" t="s">
        <v>3030</v>
      </c>
    </row>
    <row r="42" spans="1:17" ht="14.25" customHeight="1">
      <c r="A42" s="3227" t="s">
        <v>296</v>
      </c>
      <c r="B42" s="3228" t="s">
        <v>215</v>
      </c>
      <c r="C42" s="3227">
        <v>24800</v>
      </c>
      <c r="D42" s="3227">
        <v>22280</v>
      </c>
      <c r="E42" s="3227">
        <v>24350</v>
      </c>
      <c r="F42" s="3227"/>
      <c r="G42" s="3240">
        <v>15590</v>
      </c>
      <c r="N42" s="3227" t="s">
        <v>3031</v>
      </c>
      <c r="O42" s="3227" t="s">
        <v>3032</v>
      </c>
      <c r="P42" s="3227" t="s">
        <v>3033</v>
      </c>
      <c r="Q42" s="3227" t="s">
        <v>3034</v>
      </c>
    </row>
    <row r="43" spans="1:17" ht="14.25" customHeight="1">
      <c r="A43" s="3227" t="s">
        <v>3035</v>
      </c>
      <c r="B43" s="3228" t="s">
        <v>223</v>
      </c>
      <c r="C43" s="3227">
        <v>21210</v>
      </c>
      <c r="D43" s="3227">
        <v>21160</v>
      </c>
      <c r="E43" s="3227">
        <v>22650</v>
      </c>
      <c r="F43" s="3227"/>
      <c r="G43" s="3240">
        <v>14800</v>
      </c>
      <c r="N43" s="3227" t="s">
        <v>3036</v>
      </c>
      <c r="O43" s="3227" t="s">
        <v>3037</v>
      </c>
      <c r="P43" s="3227" t="s">
        <v>3038</v>
      </c>
      <c r="Q43" s="3227" t="s">
        <v>3039</v>
      </c>
    </row>
    <row r="44" spans="1:17" ht="14.25" customHeight="1" thickBot="1">
      <c r="A44" s="3227" t="s">
        <v>296</v>
      </c>
      <c r="B44" s="3228" t="s">
        <v>231</v>
      </c>
      <c r="C44" s="3227">
        <v>22370</v>
      </c>
      <c r="D44" s="3227">
        <v>23140</v>
      </c>
      <c r="E44" s="3227">
        <v>25090</v>
      </c>
      <c r="F44" s="3227"/>
      <c r="G44" s="3240">
        <v>16190</v>
      </c>
      <c r="N44" s="3227" t="s">
        <v>3040</v>
      </c>
      <c r="O44" s="3227" t="s">
        <v>3041</v>
      </c>
      <c r="P44" s="3234" t="s">
        <v>3042</v>
      </c>
      <c r="Q44" s="3227" t="s">
        <v>3043</v>
      </c>
    </row>
    <row r="45" spans="1:17" ht="14.25" customHeight="1" thickBot="1">
      <c r="A45" s="3227" t="s">
        <v>296</v>
      </c>
      <c r="B45" s="3228" t="s">
        <v>236</v>
      </c>
      <c r="C45" s="3227">
        <v>21240</v>
      </c>
      <c r="D45" s="3227">
        <v>27050</v>
      </c>
      <c r="E45" s="3227">
        <v>28000</v>
      </c>
      <c r="F45" s="3227"/>
      <c r="G45" s="3240">
        <v>18940</v>
      </c>
      <c r="N45" s="3227" t="s">
        <v>3044</v>
      </c>
      <c r="O45" s="3234" t="s">
        <v>3045</v>
      </c>
      <c r="Q45" s="3227" t="s">
        <v>3046</v>
      </c>
    </row>
    <row r="46" spans="1:17" ht="14.25" customHeight="1">
      <c r="A46" s="3227" t="s">
        <v>296</v>
      </c>
      <c r="B46" s="3228" t="s">
        <v>245</v>
      </c>
      <c r="C46" s="3227">
        <v>23240</v>
      </c>
      <c r="D46" s="3227">
        <v>23000</v>
      </c>
      <c r="E46" s="3227">
        <v>24980</v>
      </c>
      <c r="F46" s="3227"/>
      <c r="G46" s="3240">
        <v>16100</v>
      </c>
      <c r="N46" s="3227" t="s">
        <v>3047</v>
      </c>
      <c r="Q46" s="3227" t="s">
        <v>3048</v>
      </c>
    </row>
    <row r="47" spans="1:17" ht="14.25" customHeight="1">
      <c r="A47" s="3227" t="s">
        <v>296</v>
      </c>
      <c r="B47" s="3228" t="s">
        <v>252</v>
      </c>
      <c r="C47" s="3227">
        <v>27150</v>
      </c>
      <c r="D47" s="3227">
        <v>23310</v>
      </c>
      <c r="E47" s="3227">
        <v>25150</v>
      </c>
      <c r="F47" s="3227"/>
      <c r="G47" s="3240">
        <v>16310</v>
      </c>
      <c r="N47" s="3227" t="s">
        <v>3049</v>
      </c>
      <c r="Q47" s="3227" t="s">
        <v>3050</v>
      </c>
    </row>
    <row r="48" spans="1:17" ht="14.25" customHeight="1">
      <c r="A48" s="3227" t="s">
        <v>296</v>
      </c>
      <c r="B48" s="3228" t="s">
        <v>260</v>
      </c>
      <c r="C48" s="3227">
        <v>23100</v>
      </c>
      <c r="D48" s="3227">
        <v>21110</v>
      </c>
      <c r="E48" s="3227">
        <v>23080</v>
      </c>
      <c r="F48" s="3227"/>
      <c r="G48" s="3240">
        <v>14780</v>
      </c>
      <c r="N48" s="3227" t="s">
        <v>3051</v>
      </c>
      <c r="Q48" s="3227" t="s">
        <v>3052</v>
      </c>
    </row>
    <row r="49" spans="1:17" ht="14.25" customHeight="1">
      <c r="A49" s="3227" t="s">
        <v>296</v>
      </c>
      <c r="B49" s="3228" t="s">
        <v>267</v>
      </c>
      <c r="C49" s="3227">
        <v>23400</v>
      </c>
      <c r="D49" s="3227">
        <v>22920</v>
      </c>
      <c r="E49" s="3227">
        <v>24900</v>
      </c>
      <c r="F49" s="3227"/>
      <c r="G49" s="3240">
        <v>16040</v>
      </c>
      <c r="N49" s="3227" t="s">
        <v>3053</v>
      </c>
      <c r="Q49" s="3227" t="s">
        <v>3054</v>
      </c>
    </row>
    <row r="50" spans="1:17" ht="14.25" customHeight="1">
      <c r="A50" s="3227" t="s">
        <v>296</v>
      </c>
      <c r="B50" s="3228" t="s">
        <v>2931</v>
      </c>
      <c r="C50" s="3227">
        <v>21200</v>
      </c>
      <c r="D50" s="3227">
        <v>26540</v>
      </c>
      <c r="E50" s="3227">
        <v>23200</v>
      </c>
      <c r="F50" s="3227"/>
      <c r="G50" s="3240">
        <v>18580</v>
      </c>
      <c r="N50" s="3227" t="s">
        <v>3055</v>
      </c>
      <c r="Q50" s="3228" t="s">
        <v>3056</v>
      </c>
    </row>
    <row r="51" spans="1:17" ht="14.25" customHeight="1" thickBot="1">
      <c r="A51" s="3227" t="s">
        <v>296</v>
      </c>
      <c r="B51" s="3228" t="s">
        <v>2933</v>
      </c>
      <c r="C51" s="3227">
        <v>23000</v>
      </c>
      <c r="D51" s="3227">
        <v>23460</v>
      </c>
      <c r="E51" s="3227">
        <v>25290</v>
      </c>
      <c r="F51" s="3227"/>
      <c r="G51" s="3240">
        <v>16420</v>
      </c>
      <c r="N51" s="3227" t="s">
        <v>3057</v>
      </c>
      <c r="Q51" s="3234" t="s">
        <v>3058</v>
      </c>
    </row>
    <row r="52" spans="1:17" ht="14.25" customHeight="1">
      <c r="A52" s="3227" t="s">
        <v>296</v>
      </c>
      <c r="B52" s="3228" t="s">
        <v>2937</v>
      </c>
      <c r="C52" s="3227">
        <v>26660</v>
      </c>
      <c r="D52" s="3227">
        <v>22350</v>
      </c>
      <c r="E52" s="3227">
        <v>22920</v>
      </c>
      <c r="F52" s="3227"/>
      <c r="G52" s="3240">
        <v>15640</v>
      </c>
      <c r="N52" s="3227" t="s">
        <v>3059</v>
      </c>
    </row>
    <row r="53" spans="1:17" ht="14.25" customHeight="1">
      <c r="A53" s="3227" t="s">
        <v>296</v>
      </c>
      <c r="B53" s="3228" t="s">
        <v>2942</v>
      </c>
      <c r="C53" s="3227">
        <v>23580</v>
      </c>
      <c r="D53" s="3227"/>
      <c r="E53" s="3227">
        <v>24280</v>
      </c>
      <c r="F53" s="3227"/>
      <c r="G53" s="3240"/>
      <c r="N53" s="3227" t="s">
        <v>3060</v>
      </c>
    </row>
    <row r="54" spans="1:17" ht="14.25" customHeight="1" thickBot="1">
      <c r="A54" s="3241" t="s">
        <v>296</v>
      </c>
      <c r="B54" s="3233" t="s">
        <v>2945</v>
      </c>
      <c r="C54" s="3234">
        <v>22460</v>
      </c>
      <c r="D54" s="3234"/>
      <c r="E54" s="3234"/>
      <c r="F54" s="3234"/>
      <c r="G54" s="3242"/>
      <c r="N54" s="3227" t="s">
        <v>3061</v>
      </c>
    </row>
    <row r="55" spans="1:17" ht="14.25" customHeight="1">
      <c r="A55" s="3232" t="s">
        <v>110</v>
      </c>
      <c r="B55" s="3223" t="s">
        <v>3062</v>
      </c>
      <c r="C55" s="3227">
        <v>21970</v>
      </c>
      <c r="D55" s="3227">
        <v>20370</v>
      </c>
      <c r="E55" s="3227">
        <v>20180</v>
      </c>
      <c r="F55" s="3227">
        <v>5730</v>
      </c>
      <c r="G55" s="3227">
        <v>13820</v>
      </c>
      <c r="N55" s="3227" t="s">
        <v>3063</v>
      </c>
    </row>
    <row r="56" spans="1:17" ht="14.25" customHeight="1">
      <c r="A56" s="3227" t="s">
        <v>110</v>
      </c>
      <c r="B56" s="3227" t="s">
        <v>130</v>
      </c>
      <c r="C56" s="3227">
        <v>20470</v>
      </c>
      <c r="D56" s="3227">
        <v>20700</v>
      </c>
      <c r="E56" s="3227">
        <v>20380</v>
      </c>
      <c r="F56" s="3227">
        <v>4760</v>
      </c>
      <c r="G56" s="3227">
        <v>14050</v>
      </c>
      <c r="N56" s="3227" t="s">
        <v>3064</v>
      </c>
    </row>
    <row r="57" spans="1:17" ht="14.25" customHeight="1">
      <c r="A57" s="3227" t="s">
        <v>110</v>
      </c>
      <c r="B57" s="3227" t="s">
        <v>139</v>
      </c>
      <c r="C57" s="3227">
        <v>20790</v>
      </c>
      <c r="D57" s="3227">
        <v>21370</v>
      </c>
      <c r="E57" s="3227">
        <v>20890</v>
      </c>
      <c r="F57" s="3227">
        <v>4910</v>
      </c>
      <c r="G57" s="3227">
        <v>14510</v>
      </c>
      <c r="N57" s="3227" t="s">
        <v>3065</v>
      </c>
    </row>
    <row r="58" spans="1:17" ht="14.25" customHeight="1">
      <c r="A58" s="3227" t="s">
        <v>110</v>
      </c>
      <c r="B58" s="3227" t="s">
        <v>148</v>
      </c>
      <c r="C58" s="3227">
        <v>21460</v>
      </c>
      <c r="D58" s="3227">
        <v>20920</v>
      </c>
      <c r="E58" s="3227">
        <v>23410</v>
      </c>
      <c r="F58" s="3227">
        <v>5100</v>
      </c>
      <c r="G58" s="3227">
        <v>14200</v>
      </c>
      <c r="N58" s="3227" t="s">
        <v>3066</v>
      </c>
    </row>
    <row r="59" spans="1:17" ht="14.25" customHeight="1">
      <c r="A59" s="3227" t="s">
        <v>110</v>
      </c>
      <c r="B59" s="3227" t="s">
        <v>157</v>
      </c>
      <c r="C59" s="3227">
        <v>21000</v>
      </c>
      <c r="D59" s="3227">
        <v>21550</v>
      </c>
      <c r="E59" s="3227">
        <v>21150</v>
      </c>
      <c r="F59" s="3227">
        <v>5250</v>
      </c>
      <c r="G59" s="3227">
        <v>14630</v>
      </c>
      <c r="N59" s="3227" t="s">
        <v>3067</v>
      </c>
    </row>
    <row r="60" spans="1:17" ht="14.25" customHeight="1">
      <c r="A60" s="3227" t="s">
        <v>110</v>
      </c>
      <c r="B60" s="3227" t="s">
        <v>164</v>
      </c>
      <c r="C60" s="3227">
        <v>21640</v>
      </c>
      <c r="D60" s="3227">
        <v>21260</v>
      </c>
      <c r="E60" s="3227">
        <v>24040</v>
      </c>
      <c r="F60" s="3227">
        <v>4470</v>
      </c>
      <c r="G60" s="3227">
        <v>14430</v>
      </c>
      <c r="N60" s="3227" t="s">
        <v>3068</v>
      </c>
    </row>
    <row r="61" spans="1:17" ht="14.25" customHeight="1">
      <c r="A61" s="3227" t="s">
        <v>110</v>
      </c>
      <c r="B61" s="3227" t="s">
        <v>170</v>
      </c>
      <c r="C61" s="3227">
        <v>21330</v>
      </c>
      <c r="D61" s="3227">
        <v>18640</v>
      </c>
      <c r="E61" s="3227">
        <v>21190</v>
      </c>
      <c r="F61" s="3227">
        <v>4180</v>
      </c>
      <c r="G61" s="3227">
        <v>12650</v>
      </c>
      <c r="N61" s="3227" t="s">
        <v>3069</v>
      </c>
    </row>
    <row r="62" spans="1:17" ht="14.25" customHeight="1">
      <c r="A62" s="3227" t="s">
        <v>110</v>
      </c>
      <c r="B62" s="3227" t="s">
        <v>177</v>
      </c>
      <c r="C62" s="3227">
        <v>18710</v>
      </c>
      <c r="D62" s="3227">
        <v>19400</v>
      </c>
      <c r="E62" s="3227">
        <v>23750</v>
      </c>
      <c r="F62" s="3227">
        <v>4860</v>
      </c>
      <c r="G62" s="3227">
        <v>13170</v>
      </c>
      <c r="N62" s="3227" t="s">
        <v>3070</v>
      </c>
    </row>
    <row r="63" spans="1:17" ht="14.25" customHeight="1">
      <c r="A63" s="3227" t="s">
        <v>110</v>
      </c>
      <c r="B63" s="3227" t="s">
        <v>187</v>
      </c>
      <c r="C63" s="3227">
        <v>19480</v>
      </c>
      <c r="D63" s="3227">
        <v>16830</v>
      </c>
      <c r="E63" s="3227">
        <v>21590</v>
      </c>
      <c r="F63" s="3227">
        <v>4560</v>
      </c>
      <c r="G63" s="3227">
        <v>11420</v>
      </c>
      <c r="N63" s="3227" t="s">
        <v>3071</v>
      </c>
    </row>
    <row r="64" spans="1:17" ht="14.25" customHeight="1" thickBot="1">
      <c r="A64" s="3227" t="s">
        <v>110</v>
      </c>
      <c r="B64" s="3227" t="s">
        <v>196</v>
      </c>
      <c r="C64" s="3227">
        <v>16920</v>
      </c>
      <c r="D64" s="3227">
        <v>19190</v>
      </c>
      <c r="E64" s="3227">
        <v>22200</v>
      </c>
      <c r="F64" s="3227">
        <v>4390</v>
      </c>
      <c r="G64" s="3227">
        <v>13030</v>
      </c>
      <c r="N64" s="3234" t="s">
        <v>3072</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2943</v>
      </c>
      <c r="C78" s="3227">
        <v>19820</v>
      </c>
      <c r="D78" s="3227">
        <v>19780</v>
      </c>
      <c r="E78" s="3227">
        <v>18560</v>
      </c>
      <c r="F78" s="3227"/>
      <c r="G78" s="3227">
        <v>13430</v>
      </c>
    </row>
    <row r="79" spans="1:7" s="3216" customFormat="1" ht="14.25" customHeight="1">
      <c r="A79" s="3227" t="s">
        <v>110</v>
      </c>
      <c r="B79" s="3227" t="s">
        <v>2946</v>
      </c>
      <c r="C79" s="3227">
        <v>21660</v>
      </c>
      <c r="D79" s="3227">
        <v>18000</v>
      </c>
      <c r="E79" s="3227">
        <v>22570</v>
      </c>
      <c r="F79" s="3227"/>
      <c r="G79" s="3227">
        <v>12220</v>
      </c>
    </row>
    <row r="80" spans="1:7" s="3216" customFormat="1" ht="14.25" customHeight="1">
      <c r="A80" s="3227" t="s">
        <v>110</v>
      </c>
      <c r="B80" s="3227" t="s">
        <v>2950</v>
      </c>
      <c r="C80" s="3227">
        <v>19850</v>
      </c>
      <c r="D80" s="3227"/>
      <c r="E80" s="3227">
        <v>21700</v>
      </c>
      <c r="F80" s="3227"/>
      <c r="G80" s="3227"/>
    </row>
    <row r="81" spans="1:7" s="3216" customFormat="1" ht="14.25" customHeight="1">
      <c r="A81" s="3227" t="s">
        <v>110</v>
      </c>
      <c r="B81" s="3227" t="s">
        <v>2955</v>
      </c>
      <c r="C81" s="3227">
        <v>18080</v>
      </c>
      <c r="D81" s="3227"/>
      <c r="E81" s="3227">
        <v>20900</v>
      </c>
      <c r="F81" s="3227"/>
      <c r="G81" s="3227"/>
    </row>
    <row r="82" spans="1:7" s="3216" customFormat="1" ht="14.25" customHeight="1">
      <c r="A82" s="3227" t="s">
        <v>110</v>
      </c>
      <c r="B82" s="3227" t="s">
        <v>2962</v>
      </c>
      <c r="C82" s="3227"/>
      <c r="D82" s="3227"/>
      <c r="E82" s="3227">
        <v>20840</v>
      </c>
      <c r="F82" s="3227"/>
      <c r="G82" s="3227"/>
    </row>
    <row r="83" spans="1:7" s="3216" customFormat="1" ht="14.25" customHeight="1">
      <c r="A83" s="3227" t="s">
        <v>110</v>
      </c>
      <c r="B83" s="3227" t="s">
        <v>3073</v>
      </c>
      <c r="C83" s="3227"/>
      <c r="D83" s="3227"/>
      <c r="E83" s="3227"/>
      <c r="F83" s="3227">
        <v>4770</v>
      </c>
      <c r="G83" s="3227"/>
    </row>
    <row r="84" spans="1:7" s="3216" customFormat="1" ht="14.25" customHeight="1">
      <c r="A84" s="3227" t="s">
        <v>110</v>
      </c>
      <c r="B84" s="3227" t="s">
        <v>3074</v>
      </c>
      <c r="C84" s="3227"/>
      <c r="D84" s="3227"/>
      <c r="E84" s="3227"/>
      <c r="F84" s="3227">
        <v>4600</v>
      </c>
      <c r="G84" s="3227"/>
    </row>
    <row r="85" spans="1:7" s="3216" customFormat="1" ht="14.25" customHeight="1">
      <c r="A85" s="3227" t="s">
        <v>110</v>
      </c>
      <c r="B85" s="3227" t="s">
        <v>3075</v>
      </c>
      <c r="C85" s="3227"/>
      <c r="D85" s="3227"/>
      <c r="E85" s="3227"/>
      <c r="F85" s="3227">
        <v>4680</v>
      </c>
      <c r="G85" s="3227"/>
    </row>
    <row r="86" spans="1:7" s="3216" customFormat="1" ht="14.25" customHeight="1" thickBot="1">
      <c r="A86" s="3235" t="s">
        <v>110</v>
      </c>
      <c r="B86" s="3237" t="s">
        <v>3076</v>
      </c>
      <c r="C86" s="3238">
        <v>16610</v>
      </c>
      <c r="D86" s="3238">
        <v>16540</v>
      </c>
      <c r="E86" s="3238">
        <v>18850</v>
      </c>
      <c r="F86" s="3238"/>
      <c r="G86" s="3238">
        <v>11220</v>
      </c>
    </row>
    <row r="87" spans="1:7" s="3216" customFormat="1" ht="14.25" customHeight="1">
      <c r="A87" s="3232" t="s">
        <v>303</v>
      </c>
      <c r="B87" s="3223" t="s">
        <v>3077</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2956</v>
      </c>
      <c r="C113" s="3227">
        <v>15520</v>
      </c>
      <c r="D113" s="3227">
        <v>15450</v>
      </c>
      <c r="E113" s="3227"/>
      <c r="F113" s="3227"/>
      <c r="G113" s="3240">
        <v>10210</v>
      </c>
    </row>
    <row r="114" spans="1:7" s="3216" customFormat="1" ht="14.25" customHeight="1">
      <c r="A114" s="3227" t="s">
        <v>303</v>
      </c>
      <c r="B114" s="3227" t="s">
        <v>2963</v>
      </c>
      <c r="C114" s="3227">
        <v>13110</v>
      </c>
      <c r="D114" s="3227">
        <v>13050</v>
      </c>
      <c r="E114" s="3227"/>
      <c r="F114" s="3227"/>
      <c r="G114" s="3240">
        <v>8620</v>
      </c>
    </row>
    <row r="115" spans="1:7" s="3216" customFormat="1" ht="14.25" customHeight="1">
      <c r="A115" s="3227" t="s">
        <v>303</v>
      </c>
      <c r="B115" s="3227" t="s">
        <v>2969</v>
      </c>
      <c r="C115" s="3227">
        <v>12460</v>
      </c>
      <c r="D115" s="3227">
        <v>12390</v>
      </c>
      <c r="E115" s="3227"/>
      <c r="F115" s="3227"/>
      <c r="G115" s="3240">
        <v>8190</v>
      </c>
    </row>
    <row r="116" spans="1:7" s="3216" customFormat="1" ht="14.25" customHeight="1">
      <c r="A116" s="3227" t="s">
        <v>303</v>
      </c>
      <c r="B116" s="3227" t="s">
        <v>2976</v>
      </c>
      <c r="C116" s="3227">
        <v>13580</v>
      </c>
      <c r="D116" s="3227">
        <v>13520</v>
      </c>
      <c r="E116" s="3227"/>
      <c r="F116" s="3227"/>
      <c r="G116" s="3240">
        <v>8930</v>
      </c>
    </row>
    <row r="117" spans="1:7" s="3216" customFormat="1" ht="14.25" customHeight="1">
      <c r="A117" s="3227" t="s">
        <v>303</v>
      </c>
      <c r="B117" s="3227" t="s">
        <v>2983</v>
      </c>
      <c r="C117" s="3227">
        <v>17120</v>
      </c>
      <c r="D117" s="3227">
        <v>17040</v>
      </c>
      <c r="E117" s="3227"/>
      <c r="F117" s="3227"/>
      <c r="G117" s="3240">
        <v>11260</v>
      </c>
    </row>
    <row r="118" spans="1:7" s="3216" customFormat="1" ht="14.25" customHeight="1">
      <c r="A118" s="3227" t="s">
        <v>303</v>
      </c>
      <c r="B118" s="3227" t="s">
        <v>2988</v>
      </c>
      <c r="C118" s="3227">
        <v>14860</v>
      </c>
      <c r="D118" s="3227">
        <v>14790</v>
      </c>
      <c r="E118" s="3227"/>
      <c r="F118" s="3227"/>
      <c r="G118" s="3240">
        <v>9780</v>
      </c>
    </row>
    <row r="119" spans="1:7" s="3216" customFormat="1" ht="14.25" customHeight="1">
      <c r="A119" s="3227" t="s">
        <v>303</v>
      </c>
      <c r="B119" s="3227" t="s">
        <v>2992</v>
      </c>
      <c r="C119" s="3227">
        <v>16470</v>
      </c>
      <c r="D119" s="3227">
        <v>16400</v>
      </c>
      <c r="E119" s="3227"/>
      <c r="F119" s="3227"/>
      <c r="G119" s="3240">
        <v>10840</v>
      </c>
    </row>
    <row r="120" spans="1:7" s="3216" customFormat="1" ht="14.25" customHeight="1">
      <c r="A120" s="3227" t="s">
        <v>303</v>
      </c>
      <c r="B120" s="3227" t="s">
        <v>3078</v>
      </c>
      <c r="C120" s="3227"/>
      <c r="D120" s="3227"/>
      <c r="E120" s="3227"/>
      <c r="F120" s="3227">
        <v>4160</v>
      </c>
      <c r="G120" s="3240"/>
    </row>
    <row r="121" spans="1:7" s="3216" customFormat="1" ht="14.25" customHeight="1">
      <c r="A121" s="3227" t="s">
        <v>303</v>
      </c>
      <c r="B121" s="3227" t="s">
        <v>3079</v>
      </c>
      <c r="C121" s="3227"/>
      <c r="D121" s="3227"/>
      <c r="E121" s="3227"/>
      <c r="F121" s="3227">
        <v>3880</v>
      </c>
      <c r="G121" s="3240"/>
    </row>
    <row r="122" spans="1:7" s="3216" customFormat="1" ht="14.25" customHeight="1">
      <c r="A122" s="3227" t="s">
        <v>303</v>
      </c>
      <c r="B122" s="3227" t="s">
        <v>3080</v>
      </c>
      <c r="C122" s="3227">
        <v>13750</v>
      </c>
      <c r="D122" s="3227">
        <v>13680</v>
      </c>
      <c r="E122" s="3227">
        <v>16460</v>
      </c>
      <c r="F122" s="3227">
        <v>2880</v>
      </c>
      <c r="G122" s="3240">
        <v>9040</v>
      </c>
    </row>
    <row r="123" spans="1:7" s="3216" customFormat="1" ht="14.25" customHeight="1">
      <c r="A123" s="3227" t="s">
        <v>303</v>
      </c>
      <c r="B123" s="3227" t="s">
        <v>3011</v>
      </c>
      <c r="C123" s="3227">
        <v>13590</v>
      </c>
      <c r="D123" s="3227">
        <v>13520</v>
      </c>
      <c r="E123" s="3227">
        <v>16290</v>
      </c>
      <c r="F123" s="3227">
        <v>2790</v>
      </c>
      <c r="G123" s="3240">
        <v>8930</v>
      </c>
    </row>
    <row r="124" spans="1:7" s="3216" customFormat="1" ht="14.25" customHeight="1">
      <c r="A124" s="3227" t="s">
        <v>303</v>
      </c>
      <c r="B124" s="3227" t="s">
        <v>3016</v>
      </c>
      <c r="C124" s="3227">
        <v>13400</v>
      </c>
      <c r="D124" s="3227">
        <v>13320</v>
      </c>
      <c r="E124" s="3227">
        <v>16100</v>
      </c>
      <c r="F124" s="3227">
        <v>2320</v>
      </c>
      <c r="G124" s="3240">
        <v>8800</v>
      </c>
    </row>
    <row r="125" spans="1:7" s="3216" customFormat="1" ht="14.25" customHeight="1">
      <c r="A125" s="3227" t="s">
        <v>303</v>
      </c>
      <c r="B125" s="3227" t="s">
        <v>3021</v>
      </c>
      <c r="C125" s="3227">
        <v>12860</v>
      </c>
      <c r="D125" s="3227">
        <v>12790</v>
      </c>
      <c r="E125" s="3227">
        <v>15370</v>
      </c>
      <c r="F125" s="3227">
        <v>2280</v>
      </c>
      <c r="G125" s="3240">
        <v>8450</v>
      </c>
    </row>
    <row r="126" spans="1:7" s="3216" customFormat="1" ht="14.25" customHeight="1" thickBot="1">
      <c r="A126" s="3241" t="s">
        <v>303</v>
      </c>
      <c r="B126" s="3234" t="s">
        <v>3026</v>
      </c>
      <c r="C126" s="3234">
        <v>12960</v>
      </c>
      <c r="D126" s="3234">
        <v>12890</v>
      </c>
      <c r="E126" s="3234">
        <v>15530</v>
      </c>
      <c r="F126" s="3234">
        <v>2910</v>
      </c>
      <c r="G126" s="3242">
        <v>8520</v>
      </c>
    </row>
    <row r="127" spans="1:7" s="3216" customFormat="1" ht="14.25" customHeight="1">
      <c r="A127" s="3232" t="s">
        <v>29</v>
      </c>
      <c r="B127" s="3223" t="s">
        <v>3081</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3082</v>
      </c>
      <c r="C148" s="3227">
        <v>10370</v>
      </c>
      <c r="D148" s="3227">
        <v>10310</v>
      </c>
      <c r="E148" s="3227">
        <v>12970</v>
      </c>
      <c r="F148" s="3227"/>
      <c r="G148" s="3227">
        <v>6630</v>
      </c>
    </row>
    <row r="149" spans="1:7" s="3216" customFormat="1" ht="14.25" customHeight="1">
      <c r="A149" s="3227" t="s">
        <v>29</v>
      </c>
      <c r="B149" s="3227" t="s">
        <v>3083</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2957</v>
      </c>
      <c r="C153" s="3227">
        <v>10880</v>
      </c>
      <c r="D153" s="3227">
        <v>10820</v>
      </c>
      <c r="E153" s="3227">
        <v>13660</v>
      </c>
      <c r="F153" s="3227">
        <v>2260</v>
      </c>
      <c r="G153" s="3227">
        <v>6970</v>
      </c>
    </row>
    <row r="154" spans="1:7" s="3216" customFormat="1" ht="14.25" customHeight="1">
      <c r="A154" s="3227" t="s">
        <v>29</v>
      </c>
      <c r="B154" s="3227" t="s">
        <v>3084</v>
      </c>
      <c r="C154" s="3227">
        <v>11220</v>
      </c>
      <c r="D154" s="3227">
        <v>11160</v>
      </c>
      <c r="E154" s="3227">
        <v>14130</v>
      </c>
      <c r="F154" s="3227">
        <v>2230</v>
      </c>
      <c r="G154" s="3227">
        <v>7180</v>
      </c>
    </row>
    <row r="155" spans="1:7" s="3216" customFormat="1" ht="14.25" customHeight="1">
      <c r="A155" s="3227" t="s">
        <v>29</v>
      </c>
      <c r="B155" s="3227" t="s">
        <v>2970</v>
      </c>
      <c r="C155" s="3227">
        <v>10430</v>
      </c>
      <c r="D155" s="3227">
        <v>10380</v>
      </c>
      <c r="E155" s="3227">
        <v>13140</v>
      </c>
      <c r="F155" s="3227">
        <v>2080</v>
      </c>
      <c r="G155" s="3227">
        <v>6650</v>
      </c>
    </row>
    <row r="156" spans="1:7" s="3216" customFormat="1" ht="14.25" customHeight="1">
      <c r="A156" s="3227" t="s">
        <v>29</v>
      </c>
      <c r="B156" s="3227" t="s">
        <v>3085</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3086</v>
      </c>
      <c r="C160" s="3227">
        <v>11180</v>
      </c>
      <c r="D160" s="3227">
        <v>11140</v>
      </c>
      <c r="E160" s="3227">
        <v>14050</v>
      </c>
      <c r="F160" s="3227">
        <v>2270</v>
      </c>
      <c r="G160" s="3227">
        <v>7170</v>
      </c>
    </row>
    <row r="161" spans="1:7" s="3216" customFormat="1" ht="14.25" customHeight="1">
      <c r="A161" s="3227" t="s">
        <v>29</v>
      </c>
      <c r="B161" s="3227" t="s">
        <v>3002</v>
      </c>
      <c r="C161" s="3227">
        <v>11160</v>
      </c>
      <c r="D161" s="3227">
        <v>11120</v>
      </c>
      <c r="E161" s="3227">
        <v>14020</v>
      </c>
      <c r="F161" s="3227">
        <v>2150</v>
      </c>
      <c r="G161" s="3227">
        <v>7160</v>
      </c>
    </row>
    <row r="162" spans="1:7" s="3216" customFormat="1" ht="14.25" customHeight="1">
      <c r="A162" s="3227" t="s">
        <v>29</v>
      </c>
      <c r="B162" s="3227" t="s">
        <v>3007</v>
      </c>
      <c r="C162" s="3227">
        <v>9620</v>
      </c>
      <c r="D162" s="3227">
        <v>9570</v>
      </c>
      <c r="E162" s="3227">
        <v>12320</v>
      </c>
      <c r="F162" s="3227">
        <v>2010</v>
      </c>
      <c r="G162" s="3227">
        <v>6160</v>
      </c>
    </row>
    <row r="163" spans="1:7" s="3216" customFormat="1" ht="14.25" customHeight="1">
      <c r="A163" s="3227" t="s">
        <v>29</v>
      </c>
      <c r="B163" s="3227" t="s">
        <v>3012</v>
      </c>
      <c r="C163" s="3227">
        <v>9320</v>
      </c>
      <c r="D163" s="3227">
        <v>9270</v>
      </c>
      <c r="E163" s="3227">
        <v>11790</v>
      </c>
      <c r="F163" s="3227">
        <v>1920</v>
      </c>
      <c r="G163" s="3227">
        <v>5960</v>
      </c>
    </row>
    <row r="164" spans="1:7" s="3216" customFormat="1" ht="14.25" customHeight="1">
      <c r="A164" s="3227" t="s">
        <v>29</v>
      </c>
      <c r="B164" s="3227" t="s">
        <v>3017</v>
      </c>
      <c r="C164" s="3227"/>
      <c r="D164" s="3227"/>
      <c r="E164" s="3227"/>
      <c r="F164" s="3227">
        <v>1980</v>
      </c>
      <c r="G164" s="3227"/>
    </row>
    <row r="165" spans="1:7" s="3216" customFormat="1" ht="14.25" customHeight="1">
      <c r="A165" s="3227" t="s">
        <v>29</v>
      </c>
      <c r="B165" s="3227" t="s">
        <v>3087</v>
      </c>
      <c r="C165" s="3227">
        <v>11060</v>
      </c>
      <c r="D165" s="3227">
        <v>11030</v>
      </c>
      <c r="E165" s="3227">
        <v>13850</v>
      </c>
      <c r="F165" s="3227">
        <v>2170</v>
      </c>
      <c r="G165" s="3227">
        <v>7090</v>
      </c>
    </row>
    <row r="166" spans="1:7" s="3216" customFormat="1" ht="14.25" customHeight="1">
      <c r="A166" s="3227" t="s">
        <v>29</v>
      </c>
      <c r="B166" s="3227" t="s">
        <v>3027</v>
      </c>
      <c r="C166" s="3227">
        <v>11050</v>
      </c>
      <c r="D166" s="3227">
        <v>11010</v>
      </c>
      <c r="E166" s="3227">
        <v>13920</v>
      </c>
      <c r="F166" s="3227">
        <v>2140</v>
      </c>
      <c r="G166" s="3227">
        <v>7080</v>
      </c>
    </row>
    <row r="167" spans="1:7" s="3216" customFormat="1" ht="14.25" customHeight="1">
      <c r="A167" s="3227" t="s">
        <v>29</v>
      </c>
      <c r="B167" s="3227" t="s">
        <v>3031</v>
      </c>
      <c r="C167" s="3227">
        <v>10930</v>
      </c>
      <c r="D167" s="3227">
        <v>10890</v>
      </c>
      <c r="E167" s="3227">
        <v>13790</v>
      </c>
      <c r="F167" s="3227">
        <v>2010</v>
      </c>
      <c r="G167" s="3227">
        <v>7000</v>
      </c>
    </row>
    <row r="168" spans="1:7" s="3216" customFormat="1" ht="14.25" customHeight="1">
      <c r="A168" s="3227" t="s">
        <v>29</v>
      </c>
      <c r="B168" s="3227" t="s">
        <v>3036</v>
      </c>
      <c r="C168" s="3227">
        <v>9420</v>
      </c>
      <c r="D168" s="3227">
        <v>9380</v>
      </c>
      <c r="E168" s="3227">
        <v>11970</v>
      </c>
      <c r="F168" s="3227"/>
      <c r="G168" s="3227">
        <v>6040</v>
      </c>
    </row>
    <row r="169" spans="1:7" s="3216" customFormat="1" ht="14.25" customHeight="1">
      <c r="A169" s="3227" t="s">
        <v>29</v>
      </c>
      <c r="B169" s="3227" t="s">
        <v>3088</v>
      </c>
      <c r="C169" s="3227"/>
      <c r="D169" s="3227"/>
      <c r="E169" s="3227"/>
      <c r="F169" s="3227">
        <v>2880</v>
      </c>
      <c r="G169" s="3227"/>
    </row>
    <row r="170" spans="1:7" s="3216" customFormat="1" ht="14.25" customHeight="1">
      <c r="A170" s="3227" t="s">
        <v>29</v>
      </c>
      <c r="B170" s="3227" t="s">
        <v>3044</v>
      </c>
      <c r="C170" s="3227"/>
      <c r="D170" s="3227"/>
      <c r="E170" s="3227"/>
      <c r="F170" s="3227">
        <v>2880</v>
      </c>
      <c r="G170" s="3227"/>
    </row>
    <row r="171" spans="1:7" s="3216" customFormat="1" ht="14.25" customHeight="1">
      <c r="A171" s="3227" t="s">
        <v>29</v>
      </c>
      <c r="B171" s="3227" t="s">
        <v>3047</v>
      </c>
      <c r="C171" s="3227"/>
      <c r="D171" s="3227"/>
      <c r="E171" s="3227"/>
      <c r="F171" s="3227">
        <v>2880</v>
      </c>
      <c r="G171" s="3227"/>
    </row>
    <row r="172" spans="1:7" s="3216" customFormat="1" ht="14.25" customHeight="1">
      <c r="A172" s="3227" t="s">
        <v>29</v>
      </c>
      <c r="B172" s="3227" t="s">
        <v>3049</v>
      </c>
      <c r="C172" s="3227"/>
      <c r="D172" s="3227"/>
      <c r="E172" s="3227"/>
      <c r="F172" s="3227">
        <v>2880</v>
      </c>
      <c r="G172" s="3227"/>
    </row>
    <row r="173" spans="1:7" s="3216" customFormat="1" ht="14.25" customHeight="1">
      <c r="A173" s="3227" t="s">
        <v>29</v>
      </c>
      <c r="B173" s="3227" t="s">
        <v>3051</v>
      </c>
      <c r="C173" s="3227"/>
      <c r="D173" s="3227"/>
      <c r="E173" s="3227"/>
      <c r="F173" s="3227">
        <v>2150</v>
      </c>
      <c r="G173" s="3227"/>
    </row>
    <row r="174" spans="1:7" s="3216" customFormat="1" ht="14.25" customHeight="1">
      <c r="A174" s="3227" t="s">
        <v>29</v>
      </c>
      <c r="B174" s="3227" t="s">
        <v>3053</v>
      </c>
      <c r="C174" s="3227"/>
      <c r="D174" s="3227"/>
      <c r="E174" s="3227"/>
      <c r="F174" s="3227">
        <v>2030</v>
      </c>
      <c r="G174" s="3227"/>
    </row>
    <row r="175" spans="1:7" s="3216" customFormat="1" ht="14.25" customHeight="1">
      <c r="A175" s="3227" t="s">
        <v>29</v>
      </c>
      <c r="B175" s="3227" t="s">
        <v>3055</v>
      </c>
      <c r="C175" s="3227"/>
      <c r="D175" s="3227"/>
      <c r="E175" s="3227"/>
      <c r="F175" s="3227">
        <v>2780</v>
      </c>
      <c r="G175" s="3227"/>
    </row>
    <row r="176" spans="1:7" s="3216" customFormat="1" ht="14.25" customHeight="1">
      <c r="A176" s="3227" t="s">
        <v>29</v>
      </c>
      <c r="B176" s="3227" t="s">
        <v>3057</v>
      </c>
      <c r="C176" s="3227"/>
      <c r="D176" s="3227"/>
      <c r="E176" s="3227"/>
      <c r="F176" s="3227">
        <v>2780</v>
      </c>
      <c r="G176" s="3227"/>
    </row>
    <row r="177" spans="1:7" s="3216" customFormat="1" ht="14.25" customHeight="1">
      <c r="A177" s="3227" t="s">
        <v>29</v>
      </c>
      <c r="B177" s="3227" t="s">
        <v>3089</v>
      </c>
      <c r="C177" s="3227"/>
      <c r="D177" s="3227"/>
      <c r="E177" s="3227"/>
      <c r="F177" s="3227">
        <v>2780</v>
      </c>
      <c r="G177" s="3227"/>
    </row>
    <row r="178" spans="1:7" s="3216" customFormat="1" ht="14.25" customHeight="1">
      <c r="A178" s="3227" t="s">
        <v>29</v>
      </c>
      <c r="B178" s="3227" t="s">
        <v>3090</v>
      </c>
      <c r="C178" s="3227"/>
      <c r="D178" s="3227"/>
      <c r="E178" s="3227"/>
      <c r="F178" s="3227">
        <v>2060</v>
      </c>
      <c r="G178" s="3227"/>
    </row>
    <row r="179" spans="1:7" s="3216" customFormat="1" ht="14.25" customHeight="1">
      <c r="A179" s="3227" t="s">
        <v>29</v>
      </c>
      <c r="B179" s="3227" t="s">
        <v>3091</v>
      </c>
      <c r="C179" s="3227"/>
      <c r="D179" s="3227"/>
      <c r="E179" s="3227"/>
      <c r="F179" s="3227">
        <v>2120</v>
      </c>
      <c r="G179" s="3227"/>
    </row>
    <row r="180" spans="1:7" s="3216" customFormat="1" ht="14.25" customHeight="1">
      <c r="A180" s="3227" t="s">
        <v>29</v>
      </c>
      <c r="B180" s="3227" t="s">
        <v>3063</v>
      </c>
      <c r="C180" s="3227"/>
      <c r="D180" s="3227"/>
      <c r="E180" s="3227"/>
      <c r="F180" s="3227">
        <v>2340</v>
      </c>
      <c r="G180" s="3227"/>
    </row>
    <row r="181" spans="1:7" s="3216" customFormat="1" ht="14.25" customHeight="1">
      <c r="A181" s="3227" t="s">
        <v>29</v>
      </c>
      <c r="B181" s="3227" t="s">
        <v>3064</v>
      </c>
      <c r="C181" s="3227"/>
      <c r="D181" s="3227"/>
      <c r="E181" s="3227"/>
      <c r="F181" s="3227">
        <v>2340</v>
      </c>
      <c r="G181" s="3227"/>
    </row>
    <row r="182" spans="1:7" s="3216" customFormat="1" ht="14.25" customHeight="1">
      <c r="A182" s="3227" t="s">
        <v>29</v>
      </c>
      <c r="B182" s="3227" t="s">
        <v>3065</v>
      </c>
      <c r="C182" s="3227"/>
      <c r="D182" s="3227"/>
      <c r="E182" s="3227"/>
      <c r="F182" s="3227">
        <v>2340</v>
      </c>
      <c r="G182" s="3227"/>
    </row>
    <row r="183" spans="1:7" s="3216" customFormat="1" ht="14.25" customHeight="1">
      <c r="A183" s="3227" t="s">
        <v>29</v>
      </c>
      <c r="B183" s="3227" t="s">
        <v>3066</v>
      </c>
      <c r="C183" s="3227"/>
      <c r="D183" s="3227"/>
      <c r="E183" s="3227"/>
      <c r="F183" s="3227">
        <v>2340</v>
      </c>
      <c r="G183" s="3227"/>
    </row>
    <row r="184" spans="1:7" s="3216" customFormat="1" ht="14.25" customHeight="1">
      <c r="A184" s="3227" t="s">
        <v>29</v>
      </c>
      <c r="B184" s="3227" t="s">
        <v>3067</v>
      </c>
      <c r="C184" s="3227"/>
      <c r="D184" s="3227"/>
      <c r="E184" s="3227"/>
      <c r="F184" s="3227">
        <v>2340</v>
      </c>
      <c r="G184" s="3227"/>
    </row>
    <row r="185" spans="1:7" s="3216" customFormat="1" ht="14.25" customHeight="1">
      <c r="A185" s="3227" t="s">
        <v>29</v>
      </c>
      <c r="B185" s="3227" t="s">
        <v>3068</v>
      </c>
      <c r="C185" s="3227"/>
      <c r="D185" s="3227"/>
      <c r="E185" s="3227"/>
      <c r="F185" s="3227">
        <v>2530</v>
      </c>
      <c r="G185" s="3227"/>
    </row>
    <row r="186" spans="1:7" s="3216" customFormat="1" ht="14.25" customHeight="1">
      <c r="A186" s="3227" t="s">
        <v>29</v>
      </c>
      <c r="B186" s="3227" t="s">
        <v>3069</v>
      </c>
      <c r="C186" s="3227"/>
      <c r="D186" s="3227"/>
      <c r="E186" s="3227"/>
      <c r="F186" s="3227">
        <v>2550</v>
      </c>
      <c r="G186" s="3227"/>
    </row>
    <row r="187" spans="1:7" s="3216" customFormat="1" ht="14.25" customHeight="1">
      <c r="A187" s="3227" t="s">
        <v>29</v>
      </c>
      <c r="B187" s="3227" t="s">
        <v>3070</v>
      </c>
      <c r="C187" s="3227"/>
      <c r="D187" s="3227"/>
      <c r="E187" s="3227"/>
      <c r="F187" s="3227">
        <v>2070</v>
      </c>
      <c r="G187" s="3227"/>
    </row>
    <row r="188" spans="1:7" s="3216" customFormat="1" ht="14.25" customHeight="1">
      <c r="A188" s="3227" t="s">
        <v>29</v>
      </c>
      <c r="B188" s="3227" t="s">
        <v>3071</v>
      </c>
      <c r="C188" s="3227"/>
      <c r="D188" s="3227"/>
      <c r="E188" s="3227"/>
      <c r="F188" s="3227">
        <v>2340</v>
      </c>
      <c r="G188" s="3227"/>
    </row>
    <row r="189" spans="1:7" s="3216" customFormat="1" ht="14.25" customHeight="1" thickBot="1">
      <c r="A189" s="3235" t="s">
        <v>29</v>
      </c>
      <c r="B189" s="3238" t="s">
        <v>3072</v>
      </c>
      <c r="C189" s="3238"/>
      <c r="D189" s="3238"/>
      <c r="E189" s="3238"/>
      <c r="F189" s="3238">
        <v>2050</v>
      </c>
      <c r="G189" s="3238"/>
    </row>
    <row r="190" spans="1:7" s="3216" customFormat="1" ht="14.25" customHeight="1">
      <c r="A190" s="3232" t="s">
        <v>304</v>
      </c>
      <c r="B190" s="3223" t="s">
        <v>3092</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3093</v>
      </c>
      <c r="C199" s="3227">
        <v>8690</v>
      </c>
      <c r="D199" s="3227">
        <v>8630</v>
      </c>
      <c r="E199" s="3227">
        <v>11350</v>
      </c>
      <c r="F199" s="3227">
        <v>1600</v>
      </c>
      <c r="G199" s="3240">
        <v>5450</v>
      </c>
    </row>
    <row r="200" spans="1:7" s="3216" customFormat="1" ht="14.25" customHeight="1">
      <c r="A200" s="3227" t="s">
        <v>304</v>
      </c>
      <c r="B200" s="3227" t="s">
        <v>2904</v>
      </c>
      <c r="C200" s="3227"/>
      <c r="D200" s="3227"/>
      <c r="E200" s="3227"/>
      <c r="F200" s="3227">
        <v>1510</v>
      </c>
      <c r="G200" s="3240"/>
    </row>
    <row r="201" spans="1:7" s="3216" customFormat="1" ht="14.25" customHeight="1">
      <c r="A201" s="3227" t="s">
        <v>304</v>
      </c>
      <c r="B201" s="3227" t="s">
        <v>3094</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3095</v>
      </c>
      <c r="C203" s="3227">
        <v>8130</v>
      </c>
      <c r="D203" s="3227">
        <v>8070</v>
      </c>
      <c r="E203" s="3227">
        <v>10820</v>
      </c>
      <c r="F203" s="3227">
        <v>1690</v>
      </c>
      <c r="G203" s="3240">
        <v>5100</v>
      </c>
    </row>
    <row r="204" spans="1:7" s="3216" customFormat="1" ht="14.25" customHeight="1">
      <c r="A204" s="3227" t="s">
        <v>304</v>
      </c>
      <c r="B204" s="3227" t="s">
        <v>2915</v>
      </c>
      <c r="C204" s="3227">
        <v>8350</v>
      </c>
      <c r="D204" s="3227">
        <v>8290</v>
      </c>
      <c r="E204" s="3227">
        <v>11080</v>
      </c>
      <c r="F204" s="3227">
        <v>1450</v>
      </c>
      <c r="G204" s="3240">
        <v>5240</v>
      </c>
    </row>
    <row r="205" spans="1:7" s="3216" customFormat="1" ht="14.25" customHeight="1">
      <c r="A205" s="3227" t="s">
        <v>304</v>
      </c>
      <c r="B205" s="3227" t="s">
        <v>2917</v>
      </c>
      <c r="C205" s="3227">
        <v>7190</v>
      </c>
      <c r="D205" s="3227">
        <v>7130</v>
      </c>
      <c r="E205" s="3227">
        <v>9490</v>
      </c>
      <c r="F205" s="3227">
        <v>1470</v>
      </c>
      <c r="G205" s="3240">
        <v>4510</v>
      </c>
    </row>
    <row r="206" spans="1:7" s="3216" customFormat="1" ht="14.25" customHeight="1">
      <c r="A206" s="3227" t="s">
        <v>304</v>
      </c>
      <c r="B206" s="3227" t="s">
        <v>2920</v>
      </c>
      <c r="C206" s="3227">
        <v>7000</v>
      </c>
      <c r="D206" s="3227">
        <v>6950</v>
      </c>
      <c r="E206" s="3227">
        <v>9170</v>
      </c>
      <c r="F206" s="3227">
        <v>1400</v>
      </c>
      <c r="G206" s="3240">
        <v>4380</v>
      </c>
    </row>
    <row r="207" spans="1:7" s="3216" customFormat="1" ht="14.25" customHeight="1">
      <c r="A207" s="3227" t="s">
        <v>304</v>
      </c>
      <c r="B207" s="3227" t="s">
        <v>2922</v>
      </c>
      <c r="C207" s="3227">
        <v>6950</v>
      </c>
      <c r="D207" s="3227">
        <v>6900</v>
      </c>
      <c r="E207" s="3227">
        <v>9110</v>
      </c>
      <c r="F207" s="3227">
        <v>1790</v>
      </c>
      <c r="G207" s="3240">
        <v>4360</v>
      </c>
    </row>
    <row r="208" spans="1:7" s="3216" customFormat="1" ht="14.25" customHeight="1">
      <c r="A208" s="3227" t="s">
        <v>304</v>
      </c>
      <c r="B208" s="3227" t="s">
        <v>3096</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2932</v>
      </c>
      <c r="C210" s="3227">
        <v>8710</v>
      </c>
      <c r="D210" s="3227">
        <v>8660</v>
      </c>
      <c r="E210" s="3227">
        <v>11440</v>
      </c>
      <c r="F210" s="3227">
        <v>1740</v>
      </c>
      <c r="G210" s="3240">
        <v>5470</v>
      </c>
    </row>
    <row r="211" spans="1:7" s="3216" customFormat="1" ht="14.25" customHeight="1">
      <c r="A211" s="3227" t="s">
        <v>304</v>
      </c>
      <c r="B211" s="3227" t="s">
        <v>3097</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3098</v>
      </c>
      <c r="C214" s="3227">
        <v>8090</v>
      </c>
      <c r="D214" s="3227">
        <v>8030</v>
      </c>
      <c r="E214" s="3227">
        <v>10780</v>
      </c>
      <c r="F214" s="3227">
        <v>1570</v>
      </c>
      <c r="G214" s="3240">
        <v>5070</v>
      </c>
    </row>
    <row r="215" spans="1:7" s="3216" customFormat="1" ht="14.25" customHeight="1">
      <c r="A215" s="3227" t="s">
        <v>304</v>
      </c>
      <c r="B215" s="3227" t="s">
        <v>3099</v>
      </c>
      <c r="C215" s="3227">
        <v>7950</v>
      </c>
      <c r="D215" s="3227">
        <v>7900</v>
      </c>
      <c r="E215" s="3227">
        <v>10560</v>
      </c>
      <c r="F215" s="3227">
        <v>1630</v>
      </c>
      <c r="G215" s="3240">
        <v>4990</v>
      </c>
    </row>
    <row r="216" spans="1:7" s="3216" customFormat="1" ht="14.25" customHeight="1">
      <c r="A216" s="3227" t="s">
        <v>304</v>
      </c>
      <c r="B216" s="3227" t="s">
        <v>3100</v>
      </c>
      <c r="C216" s="3227">
        <v>8490</v>
      </c>
      <c r="D216" s="3227">
        <v>8440</v>
      </c>
      <c r="E216" s="3227">
        <v>11260</v>
      </c>
      <c r="F216" s="3227">
        <v>1690</v>
      </c>
      <c r="G216" s="3240">
        <v>5330</v>
      </c>
    </row>
    <row r="217" spans="1:7" s="3216" customFormat="1" ht="14.25" customHeight="1">
      <c r="A217" s="3227" t="s">
        <v>304</v>
      </c>
      <c r="B217" s="3227" t="s">
        <v>2965</v>
      </c>
      <c r="C217" s="3227">
        <v>8200</v>
      </c>
      <c r="D217" s="3227">
        <v>8150</v>
      </c>
      <c r="E217" s="3227">
        <v>10910</v>
      </c>
      <c r="F217" s="3227">
        <v>1670</v>
      </c>
      <c r="G217" s="3240">
        <v>5150</v>
      </c>
    </row>
    <row r="218" spans="1:7" s="3216" customFormat="1" ht="14.25" customHeight="1">
      <c r="A218" s="3227" t="s">
        <v>304</v>
      </c>
      <c r="B218" s="3227" t="s">
        <v>3101</v>
      </c>
      <c r="C218" s="3227"/>
      <c r="D218" s="3227"/>
      <c r="E218" s="3227"/>
      <c r="F218" s="3227">
        <v>2040</v>
      </c>
      <c r="G218" s="3240"/>
    </row>
    <row r="219" spans="1:7" s="3216" customFormat="1" ht="14.25" customHeight="1">
      <c r="A219" s="3227" t="s">
        <v>304</v>
      </c>
      <c r="B219" s="3227" t="s">
        <v>3102</v>
      </c>
      <c r="C219" s="3227"/>
      <c r="D219" s="3227"/>
      <c r="E219" s="3227"/>
      <c r="F219" s="3227">
        <v>2040</v>
      </c>
      <c r="G219" s="3240"/>
    </row>
    <row r="220" spans="1:7" s="3216" customFormat="1" ht="14.25" customHeight="1">
      <c r="A220" s="3227" t="s">
        <v>304</v>
      </c>
      <c r="B220" s="3227" t="s">
        <v>3103</v>
      </c>
      <c r="C220" s="3227"/>
      <c r="D220" s="3227"/>
      <c r="E220" s="3227"/>
      <c r="F220" s="3227">
        <v>2040</v>
      </c>
      <c r="G220" s="3240"/>
    </row>
    <row r="221" spans="1:7" s="3216" customFormat="1" ht="14.25" customHeight="1">
      <c r="A221" s="3227" t="s">
        <v>304</v>
      </c>
      <c r="B221" s="3227" t="s">
        <v>3104</v>
      </c>
      <c r="C221" s="3227"/>
      <c r="D221" s="3227"/>
      <c r="E221" s="3227"/>
      <c r="F221" s="3227">
        <v>2040</v>
      </c>
      <c r="G221" s="3240"/>
    </row>
    <row r="222" spans="1:7" s="3216" customFormat="1" ht="14.25" customHeight="1">
      <c r="A222" s="3227" t="s">
        <v>304</v>
      </c>
      <c r="B222" s="3227" t="s">
        <v>3105</v>
      </c>
      <c r="C222" s="3227"/>
      <c r="D222" s="3227"/>
      <c r="E222" s="3227"/>
      <c r="F222" s="3227">
        <v>2040</v>
      </c>
      <c r="G222" s="3240"/>
    </row>
    <row r="223" spans="1:7" s="3216" customFormat="1" ht="14.25" customHeight="1">
      <c r="A223" s="3227" t="s">
        <v>304</v>
      </c>
      <c r="B223" s="3227" t="s">
        <v>3106</v>
      </c>
      <c r="C223" s="3227"/>
      <c r="D223" s="3227"/>
      <c r="E223" s="3227"/>
      <c r="F223" s="3227">
        <v>1930</v>
      </c>
      <c r="G223" s="3240"/>
    </row>
    <row r="224" spans="1:7" s="3216" customFormat="1" ht="14.25" customHeight="1">
      <c r="A224" s="3227" t="s">
        <v>304</v>
      </c>
      <c r="B224" s="3227" t="s">
        <v>3107</v>
      </c>
      <c r="C224" s="3227"/>
      <c r="D224" s="3227"/>
      <c r="E224" s="3227"/>
      <c r="F224" s="3227">
        <v>1930</v>
      </c>
      <c r="G224" s="3240"/>
    </row>
    <row r="225" spans="1:7" s="3216" customFormat="1" ht="14.25" customHeight="1">
      <c r="A225" s="3227" t="s">
        <v>304</v>
      </c>
      <c r="B225" s="3227" t="s">
        <v>3108</v>
      </c>
      <c r="C225" s="3227"/>
      <c r="D225" s="3227"/>
      <c r="E225" s="3227"/>
      <c r="F225" s="3227">
        <v>1930</v>
      </c>
      <c r="G225" s="3240"/>
    </row>
    <row r="226" spans="1:7" s="3216" customFormat="1" ht="14.25" customHeight="1">
      <c r="A226" s="3227" t="s">
        <v>304</v>
      </c>
      <c r="B226" s="3227" t="s">
        <v>3109</v>
      </c>
      <c r="C226" s="3227"/>
      <c r="D226" s="3227"/>
      <c r="E226" s="3227"/>
      <c r="F226" s="3227">
        <v>1700</v>
      </c>
      <c r="G226" s="3240"/>
    </row>
    <row r="227" spans="1:7" s="3216" customFormat="1" ht="14.25" customHeight="1">
      <c r="A227" s="3227" t="s">
        <v>304</v>
      </c>
      <c r="B227" s="3227" t="s">
        <v>3110</v>
      </c>
      <c r="C227" s="3227"/>
      <c r="D227" s="3227"/>
      <c r="E227" s="3227"/>
      <c r="F227" s="3227">
        <v>1520</v>
      </c>
      <c r="G227" s="3240"/>
    </row>
    <row r="228" spans="1:7" s="3216" customFormat="1" ht="14.25" customHeight="1">
      <c r="A228" s="3227" t="s">
        <v>304</v>
      </c>
      <c r="B228" s="3227" t="s">
        <v>3111</v>
      </c>
      <c r="C228" s="3227"/>
      <c r="D228" s="3227"/>
      <c r="E228" s="3227"/>
      <c r="F228" s="3227">
        <v>1520</v>
      </c>
      <c r="G228" s="3240"/>
    </row>
    <row r="229" spans="1:7" s="3216" customFormat="1" ht="14.25" customHeight="1">
      <c r="A229" s="3227" t="s">
        <v>304</v>
      </c>
      <c r="B229" s="3227" t="s">
        <v>3028</v>
      </c>
      <c r="C229" s="3227"/>
      <c r="D229" s="3227"/>
      <c r="E229" s="3227"/>
      <c r="F229" s="3227">
        <v>1520</v>
      </c>
      <c r="G229" s="3240"/>
    </row>
    <row r="230" spans="1:7" s="3216" customFormat="1" ht="14.25" customHeight="1">
      <c r="A230" s="3227" t="s">
        <v>304</v>
      </c>
      <c r="B230" s="3227" t="s">
        <v>3112</v>
      </c>
      <c r="C230" s="3227"/>
      <c r="D230" s="3227"/>
      <c r="E230" s="3227"/>
      <c r="F230" s="3227">
        <v>1820</v>
      </c>
      <c r="G230" s="3240"/>
    </row>
    <row r="231" spans="1:7" s="3216" customFormat="1" ht="14.25" customHeight="1">
      <c r="A231" s="3227" t="s">
        <v>304</v>
      </c>
      <c r="B231" s="3227" t="s">
        <v>3113</v>
      </c>
      <c r="C231" s="3227"/>
      <c r="D231" s="3227"/>
      <c r="E231" s="3227"/>
      <c r="F231" s="3227">
        <v>1760</v>
      </c>
      <c r="G231" s="3240"/>
    </row>
    <row r="232" spans="1:7" s="3216" customFormat="1" ht="14.25" customHeight="1">
      <c r="A232" s="3227" t="s">
        <v>304</v>
      </c>
      <c r="B232" s="3227" t="s">
        <v>3114</v>
      </c>
      <c r="C232" s="3227"/>
      <c r="D232" s="3227"/>
      <c r="E232" s="3227"/>
      <c r="F232" s="3227">
        <v>1840</v>
      </c>
      <c r="G232" s="3240"/>
    </row>
    <row r="233" spans="1:7" s="3216" customFormat="1" ht="14.25" customHeight="1" thickBot="1">
      <c r="A233" s="3241" t="s">
        <v>304</v>
      </c>
      <c r="B233" s="3234" t="s">
        <v>3045</v>
      </c>
      <c r="C233" s="3234"/>
      <c r="D233" s="3234"/>
      <c r="E233" s="3234"/>
      <c r="F233" s="3234">
        <v>1770</v>
      </c>
      <c r="G233" s="3242"/>
    </row>
    <row r="234" spans="1:7" s="3216" customFormat="1" ht="14.25" customHeight="1">
      <c r="A234" s="3232" t="s">
        <v>305</v>
      </c>
      <c r="B234" s="3223" t="s">
        <v>3115</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2886</v>
      </c>
      <c r="C238" s="3227">
        <v>6920</v>
      </c>
      <c r="D238" s="3227">
        <v>6890</v>
      </c>
      <c r="E238" s="3227">
        <v>8640</v>
      </c>
      <c r="F238" s="3227">
        <v>1310</v>
      </c>
      <c r="G238" s="3227">
        <v>4230</v>
      </c>
    </row>
    <row r="239" spans="1:7" s="3216" customFormat="1" ht="14.25" customHeight="1">
      <c r="A239" s="3227" t="s">
        <v>305</v>
      </c>
      <c r="B239" s="3227" t="s">
        <v>3116</v>
      </c>
      <c r="C239" s="3227">
        <v>6780</v>
      </c>
      <c r="D239" s="3227">
        <v>6750</v>
      </c>
      <c r="E239" s="3227">
        <v>8440</v>
      </c>
      <c r="F239" s="3227">
        <v>1160</v>
      </c>
      <c r="G239" s="3227">
        <v>4140</v>
      </c>
    </row>
    <row r="240" spans="1:7" s="3216" customFormat="1" ht="14.25" customHeight="1">
      <c r="A240" s="3227" t="s">
        <v>305</v>
      </c>
      <c r="B240" s="3227" t="s">
        <v>3117</v>
      </c>
      <c r="C240" s="3227">
        <v>5420</v>
      </c>
      <c r="D240" s="3227">
        <v>5380</v>
      </c>
      <c r="E240" s="3227">
        <v>6640</v>
      </c>
      <c r="F240" s="3227">
        <v>1020</v>
      </c>
      <c r="G240" s="3227">
        <v>3300</v>
      </c>
    </row>
    <row r="241" spans="1:7" s="3216" customFormat="1" ht="14.25" customHeight="1">
      <c r="A241" s="3227" t="s">
        <v>305</v>
      </c>
      <c r="B241" s="3227" t="s">
        <v>3118</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3119</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3120</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3121</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3122</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3123</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2948</v>
      </c>
      <c r="C258" s="3227">
        <v>6190</v>
      </c>
      <c r="D258" s="3227">
        <v>6160</v>
      </c>
      <c r="E258" s="3227">
        <v>7680</v>
      </c>
      <c r="F258" s="3227">
        <v>1170</v>
      </c>
      <c r="G258" s="3227">
        <v>3780</v>
      </c>
    </row>
    <row r="259" spans="1:7" s="3216" customFormat="1" ht="14.25" customHeight="1">
      <c r="A259" s="3227" t="s">
        <v>305</v>
      </c>
      <c r="B259" s="3227" t="s">
        <v>3124</v>
      </c>
      <c r="C259" s="3227">
        <v>7610</v>
      </c>
      <c r="D259" s="3227">
        <v>7570</v>
      </c>
      <c r="E259" s="3227">
        <v>9350</v>
      </c>
      <c r="F259" s="3227">
        <v>1350</v>
      </c>
      <c r="G259" s="3227">
        <v>4650</v>
      </c>
    </row>
    <row r="260" spans="1:7" s="3216" customFormat="1" ht="14.25" customHeight="1">
      <c r="A260" s="3227" t="s">
        <v>305</v>
      </c>
      <c r="B260" s="3227" t="s">
        <v>3125</v>
      </c>
      <c r="C260" s="3227">
        <v>6920</v>
      </c>
      <c r="D260" s="3227">
        <v>6880</v>
      </c>
      <c r="E260" s="3227">
        <v>8380</v>
      </c>
      <c r="F260" s="3227">
        <v>1160</v>
      </c>
      <c r="G260" s="3227">
        <v>4220</v>
      </c>
    </row>
    <row r="261" spans="1:7" s="3216" customFormat="1" ht="14.25" customHeight="1">
      <c r="A261" s="3227" t="s">
        <v>305</v>
      </c>
      <c r="B261" s="3227" t="s">
        <v>3126</v>
      </c>
      <c r="C261" s="3227">
        <v>6850</v>
      </c>
      <c r="D261" s="3227">
        <v>6810</v>
      </c>
      <c r="E261" s="3227">
        <v>8290</v>
      </c>
      <c r="F261" s="3227">
        <v>1130</v>
      </c>
      <c r="G261" s="3227">
        <v>4180</v>
      </c>
    </row>
    <row r="262" spans="1:7" s="3216" customFormat="1" ht="14.25" customHeight="1">
      <c r="A262" s="3227" t="s">
        <v>305</v>
      </c>
      <c r="B262" s="3227" t="s">
        <v>3127</v>
      </c>
      <c r="C262" s="3227">
        <v>5860</v>
      </c>
      <c r="D262" s="3227">
        <v>5820</v>
      </c>
      <c r="E262" s="3227">
        <v>7640</v>
      </c>
      <c r="F262" s="3227">
        <v>1070</v>
      </c>
      <c r="G262" s="3227">
        <v>3570</v>
      </c>
    </row>
    <row r="263" spans="1:7" s="3216" customFormat="1" ht="14.25" customHeight="1">
      <c r="A263" s="3227" t="s">
        <v>305</v>
      </c>
      <c r="B263" s="3227" t="s">
        <v>3128</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3129</v>
      </c>
      <c r="C265" s="3227"/>
      <c r="D265" s="3227"/>
      <c r="E265" s="3227"/>
      <c r="F265" s="3227">
        <v>1500</v>
      </c>
      <c r="G265" s="3227"/>
    </row>
    <row r="266" spans="1:7" s="3216" customFormat="1" ht="14.25" customHeight="1">
      <c r="A266" s="3227" t="s">
        <v>305</v>
      </c>
      <c r="B266" s="3227" t="s">
        <v>3130</v>
      </c>
      <c r="C266" s="3227"/>
      <c r="D266" s="3227"/>
      <c r="E266" s="3227"/>
      <c r="F266" s="3227">
        <v>1500</v>
      </c>
      <c r="G266" s="3227"/>
    </row>
    <row r="267" spans="1:7" s="3216" customFormat="1" ht="14.25" customHeight="1">
      <c r="A267" s="3227" t="s">
        <v>305</v>
      </c>
      <c r="B267" s="3227" t="s">
        <v>3131</v>
      </c>
      <c r="C267" s="3227"/>
      <c r="D267" s="3227"/>
      <c r="E267" s="3227"/>
      <c r="F267" s="3227">
        <v>1500</v>
      </c>
      <c r="G267" s="3227"/>
    </row>
    <row r="268" spans="1:7" s="3216" customFormat="1" ht="14.25" customHeight="1">
      <c r="A268" s="3227" t="s">
        <v>305</v>
      </c>
      <c r="B268" s="3227" t="s">
        <v>3132</v>
      </c>
      <c r="C268" s="3227"/>
      <c r="D268" s="3227"/>
      <c r="E268" s="3227"/>
      <c r="F268" s="3227">
        <v>1290</v>
      </c>
      <c r="G268" s="3227"/>
    </row>
    <row r="269" spans="1:7" s="3216" customFormat="1" ht="14.25" customHeight="1">
      <c r="A269" s="3227" t="s">
        <v>305</v>
      </c>
      <c r="B269" s="3227" t="s">
        <v>3133</v>
      </c>
      <c r="C269" s="3227"/>
      <c r="D269" s="3227"/>
      <c r="E269" s="3227"/>
      <c r="F269" s="3227">
        <v>1150</v>
      </c>
      <c r="G269" s="3227"/>
    </row>
    <row r="270" spans="1:7" s="3216" customFormat="1" ht="14.25" customHeight="1">
      <c r="A270" s="3227" t="s">
        <v>305</v>
      </c>
      <c r="B270" s="3227" t="s">
        <v>3134</v>
      </c>
      <c r="C270" s="3227"/>
      <c r="D270" s="3227"/>
      <c r="E270" s="3227"/>
      <c r="F270" s="3227">
        <v>1380</v>
      </c>
      <c r="G270" s="3227"/>
    </row>
    <row r="271" spans="1:7" s="3216" customFormat="1" ht="14.25" customHeight="1">
      <c r="A271" s="3227" t="s">
        <v>305</v>
      </c>
      <c r="B271" s="3227" t="s">
        <v>3135</v>
      </c>
      <c r="C271" s="3227"/>
      <c r="D271" s="3227"/>
      <c r="E271" s="3227"/>
      <c r="F271" s="3227">
        <v>1460</v>
      </c>
      <c r="G271" s="3227"/>
    </row>
    <row r="272" spans="1:7" s="3216" customFormat="1" ht="14.25" customHeight="1">
      <c r="A272" s="3227" t="s">
        <v>305</v>
      </c>
      <c r="B272" s="3227" t="s">
        <v>3136</v>
      </c>
      <c r="C272" s="3227"/>
      <c r="D272" s="3227"/>
      <c r="E272" s="3227"/>
      <c r="F272" s="3227">
        <v>1460</v>
      </c>
      <c r="G272" s="3227"/>
    </row>
    <row r="273" spans="1:7" s="3216" customFormat="1" ht="14.25" customHeight="1">
      <c r="A273" s="3227" t="s">
        <v>305</v>
      </c>
      <c r="B273" s="3227" t="s">
        <v>3029</v>
      </c>
      <c r="C273" s="3227"/>
      <c r="D273" s="3227"/>
      <c r="E273" s="3227"/>
      <c r="F273" s="3227">
        <v>1490</v>
      </c>
      <c r="G273" s="3227"/>
    </row>
    <row r="274" spans="1:7" s="3216" customFormat="1" ht="14.25" customHeight="1">
      <c r="A274" s="3227" t="s">
        <v>305</v>
      </c>
      <c r="B274" s="3227" t="s">
        <v>3137</v>
      </c>
      <c r="C274" s="3227"/>
      <c r="D274" s="3227"/>
      <c r="E274" s="3227"/>
      <c r="F274" s="3227">
        <v>1490</v>
      </c>
      <c r="G274" s="3227"/>
    </row>
    <row r="275" spans="1:7" s="3216" customFormat="1" ht="14.25" customHeight="1">
      <c r="A275" s="3227" t="s">
        <v>305</v>
      </c>
      <c r="B275" s="3227" t="s">
        <v>3138</v>
      </c>
      <c r="C275" s="3227"/>
      <c r="D275" s="3227"/>
      <c r="E275" s="3227"/>
      <c r="F275" s="3227">
        <v>1220</v>
      </c>
      <c r="G275" s="3227"/>
    </row>
    <row r="276" spans="1:7" s="3216" customFormat="1" ht="14.25" customHeight="1" thickBot="1">
      <c r="A276" s="3235" t="s">
        <v>305</v>
      </c>
      <c r="B276" s="3237" t="s">
        <v>3139</v>
      </c>
      <c r="C276" s="3238"/>
      <c r="D276" s="3238"/>
      <c r="E276" s="3238"/>
      <c r="F276" s="3238">
        <v>1380</v>
      </c>
      <c r="G276" s="3238"/>
    </row>
    <row r="277" spans="1:7" s="3216" customFormat="1" ht="14.25" customHeight="1">
      <c r="A277" s="3232" t="s">
        <v>306</v>
      </c>
      <c r="B277" s="3223" t="s">
        <v>3140</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3141</v>
      </c>
      <c r="C279" s="3227">
        <v>4760</v>
      </c>
      <c r="D279" s="3227">
        <v>4720</v>
      </c>
      <c r="E279" s="3227">
        <v>5540</v>
      </c>
      <c r="F279" s="3227">
        <v>810</v>
      </c>
      <c r="G279" s="3240">
        <v>2850</v>
      </c>
    </row>
    <row r="280" spans="1:7" s="3216" customFormat="1" ht="14.25" customHeight="1">
      <c r="A280" s="3227" t="s">
        <v>306</v>
      </c>
      <c r="B280" s="3227" t="s">
        <v>3142</v>
      </c>
      <c r="C280" s="3227">
        <v>4010</v>
      </c>
      <c r="D280" s="3227">
        <v>3950</v>
      </c>
      <c r="E280" s="3227">
        <v>4710</v>
      </c>
      <c r="F280" s="3227">
        <v>800</v>
      </c>
      <c r="G280" s="3240">
        <v>2390</v>
      </c>
    </row>
    <row r="281" spans="1:7" s="3216" customFormat="1" ht="14.25" customHeight="1">
      <c r="A281" s="3227" t="s">
        <v>306</v>
      </c>
      <c r="B281" s="3227" t="s">
        <v>3143</v>
      </c>
      <c r="C281" s="3227">
        <v>4480</v>
      </c>
      <c r="D281" s="3227">
        <v>4420</v>
      </c>
      <c r="E281" s="3227">
        <v>5230</v>
      </c>
      <c r="F281" s="3227">
        <v>870</v>
      </c>
      <c r="G281" s="3240">
        <v>2660</v>
      </c>
    </row>
    <row r="282" spans="1:7" s="3216" customFormat="1" ht="14.25" customHeight="1">
      <c r="A282" s="3227" t="s">
        <v>306</v>
      </c>
      <c r="B282" s="3227" t="s">
        <v>3144</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3145</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3146</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2921</v>
      </c>
      <c r="C293" s="3227">
        <v>5320</v>
      </c>
      <c r="D293" s="3227">
        <v>5270</v>
      </c>
      <c r="E293" s="3227">
        <v>6160</v>
      </c>
      <c r="F293" s="3227">
        <v>990</v>
      </c>
      <c r="G293" s="3240">
        <v>3170</v>
      </c>
    </row>
    <row r="294" spans="1:7" s="3216" customFormat="1" ht="14.25" customHeight="1">
      <c r="A294" s="3227" t="s">
        <v>306</v>
      </c>
      <c r="B294" s="3227" t="s">
        <v>3147</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2940</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3148</v>
      </c>
      <c r="C302" s="3227">
        <v>5520</v>
      </c>
      <c r="D302" s="3227">
        <v>5470</v>
      </c>
      <c r="E302" s="3227">
        <v>6410</v>
      </c>
      <c r="F302" s="3227">
        <v>950</v>
      </c>
      <c r="G302" s="3240">
        <v>3300</v>
      </c>
    </row>
    <row r="303" spans="1:7" s="3216" customFormat="1" ht="14.25" customHeight="1">
      <c r="A303" s="3227" t="s">
        <v>306</v>
      </c>
      <c r="B303" s="3227" t="s">
        <v>2960</v>
      </c>
      <c r="C303" s="3227">
        <v>5630</v>
      </c>
      <c r="D303" s="3227">
        <v>5590</v>
      </c>
      <c r="E303" s="3227">
        <v>6550</v>
      </c>
      <c r="F303" s="3227">
        <v>1010</v>
      </c>
      <c r="G303" s="3240">
        <v>3370</v>
      </c>
    </row>
    <row r="304" spans="1:7" s="3216" customFormat="1" ht="14.25" customHeight="1">
      <c r="A304" s="3227" t="s">
        <v>306</v>
      </c>
      <c r="B304" s="3227" t="s">
        <v>2967</v>
      </c>
      <c r="C304" s="3227">
        <v>5680</v>
      </c>
      <c r="D304" s="3227">
        <v>5620</v>
      </c>
      <c r="E304" s="3227">
        <v>6620</v>
      </c>
      <c r="F304" s="3227">
        <v>1050</v>
      </c>
      <c r="G304" s="3240">
        <v>3390</v>
      </c>
    </row>
    <row r="305" spans="1:7" s="3216" customFormat="1" ht="14.25" customHeight="1">
      <c r="A305" s="3227" t="s">
        <v>306</v>
      </c>
      <c r="B305" s="3227" t="s">
        <v>2973</v>
      </c>
      <c r="C305" s="3227">
        <v>5590</v>
      </c>
      <c r="D305" s="3227">
        <v>5530</v>
      </c>
      <c r="E305" s="3227">
        <v>6460</v>
      </c>
      <c r="F305" s="3227">
        <v>900</v>
      </c>
      <c r="G305" s="3240">
        <v>3340</v>
      </c>
    </row>
    <row r="306" spans="1:7" s="3216" customFormat="1" ht="14.25" customHeight="1">
      <c r="A306" s="3227" t="s">
        <v>306</v>
      </c>
      <c r="B306" s="3227" t="s">
        <v>3149</v>
      </c>
      <c r="C306" s="3227">
        <v>5560</v>
      </c>
      <c r="D306" s="3227">
        <v>5510</v>
      </c>
      <c r="E306" s="3227">
        <v>6440</v>
      </c>
      <c r="F306" s="3227">
        <v>900</v>
      </c>
      <c r="G306" s="3240">
        <v>3320</v>
      </c>
    </row>
    <row r="307" spans="1:7" s="3216" customFormat="1" ht="14.25" customHeight="1">
      <c r="A307" s="3227" t="s">
        <v>306</v>
      </c>
      <c r="B307" s="3227" t="s">
        <v>2985</v>
      </c>
      <c r="C307" s="3227">
        <v>5650</v>
      </c>
      <c r="D307" s="3227">
        <v>5600</v>
      </c>
      <c r="E307" s="3227">
        <v>6590</v>
      </c>
      <c r="F307" s="3227">
        <v>930</v>
      </c>
      <c r="G307" s="3240">
        <v>3380</v>
      </c>
    </row>
    <row r="308" spans="1:7" s="3216" customFormat="1" ht="14.25" customHeight="1">
      <c r="A308" s="3227" t="s">
        <v>306</v>
      </c>
      <c r="B308" s="3227" t="s">
        <v>3150</v>
      </c>
      <c r="C308" s="3227">
        <v>5620</v>
      </c>
      <c r="D308" s="3227">
        <v>5580</v>
      </c>
      <c r="E308" s="3227">
        <v>6540</v>
      </c>
      <c r="F308" s="3227">
        <v>910</v>
      </c>
      <c r="G308" s="3240">
        <v>3370</v>
      </c>
    </row>
    <row r="309" spans="1:7" s="3216" customFormat="1" ht="14.25" customHeight="1">
      <c r="A309" s="3227" t="s">
        <v>306</v>
      </c>
      <c r="B309" s="3227" t="s">
        <v>3151</v>
      </c>
      <c r="C309" s="3227">
        <v>5060</v>
      </c>
      <c r="D309" s="3227">
        <v>5020</v>
      </c>
      <c r="E309" s="3227">
        <v>6370</v>
      </c>
      <c r="F309" s="3227">
        <v>800</v>
      </c>
      <c r="G309" s="3240">
        <v>3020</v>
      </c>
    </row>
    <row r="310" spans="1:7" s="3216" customFormat="1" ht="14.25" customHeight="1">
      <c r="A310" s="3227" t="s">
        <v>306</v>
      </c>
      <c r="B310" s="3227" t="s">
        <v>3000</v>
      </c>
      <c r="C310" s="3227">
        <v>5150</v>
      </c>
      <c r="D310" s="3227">
        <v>5110</v>
      </c>
      <c r="E310" s="3227">
        <v>6500</v>
      </c>
      <c r="F310" s="3227">
        <v>880</v>
      </c>
      <c r="G310" s="3240">
        <v>3080</v>
      </c>
    </row>
    <row r="311" spans="1:7" s="3216" customFormat="1" ht="14.25" customHeight="1">
      <c r="A311" s="3227" t="s">
        <v>306</v>
      </c>
      <c r="B311" s="3227" t="s">
        <v>3152</v>
      </c>
      <c r="C311" s="3227">
        <v>4750</v>
      </c>
      <c r="D311" s="3227">
        <v>4710</v>
      </c>
      <c r="E311" s="3227">
        <v>5510</v>
      </c>
      <c r="F311" s="3227">
        <v>880</v>
      </c>
      <c r="G311" s="3240">
        <v>2840</v>
      </c>
    </row>
    <row r="312" spans="1:7" s="3216" customFormat="1" ht="14.25" customHeight="1">
      <c r="A312" s="3227" t="s">
        <v>306</v>
      </c>
      <c r="B312" s="3227" t="s">
        <v>3010</v>
      </c>
      <c r="C312" s="3227">
        <v>4690</v>
      </c>
      <c r="D312" s="3227">
        <v>4640</v>
      </c>
      <c r="E312" s="3227">
        <v>5420</v>
      </c>
      <c r="F312" s="3227">
        <v>800</v>
      </c>
      <c r="G312" s="3240">
        <v>2800</v>
      </c>
    </row>
    <row r="313" spans="1:7" s="3216" customFormat="1" ht="14.25" customHeight="1">
      <c r="A313" s="3227" t="s">
        <v>306</v>
      </c>
      <c r="B313" s="3227" t="s">
        <v>3015</v>
      </c>
      <c r="C313" s="3227">
        <v>4810</v>
      </c>
      <c r="D313" s="3227">
        <v>4760</v>
      </c>
      <c r="E313" s="3227">
        <v>5550</v>
      </c>
      <c r="F313" s="3227">
        <v>920</v>
      </c>
      <c r="G313" s="3240">
        <v>2870</v>
      </c>
    </row>
    <row r="314" spans="1:7" s="3216" customFormat="1" ht="14.25" customHeight="1">
      <c r="A314" s="3227" t="s">
        <v>306</v>
      </c>
      <c r="B314" s="3227" t="s">
        <v>3153</v>
      </c>
      <c r="C314" s="3227"/>
      <c r="D314" s="3227"/>
      <c r="E314" s="3227"/>
      <c r="F314" s="3227">
        <v>1020</v>
      </c>
      <c r="G314" s="3240"/>
    </row>
    <row r="315" spans="1:7" s="3216" customFormat="1" ht="14.25" customHeight="1">
      <c r="A315" s="3227" t="s">
        <v>306</v>
      </c>
      <c r="B315" s="3227" t="s">
        <v>3154</v>
      </c>
      <c r="C315" s="3227"/>
      <c r="D315" s="3227"/>
      <c r="E315" s="3227"/>
      <c r="F315" s="3227">
        <v>1050</v>
      </c>
      <c r="G315" s="3240"/>
    </row>
    <row r="316" spans="1:7" s="3216" customFormat="1" ht="14.25" customHeight="1">
      <c r="A316" s="3227" t="s">
        <v>306</v>
      </c>
      <c r="B316" s="3227" t="s">
        <v>3030</v>
      </c>
      <c r="C316" s="3227"/>
      <c r="D316" s="3227"/>
      <c r="E316" s="3227"/>
      <c r="F316" s="3227">
        <v>900</v>
      </c>
      <c r="G316" s="3240"/>
    </row>
    <row r="317" spans="1:7" s="3216" customFormat="1" ht="14.25" customHeight="1">
      <c r="A317" s="3227" t="s">
        <v>306</v>
      </c>
      <c r="B317" s="3227" t="s">
        <v>3155</v>
      </c>
      <c r="C317" s="3227"/>
      <c r="D317" s="3227"/>
      <c r="E317" s="3227"/>
      <c r="F317" s="3227">
        <v>920</v>
      </c>
      <c r="G317" s="3240"/>
    </row>
    <row r="318" spans="1:7" s="3216" customFormat="1" ht="14.25" customHeight="1">
      <c r="A318" s="3227" t="s">
        <v>306</v>
      </c>
      <c r="B318" s="3227" t="s">
        <v>3156</v>
      </c>
      <c r="C318" s="3227"/>
      <c r="D318" s="3227"/>
      <c r="E318" s="3227"/>
      <c r="F318" s="3227">
        <v>1080</v>
      </c>
      <c r="G318" s="3240"/>
    </row>
    <row r="319" spans="1:7" s="3216" customFormat="1" ht="14.25" customHeight="1">
      <c r="A319" s="3227" t="s">
        <v>306</v>
      </c>
      <c r="B319" s="3227" t="s">
        <v>3043</v>
      </c>
      <c r="C319" s="3227"/>
      <c r="D319" s="3227"/>
      <c r="E319" s="3227"/>
      <c r="F319" s="3227">
        <v>1020</v>
      </c>
      <c r="G319" s="3240"/>
    </row>
    <row r="320" spans="1:7" s="3216" customFormat="1" ht="14.25" customHeight="1">
      <c r="A320" s="3227" t="s">
        <v>306</v>
      </c>
      <c r="B320" s="3227" t="s">
        <v>3046</v>
      </c>
      <c r="C320" s="3227"/>
      <c r="D320" s="3227"/>
      <c r="E320" s="3227"/>
      <c r="F320" s="3227">
        <v>1050</v>
      </c>
      <c r="G320" s="3240"/>
    </row>
    <row r="321" spans="1:7" s="3216" customFormat="1" ht="14.25" customHeight="1">
      <c r="A321" s="3227" t="s">
        <v>306</v>
      </c>
      <c r="B321" s="3227" t="s">
        <v>3048</v>
      </c>
      <c r="C321" s="3227"/>
      <c r="D321" s="3227"/>
      <c r="E321" s="3227"/>
      <c r="F321" s="3227">
        <v>960</v>
      </c>
      <c r="G321" s="3240"/>
    </row>
    <row r="322" spans="1:7" s="3216" customFormat="1" ht="14.25" customHeight="1">
      <c r="A322" s="3227" t="s">
        <v>306</v>
      </c>
      <c r="B322" s="3227" t="s">
        <v>3050</v>
      </c>
      <c r="C322" s="3227"/>
      <c r="D322" s="3227"/>
      <c r="E322" s="3227"/>
      <c r="F322" s="3227">
        <v>960</v>
      </c>
      <c r="G322" s="3240"/>
    </row>
    <row r="323" spans="1:7" s="3216" customFormat="1" ht="14.25" customHeight="1">
      <c r="A323" s="3227" t="s">
        <v>306</v>
      </c>
      <c r="B323" s="3227" t="s">
        <v>3052</v>
      </c>
      <c r="C323" s="3227"/>
      <c r="D323" s="3227"/>
      <c r="E323" s="3227"/>
      <c r="F323" s="3227">
        <v>880</v>
      </c>
      <c r="G323" s="3240"/>
    </row>
    <row r="324" spans="1:7" s="3216" customFormat="1" ht="14.25" customHeight="1">
      <c r="A324" s="3227" t="s">
        <v>306</v>
      </c>
      <c r="B324" s="3227" t="s">
        <v>3054</v>
      </c>
      <c r="C324" s="3227"/>
      <c r="D324" s="3227"/>
      <c r="E324" s="3227"/>
      <c r="F324" s="3227">
        <v>930</v>
      </c>
      <c r="G324" s="3240"/>
    </row>
    <row r="325" spans="1:7" s="3216" customFormat="1" ht="14.25" customHeight="1">
      <c r="A325" s="3227" t="s">
        <v>306</v>
      </c>
      <c r="B325" s="3228" t="s">
        <v>3056</v>
      </c>
      <c r="C325" s="3227"/>
      <c r="D325" s="3227"/>
      <c r="E325" s="3227"/>
      <c r="F325" s="3227">
        <v>900</v>
      </c>
      <c r="G325" s="3240"/>
    </row>
    <row r="326" spans="1:7" s="3216" customFormat="1" ht="14.25" customHeight="1" thickBot="1">
      <c r="A326" s="3241" t="s">
        <v>306</v>
      </c>
      <c r="B326" s="3234" t="s">
        <v>3058</v>
      </c>
      <c r="C326" s="3234"/>
      <c r="D326" s="3234"/>
      <c r="E326" s="3234"/>
      <c r="F326" s="3234">
        <v>790</v>
      </c>
      <c r="G326" s="3242"/>
    </row>
    <row r="327" spans="1:7" s="3216" customFormat="1" ht="14.25" customHeight="1">
      <c r="A327" s="3232" t="s">
        <v>307</v>
      </c>
      <c r="B327" s="3223" t="s">
        <v>3157</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3158</v>
      </c>
      <c r="C329" s="3227">
        <v>2730</v>
      </c>
      <c r="D329" s="3227">
        <v>2690</v>
      </c>
      <c r="E329" s="3227">
        <v>3100</v>
      </c>
      <c r="F329" s="3227">
        <v>660</v>
      </c>
      <c r="G329" s="3227">
        <v>1610</v>
      </c>
    </row>
    <row r="330" spans="1:7" s="3216" customFormat="1" ht="14.25" customHeight="1">
      <c r="A330" s="3227" t="s">
        <v>307</v>
      </c>
      <c r="B330" s="3227" t="s">
        <v>3159</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2892</v>
      </c>
      <c r="C332" s="3227">
        <v>3520</v>
      </c>
      <c r="D332" s="3227">
        <v>3480</v>
      </c>
      <c r="E332" s="3227">
        <v>3830</v>
      </c>
      <c r="F332" s="3227">
        <v>720</v>
      </c>
      <c r="G332" s="3227">
        <v>2090</v>
      </c>
    </row>
    <row r="333" spans="1:7" s="3216" customFormat="1" ht="14.25" customHeight="1">
      <c r="A333" s="3227" t="s">
        <v>307</v>
      </c>
      <c r="B333" s="3227" t="s">
        <v>3160</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2902</v>
      </c>
      <c r="C336" s="3227">
        <v>3570</v>
      </c>
      <c r="D336" s="3227">
        <v>3530</v>
      </c>
      <c r="E336" s="3227">
        <v>3880</v>
      </c>
      <c r="F336" s="3227">
        <v>770</v>
      </c>
      <c r="G336" s="3227">
        <v>2110</v>
      </c>
    </row>
    <row r="337" spans="1:10" s="3216" customFormat="1" ht="14.25" customHeight="1">
      <c r="A337" s="3227" t="s">
        <v>307</v>
      </c>
      <c r="B337" s="3227" t="s">
        <v>3161</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3162</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3163</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2927</v>
      </c>
      <c r="C345" s="3227">
        <v>3190</v>
      </c>
      <c r="D345" s="3227">
        <v>3140</v>
      </c>
      <c r="E345" s="3227">
        <v>3450</v>
      </c>
      <c r="F345" s="3227">
        <v>720</v>
      </c>
      <c r="G345" s="3227">
        <v>1880</v>
      </c>
      <c r="J345" s="3216"/>
    </row>
    <row r="346" spans="1:10">
      <c r="A346" s="3227" t="s">
        <v>307</v>
      </c>
      <c r="B346" s="3227" t="s">
        <v>3164</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2936</v>
      </c>
      <c r="C348" s="3227">
        <v>4000</v>
      </c>
      <c r="D348" s="3227">
        <v>3950</v>
      </c>
      <c r="E348" s="3227">
        <v>4430</v>
      </c>
      <c r="F348" s="3227">
        <v>760</v>
      </c>
      <c r="G348" s="3227">
        <v>2360</v>
      </c>
      <c r="J348" s="3216"/>
    </row>
    <row r="349" spans="1:10">
      <c r="A349" s="3227" t="s">
        <v>307</v>
      </c>
      <c r="B349" s="3227" t="s">
        <v>2941</v>
      </c>
      <c r="C349" s="3227">
        <v>3820</v>
      </c>
      <c r="D349" s="3227">
        <v>3780</v>
      </c>
      <c r="E349" s="3227">
        <v>4170</v>
      </c>
      <c r="F349" s="3227">
        <v>710</v>
      </c>
      <c r="G349" s="3227">
        <v>2260</v>
      </c>
      <c r="J349" s="3216"/>
    </row>
    <row r="350" spans="1:10">
      <c r="A350" s="3227" t="s">
        <v>307</v>
      </c>
      <c r="B350" s="3227" t="s">
        <v>3165</v>
      </c>
      <c r="C350" s="3227">
        <v>3760</v>
      </c>
      <c r="D350" s="3227">
        <v>3730</v>
      </c>
      <c r="E350" s="3227">
        <v>4100</v>
      </c>
      <c r="F350" s="3227">
        <v>800</v>
      </c>
      <c r="G350" s="3227">
        <v>2230</v>
      </c>
      <c r="J350" s="3216"/>
    </row>
    <row r="351" spans="1:10">
      <c r="A351" s="3227" t="s">
        <v>307</v>
      </c>
      <c r="B351" s="3227" t="s">
        <v>2949</v>
      </c>
      <c r="C351" s="3227">
        <v>3610</v>
      </c>
      <c r="D351" s="3227">
        <v>3580</v>
      </c>
      <c r="E351" s="3227">
        <v>3930</v>
      </c>
      <c r="F351" s="3227">
        <v>700</v>
      </c>
      <c r="G351" s="3227">
        <v>2140</v>
      </c>
      <c r="J351" s="3216"/>
    </row>
    <row r="352" spans="1:10">
      <c r="A352" s="3227" t="s">
        <v>307</v>
      </c>
      <c r="B352" s="3227" t="s">
        <v>2954</v>
      </c>
      <c r="C352" s="3227">
        <v>3670</v>
      </c>
      <c r="D352" s="3227">
        <v>3630</v>
      </c>
      <c r="E352" s="3227">
        <v>4000</v>
      </c>
      <c r="F352" s="3227">
        <v>750</v>
      </c>
      <c r="G352" s="3227">
        <v>2180</v>
      </c>
    </row>
    <row r="353" spans="1:7" s="3220" customFormat="1">
      <c r="A353" s="3227" t="s">
        <v>307</v>
      </c>
      <c r="B353" s="3227" t="s">
        <v>3166</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2974</v>
      </c>
      <c r="C355" s="3227">
        <v>3650</v>
      </c>
      <c r="D355" s="3227">
        <v>3610</v>
      </c>
      <c r="E355" s="3227">
        <v>4200</v>
      </c>
      <c r="F355" s="3227">
        <v>640</v>
      </c>
      <c r="G355" s="3227">
        <v>2160</v>
      </c>
    </row>
    <row r="356" spans="1:7" s="3220" customFormat="1">
      <c r="A356" s="3227" t="s">
        <v>307</v>
      </c>
      <c r="B356" s="3227" t="s">
        <v>2981</v>
      </c>
      <c r="C356" s="3227">
        <v>3260</v>
      </c>
      <c r="D356" s="3227">
        <v>3230</v>
      </c>
      <c r="E356" s="3227">
        <v>3740</v>
      </c>
      <c r="F356" s="3227">
        <v>600</v>
      </c>
      <c r="G356" s="3227">
        <v>1930</v>
      </c>
    </row>
    <row r="357" spans="1:7" s="3220" customFormat="1" ht="12" thickBot="1">
      <c r="A357" s="3235" t="s">
        <v>307</v>
      </c>
      <c r="B357" s="3238" t="s">
        <v>3167</v>
      </c>
      <c r="C357" s="3238">
        <v>3690</v>
      </c>
      <c r="D357" s="3238">
        <v>3650</v>
      </c>
      <c r="E357" s="3238">
        <v>4020</v>
      </c>
      <c r="F357" s="3238">
        <v>700</v>
      </c>
      <c r="G357" s="3238">
        <v>2190</v>
      </c>
    </row>
    <row r="358" spans="1:7" s="3220" customFormat="1">
      <c r="A358" s="3232" t="s">
        <v>3168</v>
      </c>
      <c r="B358" s="3223" t="s">
        <v>3169</v>
      </c>
      <c r="C358" s="3223">
        <v>2080</v>
      </c>
      <c r="D358" s="3223">
        <v>2040</v>
      </c>
      <c r="E358" s="3223">
        <v>2010</v>
      </c>
      <c r="F358" s="3223">
        <v>530</v>
      </c>
      <c r="G358" s="3239">
        <v>1230</v>
      </c>
    </row>
    <row r="359" spans="1:7" s="3220" customFormat="1">
      <c r="A359" s="3227" t="s">
        <v>3168</v>
      </c>
      <c r="B359" s="3227" t="s">
        <v>3170</v>
      </c>
      <c r="C359" s="3227">
        <v>1850</v>
      </c>
      <c r="D359" s="3227">
        <v>1820</v>
      </c>
      <c r="E359" s="3227">
        <v>1780</v>
      </c>
      <c r="F359" s="3227">
        <v>520</v>
      </c>
      <c r="G359" s="3240">
        <v>1100</v>
      </c>
    </row>
    <row r="360" spans="1:7" s="3220" customFormat="1">
      <c r="A360" s="3227" t="s">
        <v>3168</v>
      </c>
      <c r="B360" s="3227" t="s">
        <v>3171</v>
      </c>
      <c r="C360" s="3227">
        <v>2020</v>
      </c>
      <c r="D360" s="3227">
        <v>1990</v>
      </c>
      <c r="E360" s="3227">
        <v>1950</v>
      </c>
      <c r="F360" s="3227">
        <v>500</v>
      </c>
      <c r="G360" s="3240">
        <v>1200</v>
      </c>
    </row>
    <row r="361" spans="1:7" s="3220" customFormat="1">
      <c r="A361" s="3227" t="s">
        <v>3168</v>
      </c>
      <c r="B361" s="3227" t="s">
        <v>153</v>
      </c>
      <c r="C361" s="3227">
        <v>2260</v>
      </c>
      <c r="D361" s="3227">
        <v>2220</v>
      </c>
      <c r="E361" s="3227">
        <v>2180</v>
      </c>
      <c r="F361" s="3227">
        <v>580</v>
      </c>
      <c r="G361" s="3240">
        <v>1340</v>
      </c>
    </row>
    <row r="362" spans="1:7" s="3220" customFormat="1">
      <c r="A362" s="3227" t="s">
        <v>3168</v>
      </c>
      <c r="B362" s="3227" t="s">
        <v>3172</v>
      </c>
      <c r="C362" s="3227">
        <v>2650</v>
      </c>
      <c r="D362" s="3227">
        <v>2610</v>
      </c>
      <c r="E362" s="3227">
        <v>2570</v>
      </c>
      <c r="F362" s="3227">
        <v>630</v>
      </c>
      <c r="G362" s="3240">
        <v>1570</v>
      </c>
    </row>
    <row r="363" spans="1:7" s="3220" customFormat="1">
      <c r="A363" s="3227" t="s">
        <v>3168</v>
      </c>
      <c r="B363" s="3227" t="s">
        <v>2893</v>
      </c>
      <c r="C363" s="3227">
        <v>2390</v>
      </c>
      <c r="D363" s="3227">
        <v>2360</v>
      </c>
      <c r="E363" s="3227">
        <v>2320</v>
      </c>
      <c r="F363" s="3227">
        <v>600</v>
      </c>
      <c r="G363" s="3240">
        <v>1420</v>
      </c>
    </row>
    <row r="364" spans="1:7" s="3220" customFormat="1">
      <c r="A364" s="3227" t="s">
        <v>3168</v>
      </c>
      <c r="B364" s="3227" t="s">
        <v>3173</v>
      </c>
      <c r="C364" s="3227">
        <v>2050</v>
      </c>
      <c r="D364" s="3227">
        <v>2030</v>
      </c>
      <c r="E364" s="3227">
        <v>1990</v>
      </c>
      <c r="F364" s="3227">
        <v>550</v>
      </c>
      <c r="G364" s="3240">
        <v>1220</v>
      </c>
    </row>
    <row r="365" spans="1:7" s="3220" customFormat="1">
      <c r="A365" s="3227" t="s">
        <v>3168</v>
      </c>
      <c r="B365" s="3227" t="s">
        <v>200</v>
      </c>
      <c r="C365" s="3227">
        <v>2140</v>
      </c>
      <c r="D365" s="3227">
        <v>2100</v>
      </c>
      <c r="E365" s="3227">
        <v>2060</v>
      </c>
      <c r="F365" s="3227">
        <v>540</v>
      </c>
      <c r="G365" s="3240">
        <v>1270</v>
      </c>
    </row>
    <row r="366" spans="1:7" s="3220" customFormat="1">
      <c r="A366" s="3227" t="s">
        <v>3168</v>
      </c>
      <c r="B366" s="3227" t="s">
        <v>2900</v>
      </c>
      <c r="C366" s="3227">
        <v>2410</v>
      </c>
      <c r="D366" s="3227">
        <v>2370</v>
      </c>
      <c r="E366" s="3227">
        <v>2330</v>
      </c>
      <c r="F366" s="3227">
        <v>570</v>
      </c>
      <c r="G366" s="3240">
        <v>1440</v>
      </c>
    </row>
    <row r="367" spans="1:7" s="3220" customFormat="1">
      <c r="A367" s="3227" t="s">
        <v>3168</v>
      </c>
      <c r="B367" s="3227" t="s">
        <v>3174</v>
      </c>
      <c r="C367" s="3227">
        <v>2300</v>
      </c>
      <c r="D367" s="3227">
        <v>2260</v>
      </c>
      <c r="E367" s="3227">
        <v>2220</v>
      </c>
      <c r="F367" s="3227">
        <v>560</v>
      </c>
      <c r="G367" s="3240">
        <v>1370</v>
      </c>
    </row>
    <row r="368" spans="1:7" s="3220" customFormat="1">
      <c r="A368" s="3227" t="s">
        <v>3168</v>
      </c>
      <c r="B368" s="3227" t="s">
        <v>3175</v>
      </c>
      <c r="C368" s="3227">
        <v>2430</v>
      </c>
      <c r="D368" s="3227">
        <v>2390</v>
      </c>
      <c r="E368" s="3227">
        <v>2350</v>
      </c>
      <c r="F368" s="3227">
        <v>570</v>
      </c>
      <c r="G368" s="3240">
        <v>1450</v>
      </c>
    </row>
    <row r="369" spans="1:7" s="3220" customFormat="1">
      <c r="A369" s="3227" t="s">
        <v>3168</v>
      </c>
      <c r="B369" s="3227" t="s">
        <v>214</v>
      </c>
      <c r="C369" s="3227">
        <v>2320</v>
      </c>
      <c r="D369" s="3227">
        <v>2290</v>
      </c>
      <c r="E369" s="3227">
        <v>2250</v>
      </c>
      <c r="F369" s="3227">
        <v>550</v>
      </c>
      <c r="G369" s="3240">
        <v>1380</v>
      </c>
    </row>
    <row r="370" spans="1:7" s="3220" customFormat="1">
      <c r="A370" s="3227" t="s">
        <v>3168</v>
      </c>
      <c r="B370" s="3227" t="s">
        <v>221</v>
      </c>
      <c r="C370" s="3227">
        <v>2190</v>
      </c>
      <c r="D370" s="3227">
        <v>2170</v>
      </c>
      <c r="E370" s="3227">
        <v>2130</v>
      </c>
      <c r="F370" s="3227">
        <v>530</v>
      </c>
      <c r="G370" s="3240">
        <v>1310</v>
      </c>
    </row>
    <row r="371" spans="1:7" s="3220" customFormat="1">
      <c r="A371" s="3227" t="s">
        <v>3168</v>
      </c>
      <c r="B371" s="3227" t="s">
        <v>229</v>
      </c>
      <c r="C371" s="3227">
        <v>2460</v>
      </c>
      <c r="D371" s="3227">
        <v>2420</v>
      </c>
      <c r="E371" s="3227">
        <v>2370</v>
      </c>
      <c r="F371" s="3227">
        <v>560</v>
      </c>
      <c r="G371" s="3240">
        <v>1470</v>
      </c>
    </row>
    <row r="372" spans="1:7" s="3220" customFormat="1">
      <c r="A372" s="3227" t="s">
        <v>3168</v>
      </c>
      <c r="B372" s="3227" t="s">
        <v>3176</v>
      </c>
      <c r="C372" s="3227">
        <v>2250</v>
      </c>
      <c r="D372" s="3227">
        <v>2210</v>
      </c>
      <c r="E372" s="3227">
        <v>2180</v>
      </c>
      <c r="F372" s="3227">
        <v>550</v>
      </c>
      <c r="G372" s="3240">
        <v>1340</v>
      </c>
    </row>
    <row r="373" spans="1:7" s="3220" customFormat="1">
      <c r="A373" s="3227" t="s">
        <v>3168</v>
      </c>
      <c r="B373" s="3227" t="s">
        <v>258</v>
      </c>
      <c r="C373" s="3227">
        <v>2210</v>
      </c>
      <c r="D373" s="3227">
        <v>2190</v>
      </c>
      <c r="E373" s="3227">
        <v>2150</v>
      </c>
      <c r="F373" s="3227">
        <v>530</v>
      </c>
      <c r="G373" s="3240">
        <v>1320</v>
      </c>
    </row>
    <row r="374" spans="1:7" s="3220" customFormat="1">
      <c r="A374" s="3227" t="s">
        <v>3168</v>
      </c>
      <c r="B374" s="3227" t="s">
        <v>266</v>
      </c>
      <c r="C374" s="3227">
        <v>2320</v>
      </c>
      <c r="D374" s="3227">
        <v>2280</v>
      </c>
      <c r="E374" s="3227">
        <v>2230</v>
      </c>
      <c r="F374" s="3227">
        <v>580</v>
      </c>
      <c r="G374" s="3240">
        <v>1380</v>
      </c>
    </row>
    <row r="375" spans="1:7" s="3220" customFormat="1">
      <c r="A375" s="3227" t="s">
        <v>3168</v>
      </c>
      <c r="B375" s="3227" t="s">
        <v>3177</v>
      </c>
      <c r="C375" s="3227">
        <v>2090</v>
      </c>
      <c r="D375" s="3227">
        <v>2050</v>
      </c>
      <c r="E375" s="3227">
        <v>2020</v>
      </c>
      <c r="F375" s="3227">
        <v>520</v>
      </c>
      <c r="G375" s="3240">
        <v>1240</v>
      </c>
    </row>
    <row r="376" spans="1:7" s="3220" customFormat="1">
      <c r="A376" s="3227" t="s">
        <v>3168</v>
      </c>
      <c r="B376" s="3227" t="s">
        <v>277</v>
      </c>
      <c r="C376" s="3227">
        <v>2010</v>
      </c>
      <c r="D376" s="3227">
        <v>1980</v>
      </c>
      <c r="E376" s="3227">
        <v>1940</v>
      </c>
      <c r="F376" s="3227">
        <v>540</v>
      </c>
      <c r="G376" s="3240">
        <v>1190</v>
      </c>
    </row>
    <row r="377" spans="1:7" s="3220" customFormat="1" ht="12" thickBot="1">
      <c r="A377" s="3235" t="s">
        <v>3168</v>
      </c>
      <c r="B377" s="3238" t="s">
        <v>2930</v>
      </c>
      <c r="C377" s="3238">
        <v>1930</v>
      </c>
      <c r="D377" s="3238">
        <v>1890</v>
      </c>
      <c r="E377" s="3238">
        <v>1860</v>
      </c>
      <c r="F377" s="3238">
        <v>530</v>
      </c>
      <c r="G377" s="3243">
        <v>1150</v>
      </c>
    </row>
    <row r="378" spans="1:7" s="3220" customFormat="1">
      <c r="A378" s="3244" t="s">
        <v>3178</v>
      </c>
      <c r="B378" s="3223" t="s">
        <v>3179</v>
      </c>
      <c r="C378" s="3223">
        <v>1520</v>
      </c>
      <c r="D378" s="3223">
        <v>1490</v>
      </c>
      <c r="E378" s="3223">
        <v>1460</v>
      </c>
      <c r="F378" s="3223">
        <v>460</v>
      </c>
      <c r="G378" s="3239">
        <v>940</v>
      </c>
    </row>
    <row r="379" spans="1:7" s="3220" customFormat="1">
      <c r="A379" s="3245" t="s">
        <v>3178</v>
      </c>
      <c r="B379" s="3227" t="s">
        <v>3180</v>
      </c>
      <c r="C379" s="3227">
        <v>1500</v>
      </c>
      <c r="D379" s="3227">
        <v>1470</v>
      </c>
      <c r="E379" s="3227">
        <v>1430</v>
      </c>
      <c r="F379" s="3227">
        <v>460</v>
      </c>
      <c r="G379" s="3240">
        <v>920</v>
      </c>
    </row>
    <row r="380" spans="1:7" s="3220" customFormat="1">
      <c r="A380" s="3245" t="s">
        <v>3178</v>
      </c>
      <c r="B380" s="3227" t="s">
        <v>3181</v>
      </c>
      <c r="C380" s="3227">
        <v>1620</v>
      </c>
      <c r="D380" s="3227">
        <v>1590</v>
      </c>
      <c r="E380" s="3227">
        <v>1560</v>
      </c>
      <c r="F380" s="3227">
        <v>480</v>
      </c>
      <c r="G380" s="3240">
        <v>1000</v>
      </c>
    </row>
    <row r="381" spans="1:7" s="3220" customFormat="1">
      <c r="A381" s="3245" t="s">
        <v>3178</v>
      </c>
      <c r="B381" s="3227" t="s">
        <v>3182</v>
      </c>
      <c r="C381" s="3227">
        <v>1460</v>
      </c>
      <c r="D381" s="3227">
        <v>1430</v>
      </c>
      <c r="E381" s="3227">
        <v>1390</v>
      </c>
      <c r="F381" s="3227">
        <v>450</v>
      </c>
      <c r="G381" s="3240">
        <v>900</v>
      </c>
    </row>
    <row r="382" spans="1:7" s="3220" customFormat="1">
      <c r="A382" s="3245" t="s">
        <v>3178</v>
      </c>
      <c r="B382" s="3227" t="s">
        <v>3183</v>
      </c>
      <c r="C382" s="3227">
        <v>1310</v>
      </c>
      <c r="D382" s="3227">
        <v>1280</v>
      </c>
      <c r="E382" s="3227">
        <v>1250</v>
      </c>
      <c r="F382" s="3227">
        <v>440</v>
      </c>
      <c r="G382" s="3240">
        <v>800</v>
      </c>
    </row>
    <row r="383" spans="1:7" s="3220" customFormat="1">
      <c r="A383" s="3245" t="s">
        <v>3178</v>
      </c>
      <c r="B383" s="3227" t="s">
        <v>3184</v>
      </c>
      <c r="C383" s="3227">
        <v>1260</v>
      </c>
      <c r="D383" s="3227">
        <v>1230</v>
      </c>
      <c r="E383" s="3227">
        <v>1200</v>
      </c>
      <c r="F383" s="3227">
        <v>420</v>
      </c>
      <c r="G383" s="3240">
        <v>770</v>
      </c>
    </row>
    <row r="384" spans="1:7" s="3220" customFormat="1" ht="12" thickBot="1">
      <c r="A384" s="3246" t="s">
        <v>3178</v>
      </c>
      <c r="B384" s="3234" t="s">
        <v>3185</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17" t="s">
        <v>3186</v>
      </c>
      <c r="B1" s="3817"/>
    </row>
    <row r="2" spans="1:7" ht="14.25" thickBot="1">
      <c r="A2" s="3249"/>
      <c r="B2" s="3249"/>
    </row>
    <row r="3" spans="1:7" ht="14.25" thickBot="1">
      <c r="A3" s="3249"/>
      <c r="B3" s="3249"/>
      <c r="C3" s="3250" t="s">
        <v>2812</v>
      </c>
      <c r="D3" s="3250" t="s">
        <v>2872</v>
      </c>
      <c r="E3" s="3250" t="s">
        <v>2814</v>
      </c>
      <c r="F3" s="3250" t="s">
        <v>2873</v>
      </c>
      <c r="G3" s="3250" t="s">
        <v>2632</v>
      </c>
    </row>
    <row r="4" spans="1:7" ht="14.25" thickBot="1">
      <c r="A4" s="3251" t="s">
        <v>2871</v>
      </c>
      <c r="B4" s="3252" t="s">
        <v>2877</v>
      </c>
      <c r="C4" s="3250"/>
      <c r="D4" s="3250"/>
      <c r="E4" s="3250"/>
      <c r="F4" s="3250"/>
      <c r="G4" s="3250"/>
    </row>
    <row r="5" spans="1:7">
      <c r="A5" s="3253" t="s">
        <v>2845</v>
      </c>
      <c r="B5" s="3254" t="s">
        <v>2859</v>
      </c>
      <c r="C5" s="3255">
        <v>9.8000000000000004E-2</v>
      </c>
      <c r="D5" s="3255">
        <v>8.6999999999999994E-2</v>
      </c>
      <c r="E5" s="3255">
        <v>8.6999999999999994E-2</v>
      </c>
      <c r="F5" s="3255">
        <v>9.8000000000000004E-2</v>
      </c>
      <c r="G5" s="3256">
        <v>9.5000000000000001E-2</v>
      </c>
    </row>
    <row r="6" spans="1:7">
      <c r="A6" s="3257" t="s">
        <v>144</v>
      </c>
      <c r="B6" s="3258" t="s">
        <v>2874</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2860</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2910</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2928</v>
      </c>
      <c r="C29" s="3267"/>
      <c r="D29" s="3263">
        <v>5.1999999999999998E-2</v>
      </c>
      <c r="E29" s="3263">
        <v>7.0000000000000007E-2</v>
      </c>
      <c r="F29" s="3267"/>
      <c r="G29" s="3265">
        <v>7.0999999999999994E-2</v>
      </c>
    </row>
    <row r="30" spans="1:7">
      <c r="A30" s="3268" t="s">
        <v>296</v>
      </c>
      <c r="B30" s="3254" t="s">
        <v>2861</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2847</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2931</v>
      </c>
      <c r="C50" s="3259">
        <v>9.8000000000000004E-2</v>
      </c>
      <c r="D50" s="3259">
        <v>7.2999999999999995E-2</v>
      </c>
      <c r="E50" s="3259">
        <v>7.0999999999999994E-2</v>
      </c>
      <c r="F50" s="3270"/>
      <c r="G50" s="3260">
        <v>7.2999999999999995E-2</v>
      </c>
    </row>
    <row r="51" spans="1:7">
      <c r="A51" s="3269" t="s">
        <v>296</v>
      </c>
      <c r="B51" s="3258" t="s">
        <v>2933</v>
      </c>
      <c r="C51" s="3259">
        <v>9.9000000000000005E-2</v>
      </c>
      <c r="D51" s="3259">
        <v>8.5000000000000006E-2</v>
      </c>
      <c r="E51" s="3259">
        <v>6.3E-2</v>
      </c>
      <c r="F51" s="3270"/>
      <c r="G51" s="3260">
        <v>9.6000000000000002E-2</v>
      </c>
    </row>
    <row r="52" spans="1:7">
      <c r="A52" s="3269" t="s">
        <v>296</v>
      </c>
      <c r="B52" s="3258" t="s">
        <v>2937</v>
      </c>
      <c r="C52" s="3259">
        <v>7.3999999999999996E-2</v>
      </c>
      <c r="D52" s="3259">
        <v>9.6000000000000002E-2</v>
      </c>
      <c r="E52" s="3259">
        <v>0.05</v>
      </c>
      <c r="F52" s="3270"/>
      <c r="G52" s="3260">
        <v>9.8000000000000004E-2</v>
      </c>
    </row>
    <row r="53" spans="1:7">
      <c r="A53" s="3269" t="s">
        <v>296</v>
      </c>
      <c r="B53" s="3258" t="s">
        <v>2942</v>
      </c>
      <c r="C53" s="3259">
        <v>8.5999999999999993E-2</v>
      </c>
      <c r="D53" s="3270"/>
      <c r="E53" s="3259">
        <v>9.1999999999999998E-2</v>
      </c>
      <c r="F53" s="3270"/>
      <c r="G53" s="3271"/>
    </row>
    <row r="54" spans="1:7" ht="14.25" thickBot="1">
      <c r="A54" s="3272" t="s">
        <v>296</v>
      </c>
      <c r="B54" s="3262" t="s">
        <v>2945</v>
      </c>
      <c r="C54" s="3263">
        <v>9.6000000000000002E-2</v>
      </c>
      <c r="D54" s="3264"/>
      <c r="E54" s="3273"/>
      <c r="F54" s="3264"/>
      <c r="G54" s="3274"/>
    </row>
    <row r="55" spans="1:7">
      <c r="A55" s="3268" t="s">
        <v>110</v>
      </c>
      <c r="B55" s="3254" t="s">
        <v>2862</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2943</v>
      </c>
      <c r="C78" s="3259">
        <v>0.1</v>
      </c>
      <c r="D78" s="3259">
        <v>8.5000000000000006E-2</v>
      </c>
      <c r="E78" s="3259">
        <v>9.6000000000000002E-2</v>
      </c>
      <c r="F78" s="3270"/>
      <c r="G78" s="3260">
        <v>9.6000000000000002E-2</v>
      </c>
    </row>
    <row r="79" spans="1:7">
      <c r="A79" s="3269" t="s">
        <v>110</v>
      </c>
      <c r="B79" s="3258" t="s">
        <v>2946</v>
      </c>
      <c r="C79" s="3259">
        <v>0.05</v>
      </c>
      <c r="D79" s="3259">
        <v>9.6000000000000002E-2</v>
      </c>
      <c r="E79" s="3259">
        <v>9.5000000000000001E-2</v>
      </c>
      <c r="F79" s="3270"/>
      <c r="G79" s="3260">
        <v>9.8000000000000004E-2</v>
      </c>
    </row>
    <row r="80" spans="1:7">
      <c r="A80" s="3269" t="s">
        <v>110</v>
      </c>
      <c r="B80" s="3258" t="s">
        <v>2950</v>
      </c>
      <c r="C80" s="3259">
        <v>8.5999999999999993E-2</v>
      </c>
      <c r="D80" s="3275"/>
      <c r="E80" s="3259">
        <v>0.1</v>
      </c>
      <c r="F80" s="3270"/>
      <c r="G80" s="3271"/>
    </row>
    <row r="81" spans="1:7">
      <c r="A81" s="3269" t="s">
        <v>110</v>
      </c>
      <c r="B81" s="3258" t="s">
        <v>2955</v>
      </c>
      <c r="C81" s="3259">
        <v>9.6000000000000002E-2</v>
      </c>
      <c r="D81" s="3270"/>
      <c r="E81" s="3259">
        <v>9.8000000000000004E-2</v>
      </c>
      <c r="F81" s="3270"/>
      <c r="G81" s="3271"/>
    </row>
    <row r="82" spans="1:7">
      <c r="A82" s="3269" t="s">
        <v>110</v>
      </c>
      <c r="B82" s="3258" t="s">
        <v>2962</v>
      </c>
      <c r="C82" s="3275"/>
      <c r="D82" s="3270"/>
      <c r="E82" s="3259">
        <v>7.6999999999999999E-2</v>
      </c>
      <c r="F82" s="3270"/>
      <c r="G82" s="3271"/>
    </row>
    <row r="83" spans="1:7">
      <c r="A83" s="3269" t="s">
        <v>110</v>
      </c>
      <c r="B83" s="3258" t="s">
        <v>2968</v>
      </c>
      <c r="C83" s="3270"/>
      <c r="D83" s="3270"/>
      <c r="E83" s="3270"/>
      <c r="F83" s="3259">
        <v>0.1</v>
      </c>
      <c r="G83" s="3276"/>
    </row>
    <row r="84" spans="1:7">
      <c r="A84" s="3269" t="s">
        <v>110</v>
      </c>
      <c r="B84" s="3258" t="s">
        <v>2975</v>
      </c>
      <c r="C84" s="3270"/>
      <c r="D84" s="3270"/>
      <c r="E84" s="3270"/>
      <c r="F84" s="3259">
        <v>0.1</v>
      </c>
      <c r="G84" s="3276"/>
    </row>
    <row r="85" spans="1:7">
      <c r="A85" s="3269" t="s">
        <v>110</v>
      </c>
      <c r="B85" s="3258" t="s">
        <v>2982</v>
      </c>
      <c r="C85" s="3270"/>
      <c r="D85" s="3270"/>
      <c r="E85" s="3270"/>
      <c r="F85" s="3259">
        <v>0.1</v>
      </c>
      <c r="G85" s="3276"/>
    </row>
    <row r="86" spans="1:7" ht="14.25" thickBot="1">
      <c r="A86" s="3272" t="s">
        <v>110</v>
      </c>
      <c r="B86" s="3262" t="s">
        <v>2987</v>
      </c>
      <c r="C86" s="3263">
        <v>9.8000000000000004E-2</v>
      </c>
      <c r="D86" s="3263">
        <v>9.8000000000000004E-2</v>
      </c>
      <c r="E86" s="3263">
        <v>9.6000000000000002E-2</v>
      </c>
      <c r="F86" s="3273"/>
      <c r="G86" s="3265">
        <v>0.1</v>
      </c>
    </row>
    <row r="87" spans="1:7">
      <c r="A87" s="3268" t="s">
        <v>303</v>
      </c>
      <c r="B87" s="3254" t="s">
        <v>2863</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2956</v>
      </c>
      <c r="C113" s="3259">
        <v>0.1</v>
      </c>
      <c r="D113" s="3259">
        <v>0.1</v>
      </c>
      <c r="E113" s="3270"/>
      <c r="F113" s="3270"/>
      <c r="G113" s="3260">
        <v>0.1</v>
      </c>
    </row>
    <row r="114" spans="1:7">
      <c r="A114" s="3269" t="s">
        <v>303</v>
      </c>
      <c r="B114" s="3258" t="s">
        <v>2963</v>
      </c>
      <c r="C114" s="3259">
        <v>9.7000000000000003E-2</v>
      </c>
      <c r="D114" s="3259">
        <v>9.7000000000000003E-2</v>
      </c>
      <c r="E114" s="3270"/>
      <c r="F114" s="3270"/>
      <c r="G114" s="3260">
        <v>9.9000000000000005E-2</v>
      </c>
    </row>
    <row r="115" spans="1:7">
      <c r="A115" s="3269" t="s">
        <v>303</v>
      </c>
      <c r="B115" s="3258" t="s">
        <v>2969</v>
      </c>
      <c r="C115" s="3259">
        <v>0.1</v>
      </c>
      <c r="D115" s="3259">
        <v>0.1</v>
      </c>
      <c r="E115" s="3270"/>
      <c r="F115" s="3270"/>
      <c r="G115" s="3260">
        <v>0.1</v>
      </c>
    </row>
    <row r="116" spans="1:7">
      <c r="A116" s="3269" t="s">
        <v>303</v>
      </c>
      <c r="B116" s="3258" t="s">
        <v>2976</v>
      </c>
      <c r="C116" s="3259">
        <v>0.1</v>
      </c>
      <c r="D116" s="3259">
        <v>0.1</v>
      </c>
      <c r="E116" s="3270"/>
      <c r="F116" s="3270"/>
      <c r="G116" s="3260">
        <v>0.1</v>
      </c>
    </row>
    <row r="117" spans="1:7">
      <c r="A117" s="3269" t="s">
        <v>303</v>
      </c>
      <c r="B117" s="3258" t="s">
        <v>2983</v>
      </c>
      <c r="C117" s="3259">
        <v>9.7000000000000003E-2</v>
      </c>
      <c r="D117" s="3259">
        <v>9.7000000000000003E-2</v>
      </c>
      <c r="E117" s="3270"/>
      <c r="F117" s="3270"/>
      <c r="G117" s="3260">
        <v>9.7000000000000003E-2</v>
      </c>
    </row>
    <row r="118" spans="1:7">
      <c r="A118" s="3269" t="s">
        <v>303</v>
      </c>
      <c r="B118" s="3258" t="s">
        <v>2988</v>
      </c>
      <c r="C118" s="3259">
        <v>0.1</v>
      </c>
      <c r="D118" s="3259">
        <v>0.1</v>
      </c>
      <c r="E118" s="3270"/>
      <c r="F118" s="3270"/>
      <c r="G118" s="3260">
        <v>0.1</v>
      </c>
    </row>
    <row r="119" spans="1:7">
      <c r="A119" s="3269" t="s">
        <v>303</v>
      </c>
      <c r="B119" s="3258" t="s">
        <v>2992</v>
      </c>
      <c r="C119" s="3259">
        <v>5.0999999999999997E-2</v>
      </c>
      <c r="D119" s="3259">
        <v>5.1999999999999998E-2</v>
      </c>
      <c r="E119" s="3270"/>
      <c r="F119" s="3275"/>
      <c r="G119" s="3260">
        <v>0.06</v>
      </c>
    </row>
    <row r="120" spans="1:7">
      <c r="A120" s="3269" t="s">
        <v>303</v>
      </c>
      <c r="B120" s="3258" t="s">
        <v>2996</v>
      </c>
      <c r="C120" s="3270"/>
      <c r="D120" s="3270"/>
      <c r="E120" s="3270"/>
      <c r="F120" s="3259">
        <v>0.1</v>
      </c>
      <c r="G120" s="3276"/>
    </row>
    <row r="121" spans="1:7">
      <c r="A121" s="3269" t="s">
        <v>303</v>
      </c>
      <c r="B121" s="3258" t="s">
        <v>3001</v>
      </c>
      <c r="C121" s="3270"/>
      <c r="D121" s="3270"/>
      <c r="E121" s="3270"/>
      <c r="F121" s="3259">
        <v>0.1</v>
      </c>
      <c r="G121" s="3276"/>
    </row>
    <row r="122" spans="1:7">
      <c r="A122" s="3269" t="s">
        <v>303</v>
      </c>
      <c r="B122" s="3258" t="s">
        <v>3006</v>
      </c>
      <c r="C122" s="3259">
        <v>0.1</v>
      </c>
      <c r="D122" s="3259">
        <v>0.1</v>
      </c>
      <c r="E122" s="3259">
        <v>9.8000000000000004E-2</v>
      </c>
      <c r="F122" s="3259">
        <v>0.1</v>
      </c>
      <c r="G122" s="3260">
        <v>0.1</v>
      </c>
    </row>
    <row r="123" spans="1:7">
      <c r="A123" s="3269" t="s">
        <v>303</v>
      </c>
      <c r="B123" s="3258" t="s">
        <v>3011</v>
      </c>
      <c r="C123" s="3259">
        <v>0.1</v>
      </c>
      <c r="D123" s="3259">
        <v>0.1</v>
      </c>
      <c r="E123" s="3259">
        <v>9.8000000000000004E-2</v>
      </c>
      <c r="F123" s="3259">
        <v>0.1</v>
      </c>
      <c r="G123" s="3260">
        <v>0.1</v>
      </c>
    </row>
    <row r="124" spans="1:7">
      <c r="A124" s="3269" t="s">
        <v>303</v>
      </c>
      <c r="B124" s="3258" t="s">
        <v>3016</v>
      </c>
      <c r="C124" s="3259">
        <v>0.1</v>
      </c>
      <c r="D124" s="3259">
        <v>0.1</v>
      </c>
      <c r="E124" s="3259">
        <v>9.8000000000000004E-2</v>
      </c>
      <c r="F124" s="3275"/>
      <c r="G124" s="3260">
        <v>0.1</v>
      </c>
    </row>
    <row r="125" spans="1:7">
      <c r="A125" s="3269" t="s">
        <v>303</v>
      </c>
      <c r="B125" s="3258" t="s">
        <v>3021</v>
      </c>
      <c r="C125" s="3259">
        <v>9.8000000000000004E-2</v>
      </c>
      <c r="D125" s="3259">
        <v>9.8000000000000004E-2</v>
      </c>
      <c r="E125" s="3259">
        <v>9.6000000000000002E-2</v>
      </c>
      <c r="F125" s="3275"/>
      <c r="G125" s="3260">
        <v>0.1</v>
      </c>
    </row>
    <row r="126" spans="1:7" ht="14.25" thickBot="1">
      <c r="A126" s="3272" t="s">
        <v>303</v>
      </c>
      <c r="B126" s="3262" t="s">
        <v>3187</v>
      </c>
      <c r="C126" s="3263">
        <v>0.1</v>
      </c>
      <c r="D126" s="3263">
        <v>0.1</v>
      </c>
      <c r="E126" s="3263">
        <v>9.8000000000000004E-2</v>
      </c>
      <c r="F126" s="3263">
        <v>0.1</v>
      </c>
      <c r="G126" s="3265">
        <v>0.1</v>
      </c>
    </row>
    <row r="127" spans="1:7">
      <c r="A127" s="3268" t="s">
        <v>29</v>
      </c>
      <c r="B127" s="3254" t="s">
        <v>2864</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2934</v>
      </c>
      <c r="C148" s="3259">
        <v>0.13</v>
      </c>
      <c r="D148" s="3259">
        <v>0.13</v>
      </c>
      <c r="E148" s="3259">
        <v>0.13</v>
      </c>
      <c r="F148" s="3270"/>
      <c r="G148" s="3260">
        <v>0.13</v>
      </c>
    </row>
    <row r="149" spans="1:7">
      <c r="A149" s="3269" t="s">
        <v>29</v>
      </c>
      <c r="B149" s="3258" t="s">
        <v>2938</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2957</v>
      </c>
      <c r="C153" s="3259">
        <v>0.13</v>
      </c>
      <c r="D153" s="3259">
        <v>0.13</v>
      </c>
      <c r="E153" s="3259">
        <v>0.13</v>
      </c>
      <c r="F153" s="3259">
        <v>0.13</v>
      </c>
      <c r="G153" s="3260">
        <v>0.13</v>
      </c>
    </row>
    <row r="154" spans="1:7">
      <c r="A154" s="3269" t="s">
        <v>29</v>
      </c>
      <c r="B154" s="3258" t="s">
        <v>2964</v>
      </c>
      <c r="C154" s="3259">
        <v>0.121</v>
      </c>
      <c r="D154" s="3259">
        <v>0.121</v>
      </c>
      <c r="E154" s="3259">
        <v>0.105</v>
      </c>
      <c r="F154" s="3259">
        <v>0.121</v>
      </c>
      <c r="G154" s="3260">
        <v>0.123</v>
      </c>
    </row>
    <row r="155" spans="1:7">
      <c r="A155" s="3269" t="s">
        <v>29</v>
      </c>
      <c r="B155" s="3258" t="s">
        <v>2970</v>
      </c>
      <c r="C155" s="3259">
        <v>0.1</v>
      </c>
      <c r="D155" s="3259">
        <v>0.1</v>
      </c>
      <c r="E155" s="3259">
        <v>0.1</v>
      </c>
      <c r="F155" s="3259">
        <v>0.1</v>
      </c>
      <c r="G155" s="3260">
        <v>0.1</v>
      </c>
    </row>
    <row r="156" spans="1:7">
      <c r="A156" s="3269" t="s">
        <v>29</v>
      </c>
      <c r="B156" s="3258" t="s">
        <v>2977</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2997</v>
      </c>
      <c r="C160" s="3259">
        <v>0.13</v>
      </c>
      <c r="D160" s="3259">
        <v>0.13</v>
      </c>
      <c r="E160" s="3259">
        <v>0.124</v>
      </c>
      <c r="F160" s="3259">
        <v>0.126</v>
      </c>
      <c r="G160" s="3260">
        <v>0.13</v>
      </c>
    </row>
    <row r="161" spans="1:7">
      <c r="A161" s="3269" t="s">
        <v>29</v>
      </c>
      <c r="B161" s="3258" t="s">
        <v>3002</v>
      </c>
      <c r="C161" s="3259">
        <v>0.13</v>
      </c>
      <c r="D161" s="3259">
        <v>0.13</v>
      </c>
      <c r="E161" s="3259">
        <v>0.124</v>
      </c>
      <c r="F161" s="3259">
        <v>0.127</v>
      </c>
      <c r="G161" s="3260">
        <v>0.13</v>
      </c>
    </row>
    <row r="162" spans="1:7">
      <c r="A162" s="3269" t="s">
        <v>29</v>
      </c>
      <c r="B162" s="3258" t="s">
        <v>3007</v>
      </c>
      <c r="C162" s="3259">
        <v>0.1</v>
      </c>
      <c r="D162" s="3259">
        <v>0.1</v>
      </c>
      <c r="E162" s="3259">
        <v>0.1</v>
      </c>
      <c r="F162" s="3259">
        <v>0.121</v>
      </c>
      <c r="G162" s="3260">
        <v>0.105</v>
      </c>
    </row>
    <row r="163" spans="1:7">
      <c r="A163" s="3269" t="s">
        <v>29</v>
      </c>
      <c r="B163" s="3258" t="s">
        <v>3012</v>
      </c>
      <c r="C163" s="3259">
        <v>0.1</v>
      </c>
      <c r="D163" s="3259">
        <v>0.1</v>
      </c>
      <c r="E163" s="3259">
        <v>0.1</v>
      </c>
      <c r="F163" s="3259">
        <v>0.1</v>
      </c>
      <c r="G163" s="3260">
        <v>0.1</v>
      </c>
    </row>
    <row r="164" spans="1:7">
      <c r="A164" s="3269" t="s">
        <v>29</v>
      </c>
      <c r="B164" s="3258" t="s">
        <v>3017</v>
      </c>
      <c r="C164" s="3275"/>
      <c r="D164" s="3275"/>
      <c r="E164" s="3275"/>
      <c r="F164" s="3259">
        <v>0.1</v>
      </c>
      <c r="G164" s="3271"/>
    </row>
    <row r="165" spans="1:7">
      <c r="A165" s="3269" t="s">
        <v>29</v>
      </c>
      <c r="B165" s="3258" t="s">
        <v>3188</v>
      </c>
      <c r="C165" s="3259">
        <v>0.126</v>
      </c>
      <c r="D165" s="3259">
        <v>0.126</v>
      </c>
      <c r="E165" s="3259">
        <v>0.11899999999999999</v>
      </c>
      <c r="F165" s="3259">
        <v>0.13</v>
      </c>
      <c r="G165" s="3260">
        <v>0.128</v>
      </c>
    </row>
    <row r="166" spans="1:7">
      <c r="A166" s="3269" t="s">
        <v>29</v>
      </c>
      <c r="B166" s="3258" t="s">
        <v>3027</v>
      </c>
      <c r="C166" s="3259">
        <v>0.129</v>
      </c>
      <c r="D166" s="3259">
        <v>0.129</v>
      </c>
      <c r="E166" s="3259">
        <v>0.123</v>
      </c>
      <c r="F166" s="3259">
        <v>0.128</v>
      </c>
      <c r="G166" s="3260">
        <v>0.13</v>
      </c>
    </row>
    <row r="167" spans="1:7">
      <c r="A167" s="3269" t="s">
        <v>29</v>
      </c>
      <c r="B167" s="3258" t="s">
        <v>3031</v>
      </c>
      <c r="C167" s="3259">
        <v>0.125</v>
      </c>
      <c r="D167" s="3259">
        <v>0.125</v>
      </c>
      <c r="E167" s="3259">
        <v>0.11700000000000001</v>
      </c>
      <c r="F167" s="3259">
        <v>0.13</v>
      </c>
      <c r="G167" s="3260">
        <v>0.126</v>
      </c>
    </row>
    <row r="168" spans="1:7">
      <c r="A168" s="3269" t="s">
        <v>29</v>
      </c>
      <c r="B168" s="3258" t="s">
        <v>3036</v>
      </c>
      <c r="C168" s="3259">
        <v>0.128</v>
      </c>
      <c r="D168" s="3259">
        <v>0.128</v>
      </c>
      <c r="E168" s="3259">
        <v>0.123</v>
      </c>
      <c r="F168" s="3270"/>
      <c r="G168" s="3260">
        <v>0.13</v>
      </c>
    </row>
    <row r="169" spans="1:7">
      <c r="A169" s="3269" t="s">
        <v>29</v>
      </c>
      <c r="B169" s="3258" t="s">
        <v>3189</v>
      </c>
      <c r="C169" s="3275"/>
      <c r="D169" s="3275"/>
      <c r="E169" s="3275"/>
      <c r="F169" s="3259">
        <v>0.05</v>
      </c>
      <c r="G169" s="3271"/>
    </row>
    <row r="170" spans="1:7">
      <c r="A170" s="3269" t="s">
        <v>29</v>
      </c>
      <c r="B170" s="3258" t="s">
        <v>3190</v>
      </c>
      <c r="C170" s="3275"/>
      <c r="D170" s="3275"/>
      <c r="E170" s="3275"/>
      <c r="F170" s="3259">
        <v>0.05</v>
      </c>
      <c r="G170" s="3271"/>
    </row>
    <row r="171" spans="1:7">
      <c r="A171" s="3269" t="s">
        <v>29</v>
      </c>
      <c r="B171" s="3258" t="s">
        <v>3191</v>
      </c>
      <c r="C171" s="3275"/>
      <c r="D171" s="3275"/>
      <c r="E171" s="3275"/>
      <c r="F171" s="3259">
        <v>0.05</v>
      </c>
      <c r="G171" s="3276"/>
    </row>
    <row r="172" spans="1:7">
      <c r="A172" s="3269" t="s">
        <v>29</v>
      </c>
      <c r="B172" s="3258" t="s">
        <v>3192</v>
      </c>
      <c r="C172" s="3275"/>
      <c r="D172" s="3275"/>
      <c r="E172" s="3275"/>
      <c r="F172" s="3259">
        <v>0.05</v>
      </c>
      <c r="G172" s="3276"/>
    </row>
    <row r="173" spans="1:7">
      <c r="A173" s="3269" t="s">
        <v>29</v>
      </c>
      <c r="B173" s="3258" t="s">
        <v>3193</v>
      </c>
      <c r="C173" s="3275"/>
      <c r="D173" s="3275"/>
      <c r="E173" s="3275"/>
      <c r="F173" s="3259">
        <v>0.05</v>
      </c>
      <c r="G173" s="3271"/>
    </row>
    <row r="174" spans="1:7">
      <c r="A174" s="3269" t="s">
        <v>29</v>
      </c>
      <c r="B174" s="3258" t="s">
        <v>3194</v>
      </c>
      <c r="C174" s="3275"/>
      <c r="D174" s="3275"/>
      <c r="E174" s="3275"/>
      <c r="F174" s="3259">
        <v>0.05</v>
      </c>
      <c r="G174" s="3271"/>
    </row>
    <row r="175" spans="1:7">
      <c r="A175" s="3269" t="s">
        <v>29</v>
      </c>
      <c r="B175" s="3258" t="s">
        <v>3195</v>
      </c>
      <c r="C175" s="3275"/>
      <c r="D175" s="3275"/>
      <c r="E175" s="3275"/>
      <c r="F175" s="3259">
        <v>0.05</v>
      </c>
      <c r="G175" s="3271"/>
    </row>
    <row r="176" spans="1:7">
      <c r="A176" s="3269" t="s">
        <v>29</v>
      </c>
      <c r="B176" s="3258" t="s">
        <v>3196</v>
      </c>
      <c r="C176" s="3275"/>
      <c r="D176" s="3275"/>
      <c r="E176" s="3275"/>
      <c r="F176" s="3259">
        <v>0.05</v>
      </c>
      <c r="G176" s="3271"/>
    </row>
    <row r="177" spans="1:7">
      <c r="A177" s="3269" t="s">
        <v>29</v>
      </c>
      <c r="B177" s="3258" t="s">
        <v>3197</v>
      </c>
      <c r="C177" s="3270"/>
      <c r="D177" s="3270"/>
      <c r="E177" s="3270"/>
      <c r="F177" s="3259">
        <v>0.05</v>
      </c>
      <c r="G177" s="3276"/>
    </row>
    <row r="178" spans="1:7">
      <c r="A178" s="3269" t="s">
        <v>29</v>
      </c>
      <c r="B178" s="3258" t="s">
        <v>3198</v>
      </c>
      <c r="C178" s="3270"/>
      <c r="D178" s="3270"/>
      <c r="E178" s="3270"/>
      <c r="F178" s="3259">
        <v>0.05</v>
      </c>
      <c r="G178" s="3276"/>
    </row>
    <row r="179" spans="1:7">
      <c r="A179" s="3269" t="s">
        <v>29</v>
      </c>
      <c r="B179" s="3258" t="s">
        <v>3199</v>
      </c>
      <c r="C179" s="3270"/>
      <c r="D179" s="3270"/>
      <c r="E179" s="3270"/>
      <c r="F179" s="3259">
        <v>0.05</v>
      </c>
      <c r="G179" s="3276"/>
    </row>
    <row r="180" spans="1:7">
      <c r="A180" s="3269" t="s">
        <v>29</v>
      </c>
      <c r="B180" s="3258" t="s">
        <v>3200</v>
      </c>
      <c r="C180" s="3270"/>
      <c r="D180" s="3270"/>
      <c r="E180" s="3270"/>
      <c r="F180" s="3259">
        <v>0.05</v>
      </c>
      <c r="G180" s="3276"/>
    </row>
    <row r="181" spans="1:7">
      <c r="A181" s="3269" t="s">
        <v>29</v>
      </c>
      <c r="B181" s="3258" t="s">
        <v>3201</v>
      </c>
      <c r="C181" s="3270"/>
      <c r="D181" s="3270"/>
      <c r="E181" s="3270"/>
      <c r="F181" s="3259">
        <v>0.05</v>
      </c>
      <c r="G181" s="3276"/>
    </row>
    <row r="182" spans="1:7">
      <c r="A182" s="3269" t="s">
        <v>29</v>
      </c>
      <c r="B182" s="3258" t="s">
        <v>3202</v>
      </c>
      <c r="C182" s="3270"/>
      <c r="D182" s="3270"/>
      <c r="E182" s="3270"/>
      <c r="F182" s="3259">
        <v>0.05</v>
      </c>
      <c r="G182" s="3276"/>
    </row>
    <row r="183" spans="1:7">
      <c r="A183" s="3269" t="s">
        <v>29</v>
      </c>
      <c r="B183" s="3258" t="s">
        <v>3203</v>
      </c>
      <c r="C183" s="3270"/>
      <c r="D183" s="3270"/>
      <c r="E183" s="3270"/>
      <c r="F183" s="3259">
        <v>0.05</v>
      </c>
      <c r="G183" s="3276"/>
    </row>
    <row r="184" spans="1:7">
      <c r="A184" s="3269" t="s">
        <v>29</v>
      </c>
      <c r="B184" s="3258" t="s">
        <v>3204</v>
      </c>
      <c r="C184" s="3270"/>
      <c r="D184" s="3270"/>
      <c r="E184" s="3270"/>
      <c r="F184" s="3259">
        <v>0.05</v>
      </c>
      <c r="G184" s="3276"/>
    </row>
    <row r="185" spans="1:7">
      <c r="A185" s="3269" t="s">
        <v>29</v>
      </c>
      <c r="B185" s="3258" t="s">
        <v>3205</v>
      </c>
      <c r="C185" s="3270"/>
      <c r="D185" s="3270"/>
      <c r="E185" s="3270"/>
      <c r="F185" s="3259">
        <v>0.05</v>
      </c>
      <c r="G185" s="3276"/>
    </row>
    <row r="186" spans="1:7">
      <c r="A186" s="3269" t="s">
        <v>29</v>
      </c>
      <c r="B186" s="3258" t="s">
        <v>3206</v>
      </c>
      <c r="C186" s="3270"/>
      <c r="D186" s="3270"/>
      <c r="E186" s="3270"/>
      <c r="F186" s="3259">
        <v>0.05</v>
      </c>
      <c r="G186" s="3276"/>
    </row>
    <row r="187" spans="1:7">
      <c r="A187" s="3269" t="s">
        <v>29</v>
      </c>
      <c r="B187" s="3258" t="s">
        <v>3207</v>
      </c>
      <c r="C187" s="3270"/>
      <c r="D187" s="3270"/>
      <c r="E187" s="3270"/>
      <c r="F187" s="3259">
        <v>0.05</v>
      </c>
      <c r="G187" s="3276"/>
    </row>
    <row r="188" spans="1:7">
      <c r="A188" s="3269" t="s">
        <v>29</v>
      </c>
      <c r="B188" s="3258" t="s">
        <v>3208</v>
      </c>
      <c r="C188" s="3270"/>
      <c r="D188" s="3270"/>
      <c r="E188" s="3270"/>
      <c r="F188" s="3259">
        <v>0.05</v>
      </c>
      <c r="G188" s="3276"/>
    </row>
    <row r="189" spans="1:7" ht="14.25" thickBot="1">
      <c r="A189" s="3272" t="s">
        <v>29</v>
      </c>
      <c r="B189" s="3262" t="s">
        <v>3209</v>
      </c>
      <c r="C189" s="3264"/>
      <c r="D189" s="3264"/>
      <c r="E189" s="3264"/>
      <c r="F189" s="3263">
        <v>0.05</v>
      </c>
      <c r="G189" s="3277"/>
    </row>
    <row r="190" spans="1:7">
      <c r="A190" s="3268" t="s">
        <v>304</v>
      </c>
      <c r="B190" s="3254" t="s">
        <v>2865</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2901</v>
      </c>
      <c r="C199" s="3259">
        <v>0.13</v>
      </c>
      <c r="D199" s="3259">
        <v>0.13</v>
      </c>
      <c r="E199" s="3259">
        <v>0.13</v>
      </c>
      <c r="F199" s="3259">
        <v>0.13</v>
      </c>
      <c r="G199" s="3260">
        <v>0.13</v>
      </c>
    </row>
    <row r="200" spans="1:7">
      <c r="A200" s="3269" t="s">
        <v>304</v>
      </c>
      <c r="B200" s="3258" t="s">
        <v>2904</v>
      </c>
      <c r="C200" s="3275"/>
      <c r="D200" s="3275"/>
      <c r="E200" s="3275"/>
      <c r="F200" s="3259">
        <v>0.13</v>
      </c>
      <c r="G200" s="3271"/>
    </row>
    <row r="201" spans="1:7">
      <c r="A201" s="3269" t="s">
        <v>304</v>
      </c>
      <c r="B201" s="3258" t="s">
        <v>2909</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2912</v>
      </c>
      <c r="C203" s="3259">
        <v>0.129</v>
      </c>
      <c r="D203" s="3259">
        <v>0.129</v>
      </c>
      <c r="E203" s="3259">
        <v>0.13</v>
      </c>
      <c r="F203" s="3259">
        <v>0.13</v>
      </c>
      <c r="G203" s="3260">
        <v>0.13</v>
      </c>
    </row>
    <row r="204" spans="1:7">
      <c r="A204" s="3269" t="s">
        <v>304</v>
      </c>
      <c r="B204" s="3258" t="s">
        <v>2915</v>
      </c>
      <c r="C204" s="3259">
        <v>0.129</v>
      </c>
      <c r="D204" s="3259">
        <v>0.129</v>
      </c>
      <c r="E204" s="3259">
        <v>0.123</v>
      </c>
      <c r="F204" s="3259">
        <v>0.13</v>
      </c>
      <c r="G204" s="3260">
        <v>0.13</v>
      </c>
    </row>
    <row r="205" spans="1:7">
      <c r="A205" s="3269" t="s">
        <v>304</v>
      </c>
      <c r="B205" s="3258" t="s">
        <v>2917</v>
      </c>
      <c r="C205" s="3259">
        <v>0.13</v>
      </c>
      <c r="D205" s="3259">
        <v>0.13</v>
      </c>
      <c r="E205" s="3259">
        <v>0.13</v>
      </c>
      <c r="F205" s="3259">
        <v>0.13</v>
      </c>
      <c r="G205" s="3260">
        <v>0.13</v>
      </c>
    </row>
    <row r="206" spans="1:7">
      <c r="A206" s="3269" t="s">
        <v>304</v>
      </c>
      <c r="B206" s="3258" t="s">
        <v>2920</v>
      </c>
      <c r="C206" s="3259">
        <v>0.13</v>
      </c>
      <c r="D206" s="3259">
        <v>0.13</v>
      </c>
      <c r="E206" s="3259">
        <v>0.13</v>
      </c>
      <c r="F206" s="3259">
        <v>0.128</v>
      </c>
      <c r="G206" s="3260">
        <v>0.13</v>
      </c>
    </row>
    <row r="207" spans="1:7">
      <c r="A207" s="3269" t="s">
        <v>304</v>
      </c>
      <c r="B207" s="3258" t="s">
        <v>2922</v>
      </c>
      <c r="C207" s="3259">
        <v>0.13</v>
      </c>
      <c r="D207" s="3259">
        <v>0.13</v>
      </c>
      <c r="E207" s="3259">
        <v>0.13</v>
      </c>
      <c r="F207" s="3259">
        <v>0.13</v>
      </c>
      <c r="G207" s="3260">
        <v>0.13</v>
      </c>
    </row>
    <row r="208" spans="1:7">
      <c r="A208" s="3269" t="s">
        <v>304</v>
      </c>
      <c r="B208" s="3258" t="s">
        <v>2925</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2932</v>
      </c>
      <c r="C210" s="3259">
        <v>0.121</v>
      </c>
      <c r="D210" s="3259">
        <v>0.121</v>
      </c>
      <c r="E210" s="3259">
        <v>0.125</v>
      </c>
      <c r="F210" s="3259">
        <v>0.13</v>
      </c>
      <c r="G210" s="3260">
        <v>0.123</v>
      </c>
    </row>
    <row r="211" spans="1:7">
      <c r="A211" s="3269" t="s">
        <v>304</v>
      </c>
      <c r="B211" s="3258" t="s">
        <v>2935</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2947</v>
      </c>
      <c r="C214" s="3259">
        <v>0.128</v>
      </c>
      <c r="D214" s="3259">
        <v>0.128</v>
      </c>
      <c r="E214" s="3259">
        <v>0.13</v>
      </c>
      <c r="F214" s="3259">
        <v>0.13</v>
      </c>
      <c r="G214" s="3260">
        <v>0.13</v>
      </c>
    </row>
    <row r="215" spans="1:7">
      <c r="A215" s="3269" t="s">
        <v>304</v>
      </c>
      <c r="B215" s="3258" t="s">
        <v>2951</v>
      </c>
      <c r="C215" s="3259">
        <v>0.13</v>
      </c>
      <c r="D215" s="3259">
        <v>0.13</v>
      </c>
      <c r="E215" s="3259">
        <v>0.13</v>
      </c>
      <c r="F215" s="3259">
        <v>0.129</v>
      </c>
      <c r="G215" s="3260">
        <v>0.13</v>
      </c>
    </row>
    <row r="216" spans="1:7">
      <c r="A216" s="3269" t="s">
        <v>304</v>
      </c>
      <c r="B216" s="3258" t="s">
        <v>2958</v>
      </c>
      <c r="C216" s="3259">
        <v>0.13</v>
      </c>
      <c r="D216" s="3259">
        <v>0.13</v>
      </c>
      <c r="E216" s="3259">
        <v>0.13</v>
      </c>
      <c r="F216" s="3259">
        <v>0.13</v>
      </c>
      <c r="G216" s="3260">
        <v>0.13</v>
      </c>
    </row>
    <row r="217" spans="1:7">
      <c r="A217" s="3269" t="s">
        <v>304</v>
      </c>
      <c r="B217" s="3258" t="s">
        <v>2965</v>
      </c>
      <c r="C217" s="3259">
        <v>0.129</v>
      </c>
      <c r="D217" s="3259">
        <v>0.129</v>
      </c>
      <c r="E217" s="3259">
        <v>0.13</v>
      </c>
      <c r="F217" s="3259">
        <v>0.13</v>
      </c>
      <c r="G217" s="3260">
        <v>0.13</v>
      </c>
    </row>
    <row r="218" spans="1:7">
      <c r="A218" s="3269" t="s">
        <v>304</v>
      </c>
      <c r="B218" s="3258" t="s">
        <v>2971</v>
      </c>
      <c r="C218" s="3270"/>
      <c r="D218" s="3270"/>
      <c r="E218" s="3270"/>
      <c r="F218" s="3259">
        <v>0.05</v>
      </c>
      <c r="G218" s="3276"/>
    </row>
    <row r="219" spans="1:7">
      <c r="A219" s="3269" t="s">
        <v>304</v>
      </c>
      <c r="B219" s="3258" t="s">
        <v>2978</v>
      </c>
      <c r="C219" s="3270"/>
      <c r="D219" s="3270"/>
      <c r="E219" s="3270"/>
      <c r="F219" s="3259">
        <v>0.05</v>
      </c>
      <c r="G219" s="3276"/>
    </row>
    <row r="220" spans="1:7">
      <c r="A220" s="3269" t="s">
        <v>304</v>
      </c>
      <c r="B220" s="3258" t="s">
        <v>2984</v>
      </c>
      <c r="C220" s="3270"/>
      <c r="D220" s="3270"/>
      <c r="E220" s="3270"/>
      <c r="F220" s="3259">
        <v>0.05</v>
      </c>
      <c r="G220" s="3276"/>
    </row>
    <row r="221" spans="1:7">
      <c r="A221" s="3269" t="s">
        <v>304</v>
      </c>
      <c r="B221" s="3258" t="s">
        <v>2989</v>
      </c>
      <c r="C221" s="3270"/>
      <c r="D221" s="3270"/>
      <c r="E221" s="3270"/>
      <c r="F221" s="3259">
        <v>0.05</v>
      </c>
      <c r="G221" s="3276"/>
    </row>
    <row r="222" spans="1:7">
      <c r="A222" s="3269" t="s">
        <v>304</v>
      </c>
      <c r="B222" s="3258" t="s">
        <v>2993</v>
      </c>
      <c r="C222" s="3270"/>
      <c r="D222" s="3270"/>
      <c r="E222" s="3270"/>
      <c r="F222" s="3259">
        <v>0.05</v>
      </c>
      <c r="G222" s="3276"/>
    </row>
    <row r="223" spans="1:7">
      <c r="A223" s="3269" t="s">
        <v>304</v>
      </c>
      <c r="B223" s="3258" t="s">
        <v>2998</v>
      </c>
      <c r="C223" s="3270"/>
      <c r="D223" s="3270"/>
      <c r="E223" s="3270"/>
      <c r="F223" s="3259">
        <v>0.05</v>
      </c>
      <c r="G223" s="3276"/>
    </row>
    <row r="224" spans="1:7">
      <c r="A224" s="3269" t="s">
        <v>304</v>
      </c>
      <c r="B224" s="3258" t="s">
        <v>3003</v>
      </c>
      <c r="C224" s="3270"/>
      <c r="D224" s="3270"/>
      <c r="E224" s="3270"/>
      <c r="F224" s="3259">
        <v>0.05</v>
      </c>
      <c r="G224" s="3276"/>
    </row>
    <row r="225" spans="1:7">
      <c r="A225" s="3269" t="s">
        <v>304</v>
      </c>
      <c r="B225" s="3258" t="s">
        <v>3008</v>
      </c>
      <c r="C225" s="3270"/>
      <c r="D225" s="3270"/>
      <c r="E225" s="3270"/>
      <c r="F225" s="3259">
        <v>0.05</v>
      </c>
      <c r="G225" s="3276"/>
    </row>
    <row r="226" spans="1:7">
      <c r="A226" s="3269" t="s">
        <v>304</v>
      </c>
      <c r="B226" s="3258" t="s">
        <v>3210</v>
      </c>
      <c r="C226" s="3270"/>
      <c r="D226" s="3270"/>
      <c r="E226" s="3270"/>
      <c r="F226" s="3259">
        <v>0.05</v>
      </c>
      <c r="G226" s="3276"/>
    </row>
    <row r="227" spans="1:7">
      <c r="A227" s="3269" t="s">
        <v>304</v>
      </c>
      <c r="B227" s="3258" t="s">
        <v>3211</v>
      </c>
      <c r="C227" s="3270"/>
      <c r="D227" s="3270"/>
      <c r="E227" s="3270"/>
      <c r="F227" s="3259">
        <v>0.05</v>
      </c>
      <c r="G227" s="3276"/>
    </row>
    <row r="228" spans="1:7">
      <c r="A228" s="3269" t="s">
        <v>304</v>
      </c>
      <c r="B228" s="3258" t="s">
        <v>3212</v>
      </c>
      <c r="C228" s="3270"/>
      <c r="D228" s="3270"/>
      <c r="E228" s="3270"/>
      <c r="F228" s="3259">
        <v>0.05</v>
      </c>
      <c r="G228" s="3276"/>
    </row>
    <row r="229" spans="1:7">
      <c r="A229" s="3269" t="s">
        <v>304</v>
      </c>
      <c r="B229" s="3258" t="s">
        <v>3213</v>
      </c>
      <c r="C229" s="3270"/>
      <c r="D229" s="3270"/>
      <c r="E229" s="3270"/>
      <c r="F229" s="3259">
        <v>0.05</v>
      </c>
      <c r="G229" s="3276"/>
    </row>
    <row r="230" spans="1:7">
      <c r="A230" s="3269" t="s">
        <v>304</v>
      </c>
      <c r="B230" s="3258" t="s">
        <v>3214</v>
      </c>
      <c r="C230" s="3270"/>
      <c r="D230" s="3270"/>
      <c r="E230" s="3270"/>
      <c r="F230" s="3259">
        <v>0.05</v>
      </c>
      <c r="G230" s="3276"/>
    </row>
    <row r="231" spans="1:7">
      <c r="A231" s="3269" t="s">
        <v>304</v>
      </c>
      <c r="B231" s="3258" t="s">
        <v>3215</v>
      </c>
      <c r="C231" s="3270"/>
      <c r="D231" s="3270"/>
      <c r="E231" s="3270"/>
      <c r="F231" s="3259">
        <v>0.05</v>
      </c>
      <c r="G231" s="3276"/>
    </row>
    <row r="232" spans="1:7">
      <c r="A232" s="3269" t="s">
        <v>304</v>
      </c>
      <c r="B232" s="3258" t="s">
        <v>3216</v>
      </c>
      <c r="C232" s="3270"/>
      <c r="D232" s="3270"/>
      <c r="E232" s="3270"/>
      <c r="F232" s="3259">
        <v>0.05</v>
      </c>
      <c r="G232" s="3276"/>
    </row>
    <row r="233" spans="1:7" ht="14.25" thickBot="1">
      <c r="A233" s="3272" t="s">
        <v>304</v>
      </c>
      <c r="B233" s="3262" t="s">
        <v>3217</v>
      </c>
      <c r="C233" s="3264"/>
      <c r="D233" s="3264"/>
      <c r="E233" s="3264"/>
      <c r="F233" s="3263">
        <v>0.05</v>
      </c>
      <c r="G233" s="3277"/>
    </row>
    <row r="234" spans="1:7">
      <c r="A234" s="3268" t="s">
        <v>305</v>
      </c>
      <c r="B234" s="3254" t="s">
        <v>2866</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2886</v>
      </c>
      <c r="C238" s="3259">
        <v>0.14899999999999999</v>
      </c>
      <c r="D238" s="3259">
        <v>0.14899999999999999</v>
      </c>
      <c r="E238" s="3259">
        <v>0.15</v>
      </c>
      <c r="F238" s="3259">
        <v>0.15</v>
      </c>
      <c r="G238" s="3260">
        <v>0.15</v>
      </c>
    </row>
    <row r="239" spans="1:7">
      <c r="A239" s="3269" t="s">
        <v>305</v>
      </c>
      <c r="B239" s="3258" t="s">
        <v>2890</v>
      </c>
      <c r="C239" s="3259">
        <v>0.15</v>
      </c>
      <c r="D239" s="3259">
        <v>0.15</v>
      </c>
      <c r="E239" s="3259">
        <v>0.15</v>
      </c>
      <c r="F239" s="3259">
        <v>0.15</v>
      </c>
      <c r="G239" s="3260">
        <v>0.15</v>
      </c>
    </row>
    <row r="240" spans="1:7">
      <c r="A240" s="3269" t="s">
        <v>305</v>
      </c>
      <c r="B240" s="3258" t="s">
        <v>2895</v>
      </c>
      <c r="C240" s="3259">
        <v>0.15</v>
      </c>
      <c r="D240" s="3259">
        <v>0.15</v>
      </c>
      <c r="E240" s="3259">
        <v>0.15</v>
      </c>
      <c r="F240" s="3259">
        <v>0.15</v>
      </c>
      <c r="G240" s="3260">
        <v>0.15</v>
      </c>
    </row>
    <row r="241" spans="1:7">
      <c r="A241" s="3269" t="s">
        <v>305</v>
      </c>
      <c r="B241" s="3258" t="s">
        <v>2899</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2905</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2913</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2918</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2926</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2939</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2948</v>
      </c>
      <c r="C258" s="3259">
        <v>0.14299999999999999</v>
      </c>
      <c r="D258" s="3259">
        <v>0.14299999999999999</v>
      </c>
      <c r="E258" s="3259">
        <v>0.15</v>
      </c>
      <c r="F258" s="3259">
        <v>0.14799999999999999</v>
      </c>
      <c r="G258" s="3260">
        <v>0.14599999999999999</v>
      </c>
    </row>
    <row r="259" spans="1:7">
      <c r="A259" s="3269" t="s">
        <v>305</v>
      </c>
      <c r="B259" s="3258" t="s">
        <v>2952</v>
      </c>
      <c r="C259" s="3259">
        <v>0.14399999999999999</v>
      </c>
      <c r="D259" s="3259">
        <v>0.14399999999999999</v>
      </c>
      <c r="E259" s="3259">
        <v>0.14899999999999999</v>
      </c>
      <c r="F259" s="3259">
        <v>0.14699999999999999</v>
      </c>
      <c r="G259" s="3260">
        <v>0.14599999999999999</v>
      </c>
    </row>
    <row r="260" spans="1:7">
      <c r="A260" s="3269" t="s">
        <v>305</v>
      </c>
      <c r="B260" s="3258" t="s">
        <v>2959</v>
      </c>
      <c r="C260" s="3259">
        <v>0.109</v>
      </c>
      <c r="D260" s="3259">
        <v>0.111</v>
      </c>
      <c r="E260" s="3259">
        <v>0.13100000000000001</v>
      </c>
      <c r="F260" s="3259">
        <v>0.126</v>
      </c>
      <c r="G260" s="3260">
        <v>0.11899999999999999</v>
      </c>
    </row>
    <row r="261" spans="1:7">
      <c r="A261" s="3269" t="s">
        <v>305</v>
      </c>
      <c r="B261" s="3258" t="s">
        <v>2966</v>
      </c>
      <c r="C261" s="3259">
        <v>0.1</v>
      </c>
      <c r="D261" s="3259">
        <v>0.1</v>
      </c>
      <c r="E261" s="3259">
        <v>0.11799999999999999</v>
      </c>
      <c r="F261" s="3259">
        <v>0.108</v>
      </c>
      <c r="G261" s="3260">
        <v>0.107</v>
      </c>
    </row>
    <row r="262" spans="1:7">
      <c r="A262" s="3269" t="s">
        <v>305</v>
      </c>
      <c r="B262" s="3258" t="s">
        <v>2972</v>
      </c>
      <c r="C262" s="3259">
        <v>0.1</v>
      </c>
      <c r="D262" s="3259">
        <v>0.1</v>
      </c>
      <c r="E262" s="3259">
        <v>0.1</v>
      </c>
      <c r="F262" s="3259">
        <v>0.14099999999999999</v>
      </c>
      <c r="G262" s="3260">
        <v>0.1</v>
      </c>
    </row>
    <row r="263" spans="1:7">
      <c r="A263" s="3269" t="s">
        <v>305</v>
      </c>
      <c r="B263" s="3258" t="s">
        <v>2979</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2990</v>
      </c>
      <c r="C265" s="3270"/>
      <c r="D265" s="3270"/>
      <c r="E265" s="3270"/>
      <c r="F265" s="3259">
        <v>0.05</v>
      </c>
      <c r="G265" s="3276"/>
    </row>
    <row r="266" spans="1:7">
      <c r="A266" s="3269" t="s">
        <v>305</v>
      </c>
      <c r="B266" s="3258" t="s">
        <v>2994</v>
      </c>
      <c r="C266" s="3270"/>
      <c r="D266" s="3270"/>
      <c r="E266" s="3270"/>
      <c r="F266" s="3259">
        <v>0.05</v>
      </c>
      <c r="G266" s="3276"/>
    </row>
    <row r="267" spans="1:7">
      <c r="A267" s="3269" t="s">
        <v>305</v>
      </c>
      <c r="B267" s="3258" t="s">
        <v>2999</v>
      </c>
      <c r="C267" s="3270"/>
      <c r="D267" s="3270"/>
      <c r="E267" s="3270"/>
      <c r="F267" s="3259">
        <v>0.05</v>
      </c>
      <c r="G267" s="3276"/>
    </row>
    <row r="268" spans="1:7">
      <c r="A268" s="3269" t="s">
        <v>305</v>
      </c>
      <c r="B268" s="3258" t="s">
        <v>3004</v>
      </c>
      <c r="C268" s="3270"/>
      <c r="D268" s="3270"/>
      <c r="E268" s="3270"/>
      <c r="F268" s="3259">
        <v>0.05</v>
      </c>
      <c r="G268" s="3276"/>
    </row>
    <row r="269" spans="1:7">
      <c r="A269" s="3269" t="s">
        <v>305</v>
      </c>
      <c r="B269" s="3258" t="s">
        <v>3009</v>
      </c>
      <c r="C269" s="3270"/>
      <c r="D269" s="3270"/>
      <c r="E269" s="3270"/>
      <c r="F269" s="3259">
        <v>0.05</v>
      </c>
      <c r="G269" s="3276"/>
    </row>
    <row r="270" spans="1:7">
      <c r="A270" s="3269" t="s">
        <v>305</v>
      </c>
      <c r="B270" s="3258" t="s">
        <v>3014</v>
      </c>
      <c r="C270" s="3270"/>
      <c r="D270" s="3270"/>
      <c r="E270" s="3270"/>
      <c r="F270" s="3259">
        <v>0.05</v>
      </c>
      <c r="G270" s="3276"/>
    </row>
    <row r="271" spans="1:7">
      <c r="A271" s="3269" t="s">
        <v>305</v>
      </c>
      <c r="B271" s="3258" t="s">
        <v>3218</v>
      </c>
      <c r="C271" s="3270"/>
      <c r="D271" s="3270"/>
      <c r="E271" s="3270"/>
      <c r="F271" s="3259">
        <v>0.05</v>
      </c>
      <c r="G271" s="3276"/>
    </row>
    <row r="272" spans="1:7">
      <c r="A272" s="3269" t="s">
        <v>305</v>
      </c>
      <c r="B272" s="3258" t="s">
        <v>3219</v>
      </c>
      <c r="C272" s="3270"/>
      <c r="D272" s="3270"/>
      <c r="E272" s="3270"/>
      <c r="F272" s="3259">
        <v>0.05</v>
      </c>
      <c r="G272" s="3276"/>
    </row>
    <row r="273" spans="1:7">
      <c r="A273" s="3269" t="s">
        <v>305</v>
      </c>
      <c r="B273" s="3258" t="s">
        <v>3220</v>
      </c>
      <c r="C273" s="3270"/>
      <c r="D273" s="3270"/>
      <c r="E273" s="3270"/>
      <c r="F273" s="3259">
        <v>0.05</v>
      </c>
      <c r="G273" s="3276"/>
    </row>
    <row r="274" spans="1:7">
      <c r="A274" s="3269" t="s">
        <v>305</v>
      </c>
      <c r="B274" s="3258" t="s">
        <v>3221</v>
      </c>
      <c r="C274" s="3270"/>
      <c r="D274" s="3270"/>
      <c r="E274" s="3270"/>
      <c r="F274" s="3259">
        <v>0.05</v>
      </c>
      <c r="G274" s="3276"/>
    </row>
    <row r="275" spans="1:7">
      <c r="A275" s="3269" t="s">
        <v>305</v>
      </c>
      <c r="B275" s="3258" t="s">
        <v>3222</v>
      </c>
      <c r="C275" s="3270"/>
      <c r="D275" s="3270"/>
      <c r="E275" s="3270"/>
      <c r="F275" s="3259">
        <v>0.05</v>
      </c>
      <c r="G275" s="3276"/>
    </row>
    <row r="276" spans="1:7" ht="14.25" thickBot="1">
      <c r="A276" s="3272" t="s">
        <v>305</v>
      </c>
      <c r="B276" s="3262" t="s">
        <v>3223</v>
      </c>
      <c r="C276" s="3264"/>
      <c r="D276" s="3264"/>
      <c r="E276" s="3264"/>
      <c r="F276" s="3263">
        <v>0.05</v>
      </c>
      <c r="G276" s="3277"/>
    </row>
    <row r="277" spans="1:7">
      <c r="A277" s="3268" t="s">
        <v>306</v>
      </c>
      <c r="B277" s="3254" t="s">
        <v>2867</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2879</v>
      </c>
      <c r="C279" s="3259">
        <v>0.15</v>
      </c>
      <c r="D279" s="3259">
        <v>0.15</v>
      </c>
      <c r="E279" s="3259">
        <v>0.15</v>
      </c>
      <c r="F279" s="3259">
        <v>0.15</v>
      </c>
      <c r="G279" s="3260">
        <v>0.15</v>
      </c>
    </row>
    <row r="280" spans="1:7">
      <c r="A280" s="3269" t="s">
        <v>306</v>
      </c>
      <c r="B280" s="3258" t="s">
        <v>2883</v>
      </c>
      <c r="C280" s="3259">
        <v>0.15</v>
      </c>
      <c r="D280" s="3259">
        <v>0.15</v>
      </c>
      <c r="E280" s="3259">
        <v>0.15</v>
      </c>
      <c r="F280" s="3259">
        <v>0.15</v>
      </c>
      <c r="G280" s="3260">
        <v>0.15</v>
      </c>
    </row>
    <row r="281" spans="1:7">
      <c r="A281" s="3269" t="s">
        <v>306</v>
      </c>
      <c r="B281" s="3258" t="s">
        <v>2887</v>
      </c>
      <c r="C281" s="3259">
        <v>0.15</v>
      </c>
      <c r="D281" s="3259">
        <v>0.15</v>
      </c>
      <c r="E281" s="3259">
        <v>0.15</v>
      </c>
      <c r="F281" s="3259">
        <v>0.15</v>
      </c>
      <c r="G281" s="3260">
        <v>0.15</v>
      </c>
    </row>
    <row r="282" spans="1:7">
      <c r="A282" s="3269" t="s">
        <v>306</v>
      </c>
      <c r="B282" s="3258" t="s">
        <v>2891</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2906</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2911</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2921</v>
      </c>
      <c r="C293" s="3259">
        <v>0.15</v>
      </c>
      <c r="D293" s="3259">
        <v>0.15</v>
      </c>
      <c r="E293" s="3259">
        <v>0.15</v>
      </c>
      <c r="F293" s="3259">
        <v>0.14499999999999999</v>
      </c>
      <c r="G293" s="3260">
        <v>0.15</v>
      </c>
    </row>
    <row r="294" spans="1:7">
      <c r="A294" s="3269" t="s">
        <v>306</v>
      </c>
      <c r="B294" s="3258" t="s">
        <v>2923</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2940</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2953</v>
      </c>
      <c r="C302" s="3259">
        <v>0.15</v>
      </c>
      <c r="D302" s="3259">
        <v>0.15</v>
      </c>
      <c r="E302" s="3259">
        <v>0.15</v>
      </c>
      <c r="F302" s="3259">
        <v>0.14699999999999999</v>
      </c>
      <c r="G302" s="3260">
        <v>0.15</v>
      </c>
    </row>
    <row r="303" spans="1:7">
      <c r="A303" s="3269" t="s">
        <v>306</v>
      </c>
      <c r="B303" s="3258" t="s">
        <v>2960</v>
      </c>
      <c r="C303" s="3259">
        <v>0.15</v>
      </c>
      <c r="D303" s="3259">
        <v>0.15</v>
      </c>
      <c r="E303" s="3259">
        <v>0.15</v>
      </c>
      <c r="F303" s="3259">
        <v>0.14199999999999999</v>
      </c>
      <c r="G303" s="3260">
        <v>0.15</v>
      </c>
    </row>
    <row r="304" spans="1:7">
      <c r="A304" s="3269" t="s">
        <v>306</v>
      </c>
      <c r="B304" s="3258" t="s">
        <v>2967</v>
      </c>
      <c r="C304" s="3259">
        <v>0.15</v>
      </c>
      <c r="D304" s="3259">
        <v>0.15</v>
      </c>
      <c r="E304" s="3259">
        <v>0.15</v>
      </c>
      <c r="F304" s="3259">
        <v>0.14499999999999999</v>
      </c>
      <c r="G304" s="3260">
        <v>0.15</v>
      </c>
    </row>
    <row r="305" spans="1:7">
      <c r="A305" s="3269" t="s">
        <v>306</v>
      </c>
      <c r="B305" s="3258" t="s">
        <v>2973</v>
      </c>
      <c r="C305" s="3259">
        <v>0.15</v>
      </c>
      <c r="D305" s="3259">
        <v>0.15</v>
      </c>
      <c r="E305" s="3259">
        <v>0.15</v>
      </c>
      <c r="F305" s="3259">
        <v>0.111</v>
      </c>
      <c r="G305" s="3260">
        <v>0.15</v>
      </c>
    </row>
    <row r="306" spans="1:7">
      <c r="A306" s="3269" t="s">
        <v>306</v>
      </c>
      <c r="B306" s="3258" t="s">
        <v>2980</v>
      </c>
      <c r="C306" s="3259">
        <v>0.15</v>
      </c>
      <c r="D306" s="3259">
        <v>0.15</v>
      </c>
      <c r="E306" s="3259">
        <v>0.15</v>
      </c>
      <c r="F306" s="3259">
        <v>0.126</v>
      </c>
      <c r="G306" s="3260">
        <v>0.15</v>
      </c>
    </row>
    <row r="307" spans="1:7">
      <c r="A307" s="3269" t="s">
        <v>306</v>
      </c>
      <c r="B307" s="3258" t="s">
        <v>2985</v>
      </c>
      <c r="C307" s="3259">
        <v>0.15</v>
      </c>
      <c r="D307" s="3259">
        <v>0.15</v>
      </c>
      <c r="E307" s="3259">
        <v>0.15</v>
      </c>
      <c r="F307" s="3259">
        <v>0.12</v>
      </c>
      <c r="G307" s="3260">
        <v>0.15</v>
      </c>
    </row>
    <row r="308" spans="1:7">
      <c r="A308" s="3269" t="s">
        <v>306</v>
      </c>
      <c r="B308" s="3258" t="s">
        <v>2991</v>
      </c>
      <c r="C308" s="3259">
        <v>0.15</v>
      </c>
      <c r="D308" s="3259">
        <v>0.15</v>
      </c>
      <c r="E308" s="3259">
        <v>0.15</v>
      </c>
      <c r="F308" s="3259">
        <v>0.13</v>
      </c>
      <c r="G308" s="3260">
        <v>0.15</v>
      </c>
    </row>
    <row r="309" spans="1:7">
      <c r="A309" s="3269" t="s">
        <v>306</v>
      </c>
      <c r="B309" s="3258" t="s">
        <v>2995</v>
      </c>
      <c r="C309" s="3259">
        <v>0.15</v>
      </c>
      <c r="D309" s="3259">
        <v>0.15</v>
      </c>
      <c r="E309" s="3259">
        <v>0.15</v>
      </c>
      <c r="F309" s="3259">
        <v>0.14099999999999999</v>
      </c>
      <c r="G309" s="3260">
        <v>0.15</v>
      </c>
    </row>
    <row r="310" spans="1:7">
      <c r="A310" s="3269" t="s">
        <v>306</v>
      </c>
      <c r="B310" s="3258" t="s">
        <v>3000</v>
      </c>
      <c r="C310" s="3259">
        <v>0.15</v>
      </c>
      <c r="D310" s="3259">
        <v>0.15</v>
      </c>
      <c r="E310" s="3259">
        <v>0.15</v>
      </c>
      <c r="F310" s="3259">
        <v>0.15</v>
      </c>
      <c r="G310" s="3260">
        <v>0.15</v>
      </c>
    </row>
    <row r="311" spans="1:7">
      <c r="A311" s="3269" t="s">
        <v>306</v>
      </c>
      <c r="B311" s="3258" t="s">
        <v>3005</v>
      </c>
      <c r="C311" s="3259">
        <v>0.13200000000000001</v>
      </c>
      <c r="D311" s="3259">
        <v>0.13300000000000001</v>
      </c>
      <c r="E311" s="3259">
        <v>0.14499999999999999</v>
      </c>
      <c r="F311" s="3259">
        <v>0.14199999999999999</v>
      </c>
      <c r="G311" s="3260">
        <v>0.14000000000000001</v>
      </c>
    </row>
    <row r="312" spans="1:7">
      <c r="A312" s="3269" t="s">
        <v>306</v>
      </c>
      <c r="B312" s="3258" t="s">
        <v>3010</v>
      </c>
      <c r="C312" s="3259">
        <v>0.13800000000000001</v>
      </c>
      <c r="D312" s="3259">
        <v>0.14000000000000001</v>
      </c>
      <c r="E312" s="3259">
        <v>0.14599999999999999</v>
      </c>
      <c r="F312" s="3259">
        <v>0.14899999999999999</v>
      </c>
      <c r="G312" s="3260">
        <v>0.14199999999999999</v>
      </c>
    </row>
    <row r="313" spans="1:7">
      <c r="A313" s="3269" t="s">
        <v>306</v>
      </c>
      <c r="B313" s="3258" t="s">
        <v>3015</v>
      </c>
      <c r="C313" s="3259">
        <v>0.125</v>
      </c>
      <c r="D313" s="3259">
        <v>0.127</v>
      </c>
      <c r="E313" s="3259">
        <v>0.14399999999999999</v>
      </c>
      <c r="F313" s="3259">
        <v>0.115</v>
      </c>
      <c r="G313" s="3260">
        <v>0.13600000000000001</v>
      </c>
    </row>
    <row r="314" spans="1:7">
      <c r="A314" s="3269" t="s">
        <v>306</v>
      </c>
      <c r="B314" s="3258" t="s">
        <v>3224</v>
      </c>
      <c r="C314" s="3275"/>
      <c r="D314" s="3275"/>
      <c r="E314" s="3275"/>
      <c r="F314" s="3259">
        <v>0.05</v>
      </c>
      <c r="G314" s="3276"/>
    </row>
    <row r="315" spans="1:7">
      <c r="A315" s="3269" t="s">
        <v>306</v>
      </c>
      <c r="B315" s="3258" t="s">
        <v>3225</v>
      </c>
      <c r="C315" s="3275"/>
      <c r="D315" s="3275"/>
      <c r="E315" s="3275"/>
      <c r="F315" s="3259">
        <v>0.05</v>
      </c>
      <c r="G315" s="3276"/>
    </row>
    <row r="316" spans="1:7">
      <c r="A316" s="3269" t="s">
        <v>306</v>
      </c>
      <c r="B316" s="3258" t="s">
        <v>3226</v>
      </c>
      <c r="C316" s="3270"/>
      <c r="D316" s="3270"/>
      <c r="E316" s="3270"/>
      <c r="F316" s="3259">
        <v>0.05</v>
      </c>
      <c r="G316" s="3276"/>
    </row>
    <row r="317" spans="1:7">
      <c r="A317" s="3269" t="s">
        <v>306</v>
      </c>
      <c r="B317" s="3258" t="s">
        <v>3227</v>
      </c>
      <c r="C317" s="3270"/>
      <c r="D317" s="3270"/>
      <c r="E317" s="3270"/>
      <c r="F317" s="3259">
        <v>0.05</v>
      </c>
      <c r="G317" s="3276"/>
    </row>
    <row r="318" spans="1:7">
      <c r="A318" s="3269" t="s">
        <v>306</v>
      </c>
      <c r="B318" s="3258" t="s">
        <v>3228</v>
      </c>
      <c r="C318" s="3270"/>
      <c r="D318" s="3270"/>
      <c r="E318" s="3270"/>
      <c r="F318" s="3259">
        <v>0.05</v>
      </c>
      <c r="G318" s="3276"/>
    </row>
    <row r="319" spans="1:7">
      <c r="A319" s="3269" t="s">
        <v>306</v>
      </c>
      <c r="B319" s="3258" t="s">
        <v>3229</v>
      </c>
      <c r="C319" s="3270"/>
      <c r="D319" s="3270"/>
      <c r="E319" s="3270"/>
      <c r="F319" s="3259">
        <v>0.05</v>
      </c>
      <c r="G319" s="3276"/>
    </row>
    <row r="320" spans="1:7">
      <c r="A320" s="3269" t="s">
        <v>306</v>
      </c>
      <c r="B320" s="3258" t="s">
        <v>3230</v>
      </c>
      <c r="C320" s="3270"/>
      <c r="D320" s="3270"/>
      <c r="E320" s="3270"/>
      <c r="F320" s="3259">
        <v>0.05</v>
      </c>
      <c r="G320" s="3276"/>
    </row>
    <row r="321" spans="1:7">
      <c r="A321" s="3269" t="s">
        <v>306</v>
      </c>
      <c r="B321" s="3258" t="s">
        <v>3231</v>
      </c>
      <c r="C321" s="3270"/>
      <c r="D321" s="3270"/>
      <c r="E321" s="3270"/>
      <c r="F321" s="3259">
        <v>0.05</v>
      </c>
      <c r="G321" s="3276"/>
    </row>
    <row r="322" spans="1:7">
      <c r="A322" s="3269" t="s">
        <v>306</v>
      </c>
      <c r="B322" s="3258" t="s">
        <v>3232</v>
      </c>
      <c r="C322" s="3270"/>
      <c r="D322" s="3270"/>
      <c r="E322" s="3270"/>
      <c r="F322" s="3259">
        <v>0.05</v>
      </c>
      <c r="G322" s="3276"/>
    </row>
    <row r="323" spans="1:7">
      <c r="A323" s="3269" t="s">
        <v>306</v>
      </c>
      <c r="B323" s="3258" t="s">
        <v>3233</v>
      </c>
      <c r="C323" s="3270"/>
      <c r="D323" s="3270"/>
      <c r="E323" s="3270"/>
      <c r="F323" s="3259">
        <v>0.05</v>
      </c>
      <c r="G323" s="3276"/>
    </row>
    <row r="324" spans="1:7">
      <c r="A324" s="3269" t="s">
        <v>306</v>
      </c>
      <c r="B324" s="3258" t="s">
        <v>3234</v>
      </c>
      <c r="C324" s="3270"/>
      <c r="D324" s="3270"/>
      <c r="E324" s="3270"/>
      <c r="F324" s="3259">
        <v>0.05</v>
      </c>
      <c r="G324" s="3276"/>
    </row>
    <row r="325" spans="1:7">
      <c r="A325" s="3269" t="s">
        <v>306</v>
      </c>
      <c r="B325" s="3258" t="s">
        <v>3235</v>
      </c>
      <c r="C325" s="3270"/>
      <c r="D325" s="3270"/>
      <c r="E325" s="3270"/>
      <c r="F325" s="3259">
        <v>0.05</v>
      </c>
      <c r="G325" s="3276"/>
    </row>
    <row r="326" spans="1:7" ht="14.25" thickBot="1">
      <c r="A326" s="3272" t="s">
        <v>306</v>
      </c>
      <c r="B326" s="3262" t="s">
        <v>3236</v>
      </c>
      <c r="C326" s="3264"/>
      <c r="D326" s="3264"/>
      <c r="E326" s="3264"/>
      <c r="F326" s="3263">
        <v>0.05</v>
      </c>
      <c r="G326" s="3277"/>
    </row>
    <row r="327" spans="1:7">
      <c r="A327" s="3268" t="s">
        <v>307</v>
      </c>
      <c r="B327" s="3254" t="s">
        <v>2868</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2880</v>
      </c>
      <c r="C329" s="3259">
        <v>0.15</v>
      </c>
      <c r="D329" s="3259">
        <v>0.15</v>
      </c>
      <c r="E329" s="3259">
        <v>0.15</v>
      </c>
      <c r="F329" s="3259">
        <v>0.15</v>
      </c>
      <c r="G329" s="3260">
        <v>0.15</v>
      </c>
    </row>
    <row r="330" spans="1:7">
      <c r="A330" s="3269" t="s">
        <v>307</v>
      </c>
      <c r="B330" s="3258" t="s">
        <v>2884</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2892</v>
      </c>
      <c r="C332" s="3259">
        <v>0.15</v>
      </c>
      <c r="D332" s="3259">
        <v>0.15</v>
      </c>
      <c r="E332" s="3259">
        <v>0.15</v>
      </c>
      <c r="F332" s="3259">
        <v>0.15</v>
      </c>
      <c r="G332" s="3260">
        <v>0.15</v>
      </c>
    </row>
    <row r="333" spans="1:7">
      <c r="A333" s="3269" t="s">
        <v>307</v>
      </c>
      <c r="B333" s="3258" t="s">
        <v>2896</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2902</v>
      </c>
      <c r="C336" s="3259">
        <v>0.15</v>
      </c>
      <c r="D336" s="3259">
        <v>0.15</v>
      </c>
      <c r="E336" s="3259">
        <v>0.15</v>
      </c>
      <c r="F336" s="3259">
        <v>0.14199999999999999</v>
      </c>
      <c r="G336" s="3260">
        <v>0.15</v>
      </c>
    </row>
    <row r="337" spans="1:7">
      <c r="A337" s="3269" t="s">
        <v>307</v>
      </c>
      <c r="B337" s="3258" t="s">
        <v>2907</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2914</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2919</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2927</v>
      </c>
      <c r="C345" s="3259">
        <v>0.15</v>
      </c>
      <c r="D345" s="3259">
        <v>0.15</v>
      </c>
      <c r="E345" s="3259">
        <v>0.15</v>
      </c>
      <c r="F345" s="3259">
        <v>0.13800000000000001</v>
      </c>
      <c r="G345" s="3260">
        <v>0.15</v>
      </c>
    </row>
    <row r="346" spans="1:7">
      <c r="A346" s="3269" t="s">
        <v>307</v>
      </c>
      <c r="B346" s="3258" t="s">
        <v>2929</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2936</v>
      </c>
      <c r="C348" s="3259">
        <v>0.15</v>
      </c>
      <c r="D348" s="3259">
        <v>0.15</v>
      </c>
      <c r="E348" s="3259">
        <v>0.15</v>
      </c>
      <c r="F348" s="3259">
        <v>0.14399999999999999</v>
      </c>
      <c r="G348" s="3260">
        <v>0.15</v>
      </c>
    </row>
    <row r="349" spans="1:7">
      <c r="A349" s="3269" t="s">
        <v>307</v>
      </c>
      <c r="B349" s="3258" t="s">
        <v>2941</v>
      </c>
      <c r="C349" s="3259">
        <v>0.15</v>
      </c>
      <c r="D349" s="3259">
        <v>0.15</v>
      </c>
      <c r="E349" s="3259">
        <v>0.15</v>
      </c>
      <c r="F349" s="3259">
        <v>0.15</v>
      </c>
      <c r="G349" s="3260">
        <v>0.15</v>
      </c>
    </row>
    <row r="350" spans="1:7">
      <c r="A350" s="3269" t="s">
        <v>307</v>
      </c>
      <c r="B350" s="3258" t="s">
        <v>2944</v>
      </c>
      <c r="C350" s="3259">
        <v>0.15</v>
      </c>
      <c r="D350" s="3259">
        <v>0.15</v>
      </c>
      <c r="E350" s="3259">
        <v>0.15</v>
      </c>
      <c r="F350" s="3259">
        <v>0.14699999999999999</v>
      </c>
      <c r="G350" s="3260">
        <v>0.15</v>
      </c>
    </row>
    <row r="351" spans="1:7">
      <c r="A351" s="3269" t="s">
        <v>307</v>
      </c>
      <c r="B351" s="3258" t="s">
        <v>2949</v>
      </c>
      <c r="C351" s="3259">
        <v>0.15</v>
      </c>
      <c r="D351" s="3259">
        <v>0.15</v>
      </c>
      <c r="E351" s="3259">
        <v>0.15</v>
      </c>
      <c r="F351" s="3259">
        <v>0.13</v>
      </c>
      <c r="G351" s="3260">
        <v>0.15</v>
      </c>
    </row>
    <row r="352" spans="1:7">
      <c r="A352" s="3269" t="s">
        <v>307</v>
      </c>
      <c r="B352" s="3258" t="s">
        <v>2954</v>
      </c>
      <c r="C352" s="3259">
        <v>0.15</v>
      </c>
      <c r="D352" s="3259">
        <v>0.15</v>
      </c>
      <c r="E352" s="3259">
        <v>0.15</v>
      </c>
      <c r="F352" s="3259">
        <v>0.14599999999999999</v>
      </c>
      <c r="G352" s="3260">
        <v>0.15</v>
      </c>
    </row>
    <row r="353" spans="1:7">
      <c r="A353" s="3269" t="s">
        <v>307</v>
      </c>
      <c r="B353" s="3258" t="s">
        <v>2961</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2974</v>
      </c>
      <c r="C355" s="3259">
        <v>0.15</v>
      </c>
      <c r="D355" s="3259">
        <v>0.15</v>
      </c>
      <c r="E355" s="3259">
        <v>0.15</v>
      </c>
      <c r="F355" s="3259">
        <v>0.15</v>
      </c>
      <c r="G355" s="3260">
        <v>0.15</v>
      </c>
    </row>
    <row r="356" spans="1:7">
      <c r="A356" s="3269" t="s">
        <v>307</v>
      </c>
      <c r="B356" s="3258" t="s">
        <v>2981</v>
      </c>
      <c r="C356" s="3259">
        <v>0.15</v>
      </c>
      <c r="D356" s="3259">
        <v>0.15</v>
      </c>
      <c r="E356" s="3259">
        <v>0.15</v>
      </c>
      <c r="F356" s="3259">
        <v>0.15</v>
      </c>
      <c r="G356" s="3260">
        <v>0.15</v>
      </c>
    </row>
    <row r="357" spans="1:7" ht="14.25" thickBot="1">
      <c r="A357" s="3272" t="s">
        <v>307</v>
      </c>
      <c r="B357" s="3262" t="s">
        <v>2986</v>
      </c>
      <c r="C357" s="3263">
        <v>0.126</v>
      </c>
      <c r="D357" s="3263">
        <v>0.127</v>
      </c>
      <c r="E357" s="3263">
        <v>0.14299999999999999</v>
      </c>
      <c r="F357" s="3263">
        <v>0.125</v>
      </c>
      <c r="G357" s="3265">
        <v>0.129</v>
      </c>
    </row>
    <row r="358" spans="1:7">
      <c r="A358" s="3268" t="s">
        <v>2855</v>
      </c>
      <c r="B358" s="3254" t="s">
        <v>2869</v>
      </c>
      <c r="C358" s="3255">
        <v>0.15</v>
      </c>
      <c r="D358" s="3255">
        <v>0.15</v>
      </c>
      <c r="E358" s="3255">
        <v>0.15</v>
      </c>
      <c r="F358" s="3255">
        <v>0.15</v>
      </c>
      <c r="G358" s="3256">
        <v>0.15</v>
      </c>
    </row>
    <row r="359" spans="1:7">
      <c r="A359" s="3269" t="s">
        <v>2855</v>
      </c>
      <c r="B359" s="3258" t="s">
        <v>2875</v>
      </c>
      <c r="C359" s="3259">
        <v>0.1</v>
      </c>
      <c r="D359" s="3259">
        <v>0.1</v>
      </c>
      <c r="E359" s="3259">
        <v>0.1</v>
      </c>
      <c r="F359" s="3259">
        <v>0.1</v>
      </c>
      <c r="G359" s="3260">
        <v>0.1</v>
      </c>
    </row>
    <row r="360" spans="1:7">
      <c r="A360" s="3269" t="s">
        <v>2855</v>
      </c>
      <c r="B360" s="3258" t="s">
        <v>2881</v>
      </c>
      <c r="C360" s="3259">
        <v>0.15</v>
      </c>
      <c r="D360" s="3259">
        <v>0.15</v>
      </c>
      <c r="E360" s="3259">
        <v>0.15</v>
      </c>
      <c r="F360" s="3259">
        <v>0.14899999999999999</v>
      </c>
      <c r="G360" s="3260">
        <v>0.15</v>
      </c>
    </row>
    <row r="361" spans="1:7">
      <c r="A361" s="3269" t="s">
        <v>2855</v>
      </c>
      <c r="B361" s="3258" t="s">
        <v>153</v>
      </c>
      <c r="C361" s="3259">
        <v>0.15</v>
      </c>
      <c r="D361" s="3259">
        <v>0.15</v>
      </c>
      <c r="E361" s="3259">
        <v>0.15</v>
      </c>
      <c r="F361" s="3259">
        <v>0.115</v>
      </c>
      <c r="G361" s="3260">
        <v>0.15</v>
      </c>
    </row>
    <row r="362" spans="1:7">
      <c r="A362" s="3269" t="s">
        <v>2855</v>
      </c>
      <c r="B362" s="3258" t="s">
        <v>2888</v>
      </c>
      <c r="C362" s="3259">
        <v>0.15</v>
      </c>
      <c r="D362" s="3259">
        <v>0.15</v>
      </c>
      <c r="E362" s="3259">
        <v>0.15</v>
      </c>
      <c r="F362" s="3259">
        <v>0.106</v>
      </c>
      <c r="G362" s="3260">
        <v>0.15</v>
      </c>
    </row>
    <row r="363" spans="1:7">
      <c r="A363" s="3269" t="s">
        <v>2855</v>
      </c>
      <c r="B363" s="3258" t="s">
        <v>2893</v>
      </c>
      <c r="C363" s="3259">
        <v>0.15</v>
      </c>
      <c r="D363" s="3259">
        <v>0.15</v>
      </c>
      <c r="E363" s="3259">
        <v>0.15</v>
      </c>
      <c r="F363" s="3259">
        <v>0.14699999999999999</v>
      </c>
      <c r="G363" s="3260">
        <v>0.15</v>
      </c>
    </row>
    <row r="364" spans="1:7">
      <c r="A364" s="3269" t="s">
        <v>2855</v>
      </c>
      <c r="B364" s="3258" t="s">
        <v>2897</v>
      </c>
      <c r="C364" s="3259">
        <v>0.15</v>
      </c>
      <c r="D364" s="3259">
        <v>0.15</v>
      </c>
      <c r="E364" s="3259">
        <v>0.15</v>
      </c>
      <c r="F364" s="3259">
        <v>0.14799999999999999</v>
      </c>
      <c r="G364" s="3260">
        <v>0.15</v>
      </c>
    </row>
    <row r="365" spans="1:7">
      <c r="A365" s="3269" t="s">
        <v>2855</v>
      </c>
      <c r="B365" s="3258" t="s">
        <v>200</v>
      </c>
      <c r="C365" s="3259">
        <v>0.15</v>
      </c>
      <c r="D365" s="3259">
        <v>0.15</v>
      </c>
      <c r="E365" s="3259">
        <v>0.15</v>
      </c>
      <c r="F365" s="3259">
        <v>0.15</v>
      </c>
      <c r="G365" s="3260">
        <v>0.15</v>
      </c>
    </row>
    <row r="366" spans="1:7">
      <c r="A366" s="3269" t="s">
        <v>2855</v>
      </c>
      <c r="B366" s="3258" t="s">
        <v>2900</v>
      </c>
      <c r="C366" s="3259">
        <v>0.15</v>
      </c>
      <c r="D366" s="3259">
        <v>0.15</v>
      </c>
      <c r="E366" s="3259">
        <v>0.15</v>
      </c>
      <c r="F366" s="3259">
        <v>0.15</v>
      </c>
      <c r="G366" s="3260">
        <v>0.15</v>
      </c>
    </row>
    <row r="367" spans="1:7">
      <c r="A367" s="3269" t="s">
        <v>2855</v>
      </c>
      <c r="B367" s="3258" t="s">
        <v>2903</v>
      </c>
      <c r="C367" s="3259">
        <v>0.15</v>
      </c>
      <c r="D367" s="3259">
        <v>0.15</v>
      </c>
      <c r="E367" s="3259">
        <v>0.15</v>
      </c>
      <c r="F367" s="3259">
        <v>0.14699999999999999</v>
      </c>
      <c r="G367" s="3260">
        <v>0.15</v>
      </c>
    </row>
    <row r="368" spans="1:7">
      <c r="A368" s="3269" t="s">
        <v>2855</v>
      </c>
      <c r="B368" s="3258" t="s">
        <v>2908</v>
      </c>
      <c r="C368" s="3259">
        <v>0.15</v>
      </c>
      <c r="D368" s="3259">
        <v>0.15</v>
      </c>
      <c r="E368" s="3259">
        <v>0.15</v>
      </c>
      <c r="F368" s="3259">
        <v>0.13600000000000001</v>
      </c>
      <c r="G368" s="3260">
        <v>0.15</v>
      </c>
    </row>
    <row r="369" spans="1:7">
      <c r="A369" s="3269" t="s">
        <v>2855</v>
      </c>
      <c r="B369" s="3258" t="s">
        <v>214</v>
      </c>
      <c r="C369" s="3259">
        <v>0.15</v>
      </c>
      <c r="D369" s="3259">
        <v>0.15</v>
      </c>
      <c r="E369" s="3259">
        <v>0.15</v>
      </c>
      <c r="F369" s="3259">
        <v>0.14399999999999999</v>
      </c>
      <c r="G369" s="3260">
        <v>0.15</v>
      </c>
    </row>
    <row r="370" spans="1:7">
      <c r="A370" s="3269" t="s">
        <v>2855</v>
      </c>
      <c r="B370" s="3258" t="s">
        <v>221</v>
      </c>
      <c r="C370" s="3259">
        <v>0.15</v>
      </c>
      <c r="D370" s="3259">
        <v>0.15</v>
      </c>
      <c r="E370" s="3259">
        <v>0.15</v>
      </c>
      <c r="F370" s="3259">
        <v>0.14599999999999999</v>
      </c>
      <c r="G370" s="3260">
        <v>0.15</v>
      </c>
    </row>
    <row r="371" spans="1:7">
      <c r="A371" s="3269" t="s">
        <v>2855</v>
      </c>
      <c r="B371" s="3258" t="s">
        <v>229</v>
      </c>
      <c r="C371" s="3259">
        <v>0.15</v>
      </c>
      <c r="D371" s="3259">
        <v>0.15</v>
      </c>
      <c r="E371" s="3259">
        <v>0.15</v>
      </c>
      <c r="F371" s="3259">
        <v>0.12</v>
      </c>
      <c r="G371" s="3260">
        <v>0.15</v>
      </c>
    </row>
    <row r="372" spans="1:7">
      <c r="A372" s="3269" t="s">
        <v>2855</v>
      </c>
      <c r="B372" s="3258" t="s">
        <v>2916</v>
      </c>
      <c r="C372" s="3259">
        <v>0.15</v>
      </c>
      <c r="D372" s="3259">
        <v>0.15</v>
      </c>
      <c r="E372" s="3259">
        <v>0.15</v>
      </c>
      <c r="F372" s="3259">
        <v>0.14299999999999999</v>
      </c>
      <c r="G372" s="3260">
        <v>0.15</v>
      </c>
    </row>
    <row r="373" spans="1:7">
      <c r="A373" s="3269" t="s">
        <v>2855</v>
      </c>
      <c r="B373" s="3258" t="s">
        <v>258</v>
      </c>
      <c r="C373" s="3259">
        <v>0.15</v>
      </c>
      <c r="D373" s="3259">
        <v>0.15</v>
      </c>
      <c r="E373" s="3259">
        <v>0.15</v>
      </c>
      <c r="F373" s="3259">
        <v>0.14599999999999999</v>
      </c>
      <c r="G373" s="3260">
        <v>0.15</v>
      </c>
    </row>
    <row r="374" spans="1:7">
      <c r="A374" s="3269" t="s">
        <v>2855</v>
      </c>
      <c r="B374" s="3258" t="s">
        <v>266</v>
      </c>
      <c r="C374" s="3259">
        <v>0.15</v>
      </c>
      <c r="D374" s="3259">
        <v>0.15</v>
      </c>
      <c r="E374" s="3259">
        <v>0.15</v>
      </c>
      <c r="F374" s="3259">
        <v>0.14399999999999999</v>
      </c>
      <c r="G374" s="3260">
        <v>0.15</v>
      </c>
    </row>
    <row r="375" spans="1:7">
      <c r="A375" s="3269" t="s">
        <v>2855</v>
      </c>
      <c r="B375" s="3258" t="s">
        <v>2924</v>
      </c>
      <c r="C375" s="3259">
        <v>0.15</v>
      </c>
      <c r="D375" s="3259">
        <v>0.15</v>
      </c>
      <c r="E375" s="3259">
        <v>0.15</v>
      </c>
      <c r="F375" s="3259">
        <v>0.13</v>
      </c>
      <c r="G375" s="3260">
        <v>0.15</v>
      </c>
    </row>
    <row r="376" spans="1:7">
      <c r="A376" s="3269" t="s">
        <v>2855</v>
      </c>
      <c r="B376" s="3258" t="s">
        <v>277</v>
      </c>
      <c r="C376" s="3259">
        <v>0.15</v>
      </c>
      <c r="D376" s="3259">
        <v>0.15</v>
      </c>
      <c r="E376" s="3259">
        <v>0.15</v>
      </c>
      <c r="F376" s="3259">
        <v>0.14199999999999999</v>
      </c>
      <c r="G376" s="3260">
        <v>0.15</v>
      </c>
    </row>
    <row r="377" spans="1:7" ht="14.25" thickBot="1">
      <c r="A377" s="3272" t="s">
        <v>2855</v>
      </c>
      <c r="B377" s="3262" t="s">
        <v>2930</v>
      </c>
      <c r="C377" s="3263">
        <v>0.15</v>
      </c>
      <c r="D377" s="3263">
        <v>0.15</v>
      </c>
      <c r="E377" s="3263">
        <v>0.15</v>
      </c>
      <c r="F377" s="3263">
        <v>0.14000000000000001</v>
      </c>
      <c r="G377" s="3265">
        <v>0.15</v>
      </c>
    </row>
    <row r="378" spans="1:7">
      <c r="A378" s="3268" t="s">
        <v>2856</v>
      </c>
      <c r="B378" s="3254" t="s">
        <v>2870</v>
      </c>
      <c r="C378" s="3255">
        <v>0.15</v>
      </c>
      <c r="D378" s="3255">
        <v>0.15</v>
      </c>
      <c r="E378" s="3255">
        <v>0.15</v>
      </c>
      <c r="F378" s="3255">
        <v>0.107</v>
      </c>
      <c r="G378" s="3256">
        <v>0.15</v>
      </c>
    </row>
    <row r="379" spans="1:7">
      <c r="A379" s="3269" t="s">
        <v>2856</v>
      </c>
      <c r="B379" s="3258" t="s">
        <v>2876</v>
      </c>
      <c r="C379" s="3259">
        <v>0.15</v>
      </c>
      <c r="D379" s="3259">
        <v>0.15</v>
      </c>
      <c r="E379" s="3259">
        <v>0.15</v>
      </c>
      <c r="F379" s="3259">
        <v>0.115</v>
      </c>
      <c r="G379" s="3260">
        <v>0.14899999999999999</v>
      </c>
    </row>
    <row r="380" spans="1:7">
      <c r="A380" s="3269" t="s">
        <v>2856</v>
      </c>
      <c r="B380" s="3258" t="s">
        <v>2882</v>
      </c>
      <c r="C380" s="3259">
        <v>0.15</v>
      </c>
      <c r="D380" s="3259">
        <v>0.15</v>
      </c>
      <c r="E380" s="3259">
        <v>0.15</v>
      </c>
      <c r="F380" s="3259">
        <v>0.1</v>
      </c>
      <c r="G380" s="3260">
        <v>0.14799999999999999</v>
      </c>
    </row>
    <row r="381" spans="1:7">
      <c r="A381" s="3269" t="s">
        <v>2856</v>
      </c>
      <c r="B381" s="3258" t="s">
        <v>2885</v>
      </c>
      <c r="C381" s="3259">
        <v>0.15</v>
      </c>
      <c r="D381" s="3259">
        <v>0.15</v>
      </c>
      <c r="E381" s="3259">
        <v>0.15</v>
      </c>
      <c r="F381" s="3259">
        <v>0.126</v>
      </c>
      <c r="G381" s="3260">
        <v>0.15</v>
      </c>
    </row>
    <row r="382" spans="1:7">
      <c r="A382" s="3269" t="s">
        <v>2856</v>
      </c>
      <c r="B382" s="3258" t="s">
        <v>2889</v>
      </c>
      <c r="C382" s="3259">
        <v>0.15</v>
      </c>
      <c r="D382" s="3259">
        <v>0.15</v>
      </c>
      <c r="E382" s="3259">
        <v>0.15</v>
      </c>
      <c r="F382" s="3259">
        <v>0.15</v>
      </c>
      <c r="G382" s="3260">
        <v>0.15</v>
      </c>
    </row>
    <row r="383" spans="1:7">
      <c r="A383" s="3269" t="s">
        <v>2856</v>
      </c>
      <c r="B383" s="3258" t="s">
        <v>2894</v>
      </c>
      <c r="C383" s="3259">
        <v>0.15</v>
      </c>
      <c r="D383" s="3259">
        <v>0.15</v>
      </c>
      <c r="E383" s="3259">
        <v>0.15</v>
      </c>
      <c r="F383" s="3259">
        <v>0.14699999999999999</v>
      </c>
      <c r="G383" s="3260">
        <v>0.15</v>
      </c>
    </row>
    <row r="384" spans="1:7" ht="14.25" thickBot="1">
      <c r="A384" s="3279" t="s">
        <v>2856</v>
      </c>
      <c r="B384" s="3280" t="s">
        <v>2898</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18" t="s">
        <v>3237</v>
      </c>
      <c r="B1" s="3818"/>
      <c r="C1" s="3818"/>
      <c r="D1" s="3818"/>
      <c r="E1" s="3818"/>
      <c r="F1" s="3819"/>
    </row>
    <row r="2" spans="1:6">
      <c r="A2" s="3285" t="s">
        <v>3238</v>
      </c>
      <c r="B2" s="3286"/>
      <c r="C2" s="3286"/>
      <c r="D2" s="3286"/>
      <c r="E2" s="3286"/>
      <c r="F2" s="3286"/>
    </row>
    <row r="3" spans="1:6">
      <c r="A3" s="3285" t="s">
        <v>3239</v>
      </c>
      <c r="B3" s="3286"/>
      <c r="C3" s="3286"/>
      <c r="D3" s="3286"/>
      <c r="E3" s="3286"/>
      <c r="F3" s="3287" t="s">
        <v>3240</v>
      </c>
    </row>
    <row r="4" spans="1:6">
      <c r="A4" s="3288" t="s">
        <v>672</v>
      </c>
      <c r="B4" s="3288" t="s">
        <v>673</v>
      </c>
      <c r="C4" s="3288" t="s">
        <v>21</v>
      </c>
      <c r="D4" s="3288" t="s">
        <v>674</v>
      </c>
      <c r="E4" s="3288" t="s">
        <v>3</v>
      </c>
      <c r="F4" s="3288" t="s">
        <v>3241</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G16" sqref="G16"/>
    </sheetView>
  </sheetViews>
  <sheetFormatPr defaultRowHeight="13.5"/>
  <cols>
    <col min="1" max="1" width="13.875" customWidth="1"/>
    <col min="11" max="17" width="0" hidden="1" customWidth="1"/>
    <col min="25" max="30" width="0" hidden="1" customWidth="1"/>
  </cols>
  <sheetData>
    <row r="1" spans="1:30">
      <c r="A1" s="3215">
        <f>基准地价修正!G23</f>
        <v>45035</v>
      </c>
      <c r="B1" s="3204" t="s">
        <v>2843</v>
      </c>
      <c r="C1" s="3205"/>
      <c r="D1" s="3205"/>
      <c r="E1" s="3205"/>
      <c r="F1" s="3205"/>
      <c r="G1" s="3205"/>
      <c r="H1" s="3205"/>
      <c r="I1" s="3205"/>
      <c r="J1" s="3159"/>
      <c r="K1" s="3205" t="s">
        <v>454</v>
      </c>
      <c r="L1" s="3205"/>
      <c r="M1" s="3205"/>
      <c r="N1" s="3205"/>
      <c r="O1" s="3205"/>
      <c r="P1" s="3205"/>
      <c r="Q1" s="3159"/>
      <c r="R1" s="3820" t="s">
        <v>456</v>
      </c>
      <c r="S1" s="3821"/>
      <c r="T1" s="3821"/>
      <c r="U1" s="3821"/>
      <c r="V1" s="3821"/>
      <c r="W1" s="3821"/>
      <c r="X1" s="3159"/>
      <c r="Y1" s="3820" t="s">
        <v>457</v>
      </c>
      <c r="Z1" s="3821"/>
      <c r="AA1" s="3821"/>
      <c r="AB1" s="3821"/>
      <c r="AC1" s="3821"/>
      <c r="AD1" s="3821"/>
    </row>
    <row r="2" spans="1:30" s="3137" customFormat="1" ht="14.25" thickBot="1">
      <c r="B2" s="3138"/>
      <c r="C2" s="3139"/>
      <c r="D2" s="3140" t="s">
        <v>2811</v>
      </c>
      <c r="E2" s="3141" t="s">
        <v>2812</v>
      </c>
      <c r="F2" s="3141" t="s">
        <v>2813</v>
      </c>
      <c r="G2" s="3141" t="s">
        <v>2814</v>
      </c>
      <c r="H2" s="3141" t="s">
        <v>2815</v>
      </c>
      <c r="I2" s="3141" t="s">
        <v>2632</v>
      </c>
      <c r="J2" s="3142"/>
      <c r="K2" s="3140" t="s">
        <v>2811</v>
      </c>
      <c r="L2" s="3141" t="s">
        <v>2812</v>
      </c>
      <c r="M2" s="3141" t="s">
        <v>2813</v>
      </c>
      <c r="N2" s="3141" t="s">
        <v>2814</v>
      </c>
      <c r="O2" s="3141" t="s">
        <v>2816</v>
      </c>
      <c r="P2" s="3141" t="s">
        <v>2632</v>
      </c>
      <c r="Q2" s="3142"/>
      <c r="R2" s="3140" t="s">
        <v>2811</v>
      </c>
      <c r="S2" s="3141" t="s">
        <v>2812</v>
      </c>
      <c r="T2" s="3141" t="s">
        <v>2813</v>
      </c>
      <c r="U2" s="3141" t="s">
        <v>2817</v>
      </c>
      <c r="V2" s="3141" t="s">
        <v>2818</v>
      </c>
      <c r="W2" s="3141" t="s">
        <v>2632</v>
      </c>
      <c r="X2" s="3142"/>
      <c r="Y2" s="3140" t="s">
        <v>2811</v>
      </c>
      <c r="Z2" s="3141" t="s">
        <v>2812</v>
      </c>
      <c r="AA2" s="3141" t="s">
        <v>2813</v>
      </c>
      <c r="AB2" s="3141" t="s">
        <v>2819</v>
      </c>
      <c r="AC2" s="3141" t="s">
        <v>2818</v>
      </c>
      <c r="AD2" s="3141" t="s">
        <v>2632</v>
      </c>
    </row>
    <row r="3" spans="1:30" s="3155" customFormat="1" ht="12.75">
      <c r="A3" s="3143" t="s">
        <v>2820</v>
      </c>
      <c r="B3" s="3144"/>
      <c r="C3" s="3145"/>
      <c r="D3" s="3145">
        <f>ROUND(AVERAGEIF(D4:D16,"&lt;&gt;0"),2)</f>
        <v>0.81</v>
      </c>
      <c r="E3" s="3145">
        <f t="shared" ref="E3:H3" si="0">ROUND(AVERAGEIF(E4:E16,"&lt;&gt;0"),2)</f>
        <v>0.33</v>
      </c>
      <c r="F3" s="3145">
        <f t="shared" si="0"/>
        <v>0.15</v>
      </c>
      <c r="G3" s="3145">
        <f t="shared" si="0"/>
        <v>0.89</v>
      </c>
      <c r="H3" s="3145">
        <f t="shared" si="0"/>
        <v>0.66</v>
      </c>
      <c r="I3" s="3145">
        <f>F3</f>
        <v>0.15</v>
      </c>
      <c r="J3" s="3146"/>
      <c r="K3" s="3147">
        <f>ROUND(AVERAGEIF(K4:K16,"&lt;&gt;0"),4)</f>
        <v>8.0999999999999996E-3</v>
      </c>
      <c r="L3" s="3148">
        <f t="shared" ref="L3:O3" si="1">ROUND(AVERAGEIF(L4:L16,"&lt;&gt;0"),4)</f>
        <v>3.3E-3</v>
      </c>
      <c r="M3" s="3148">
        <f t="shared" si="1"/>
        <v>1.5E-3</v>
      </c>
      <c r="N3" s="3148">
        <f t="shared" si="1"/>
        <v>8.8999999999999999E-3</v>
      </c>
      <c r="O3" s="3148">
        <f t="shared" si="1"/>
        <v>6.6E-3</v>
      </c>
      <c r="P3" s="3148">
        <f>M3</f>
        <v>1.5E-3</v>
      </c>
      <c r="Q3" s="3146"/>
      <c r="R3" s="3149">
        <f>ROUND(SUMPRODUCT(PRODUCT(1+K4:K16)),4)</f>
        <v>1.0668</v>
      </c>
      <c r="S3" s="3150">
        <f t="shared" ref="S3:V3" si="2">ROUND(SUMPRODUCT(PRODUCT(1+L4:L16)),4)</f>
        <v>1.0266999999999999</v>
      </c>
      <c r="T3" s="3150">
        <f t="shared" si="2"/>
        <v>1.0119</v>
      </c>
      <c r="U3" s="3150">
        <f t="shared" si="2"/>
        <v>1.0734999999999999</v>
      </c>
      <c r="V3" s="3150">
        <f t="shared" si="2"/>
        <v>1.054</v>
      </c>
      <c r="W3" s="3149">
        <f>T3</f>
        <v>1.0119</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3374</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1.0565</v>
      </c>
      <c r="S5" s="3177">
        <f>ROUND(IF(项目基本情况!$B$8="出让",SUMPRODUCT(PRODUCT(1+L5:$L$16)),SUMPRODUCT(PRODUCT(1+L5:$L$15))),4)</f>
        <v>1.0250999999999999</v>
      </c>
      <c r="T5" s="3177">
        <f>ROUND(IF(项目基本情况!$B$8="出让",SUMPRODUCT(PRODUCT(1+M5:$M$16)),SUMPRODUCT(PRODUCT(1+M5:$M$15))),4)</f>
        <v>1.0145</v>
      </c>
      <c r="U5" s="3177">
        <f>ROUND(IF(项目基本情况!$B$8="出让",SUMPRODUCT(PRODUCT(1+N5:$N$16)),SUMPRODUCT(PRODUCT(1+N5:$N$15))),4)</f>
        <v>1.0618000000000001</v>
      </c>
      <c r="V5" s="3177">
        <f>ROUND(IF(项目基本情况!$B$8="出让",SUMPRODUCT(PRODUCT(1+O5:$O$16)),SUMPRODUCT(PRODUCT(1+O5:$O$15))),4)</f>
        <v>1.0502</v>
      </c>
      <c r="W5" s="3177">
        <f>T5</f>
        <v>1.0145</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3375</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1.0565</v>
      </c>
      <c r="S6" s="3177">
        <f>ROUND(IF(项目基本情况!$B$8="出让",SUMPRODUCT(PRODUCT(1+L6:$L$16)),SUMPRODUCT(PRODUCT(1+L6:$L$15))),4)</f>
        <v>1.0250999999999999</v>
      </c>
      <c r="T6" s="3177">
        <f>ROUND(IF(项目基本情况!$B$8="出让",SUMPRODUCT(PRODUCT(1+M6:$M$16)),SUMPRODUCT(PRODUCT(1+M6:$M$15))),4)</f>
        <v>1.0145</v>
      </c>
      <c r="U6" s="3177">
        <f>ROUND(IF(项目基本情况!$B$8="出让",SUMPRODUCT(PRODUCT(1+N6:$N$16)),SUMPRODUCT(PRODUCT(1+N6:$N$15))),4)</f>
        <v>1.0618000000000001</v>
      </c>
      <c r="V6" s="3177">
        <f>ROUND(IF(项目基本情况!$B$8="出让",SUMPRODUCT(PRODUCT(1+O6:$O$16)),SUMPRODUCT(PRODUCT(1+O6:$O$15))),4)</f>
        <v>1.0502</v>
      </c>
      <c r="W6" s="3177">
        <f t="shared" ref="W6:W8" si="14">T6</f>
        <v>1.0145</v>
      </c>
      <c r="X6" s="3175"/>
      <c r="Y6" s="3178"/>
      <c r="Z6" s="3178"/>
      <c r="AA6" s="3178"/>
      <c r="AB6" s="3178"/>
      <c r="AC6" s="3178"/>
      <c r="AD6" s="3178"/>
    </row>
    <row r="7" spans="1:30" s="3179" customFormat="1" ht="12.75">
      <c r="A7" s="3170" t="s">
        <v>3373</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1.0565</v>
      </c>
      <c r="S7" s="3177">
        <f>ROUND(IF(项目基本情况!$B$8="出让",SUMPRODUCT(PRODUCT(1+L7:$L$16)),SUMPRODUCT(PRODUCT(1+L7:$L$15))),4)</f>
        <v>1.0250999999999999</v>
      </c>
      <c r="T7" s="3177">
        <f>ROUND(IF(项目基本情况!$B$8="出让",SUMPRODUCT(PRODUCT(1+M7:$M$16)),SUMPRODUCT(PRODUCT(1+M7:$M$15))),4)</f>
        <v>1.0145</v>
      </c>
      <c r="U7" s="3177">
        <f>ROUND(IF(项目基本情况!$B$8="出让",SUMPRODUCT(PRODUCT(1+N7:$N$16)),SUMPRODUCT(PRODUCT(1+N7:$N$15))),4)</f>
        <v>1.0618000000000001</v>
      </c>
      <c r="V7" s="3177">
        <f>ROUND(IF(项目基本情况!$B$8="出让",SUMPRODUCT(PRODUCT(1+O7:$O$16)),SUMPRODUCT(PRODUCT(1+O7:$O$15))),4)</f>
        <v>1.0502</v>
      </c>
      <c r="W7" s="3177">
        <f t="shared" si="14"/>
        <v>1.0145</v>
      </c>
      <c r="X7" s="3175"/>
      <c r="Y7" s="3178"/>
      <c r="Z7" s="3178"/>
      <c r="AA7" s="3178"/>
      <c r="AB7" s="3178"/>
      <c r="AC7" s="3178"/>
      <c r="AD7" s="3178"/>
    </row>
    <row r="8" spans="1:30" s="3179" customFormat="1" ht="12.75">
      <c r="A8" s="3170" t="s">
        <v>2821</v>
      </c>
      <c r="B8" s="3171">
        <v>2023</v>
      </c>
      <c r="C8" s="3172">
        <v>1</v>
      </c>
      <c r="D8" s="3173">
        <v>0</v>
      </c>
      <c r="E8" s="3173">
        <v>0</v>
      </c>
      <c r="F8" s="3173">
        <v>0</v>
      </c>
      <c r="G8" s="3173">
        <v>0</v>
      </c>
      <c r="H8" s="3173">
        <v>0</v>
      </c>
      <c r="I8" s="3174">
        <f t="shared" si="4"/>
        <v>0</v>
      </c>
      <c r="J8" s="3175"/>
      <c r="K8" s="3176">
        <f t="shared" si="8"/>
        <v>0</v>
      </c>
      <c r="L8" s="3166">
        <f t="shared" si="9"/>
        <v>0</v>
      </c>
      <c r="M8" s="3166">
        <f t="shared" si="10"/>
        <v>0</v>
      </c>
      <c r="N8" s="3166">
        <f t="shared" si="11"/>
        <v>0</v>
      </c>
      <c r="O8" s="3166">
        <f t="shared" si="12"/>
        <v>0</v>
      </c>
      <c r="P8" s="3166">
        <f t="shared" si="13"/>
        <v>0</v>
      </c>
      <c r="Q8" s="3175"/>
      <c r="R8" s="3177">
        <f>ROUND(IF(项目基本情况!$B$8="出让",SUMPRODUCT(PRODUCT(1+K8:$K$16)),SUMPRODUCT(PRODUCT(1+K8:$K$15))),4)</f>
        <v>1.0565</v>
      </c>
      <c r="S8" s="3177">
        <f>ROUND(IF(项目基本情况!$B$8="出让",SUMPRODUCT(PRODUCT(1+L8:$L$16)),SUMPRODUCT(PRODUCT(1+L8:$L$15))),4)</f>
        <v>1.0250999999999999</v>
      </c>
      <c r="T8" s="3177">
        <f>ROUND(IF(项目基本情况!$B$8="出让",SUMPRODUCT(PRODUCT(1+M8:$M$16)),SUMPRODUCT(PRODUCT(1+M8:$M$15))),4)</f>
        <v>1.0145</v>
      </c>
      <c r="U8" s="3177">
        <f>ROUND(IF(项目基本情况!$B$8="出让",SUMPRODUCT(PRODUCT(1+N8:$N$16)),SUMPRODUCT(PRODUCT(1+N8:$N$15))),4)</f>
        <v>1.0618000000000001</v>
      </c>
      <c r="V8" s="3177">
        <f>ROUND(IF(项目基本情况!$B$8="出让",SUMPRODUCT(PRODUCT(1+O8:$O$16)),SUMPRODUCT(PRODUCT(1+O8:$O$15))),4)</f>
        <v>1.0502</v>
      </c>
      <c r="W8" s="3177">
        <f t="shared" si="14"/>
        <v>1.0145</v>
      </c>
      <c r="X8" s="3175"/>
      <c r="Y8" s="3178"/>
      <c r="Z8" s="3178"/>
      <c r="AA8" s="3178"/>
      <c r="AB8" s="3178"/>
      <c r="AC8" s="3178"/>
      <c r="AD8" s="3178"/>
    </row>
    <row r="9" spans="1:30" s="3189" customFormat="1" ht="12.75">
      <c r="A9" s="3180" t="s">
        <v>2822</v>
      </c>
      <c r="B9" s="3181">
        <v>2022</v>
      </c>
      <c r="C9" s="3182">
        <v>4</v>
      </c>
      <c r="D9" s="3183">
        <v>0.62</v>
      </c>
      <c r="E9" s="3183">
        <v>0.2</v>
      </c>
      <c r="F9" s="3183">
        <v>0.11</v>
      </c>
      <c r="G9" s="3183">
        <v>0.69</v>
      </c>
      <c r="H9" s="3184">
        <v>0.53</v>
      </c>
      <c r="I9" s="3185">
        <f t="shared" si="4"/>
        <v>0.11</v>
      </c>
      <c r="J9" s="3186"/>
      <c r="K9" s="3187">
        <f t="shared" si="5"/>
        <v>6.1999999999999998E-3</v>
      </c>
      <c r="L9" s="3188">
        <f t="shared" si="5"/>
        <v>2E-3</v>
      </c>
      <c r="M9" s="3188">
        <f t="shared" si="5"/>
        <v>1.1000000000000001E-3</v>
      </c>
      <c r="N9" s="3188">
        <f t="shared" si="5"/>
        <v>6.8999999999999999E-3</v>
      </c>
      <c r="O9" s="3188">
        <f t="shared" si="5"/>
        <v>5.3E-3</v>
      </c>
      <c r="P9" s="3188">
        <f t="shared" ref="P9:P16" si="15">M9</f>
        <v>1.1000000000000001E-3</v>
      </c>
      <c r="Q9" s="3186"/>
      <c r="R9" s="3186">
        <f>ROUND(IF([3]项目基本情况!B8="出让",SUMPRODUCT(PRODUCT(1+K9:K16)),SUMPRODUCT(PRODUCT(1+K9:K15))),4)</f>
        <v>1.0565</v>
      </c>
      <c r="S9" s="3186">
        <f>ROUND(IF([3]项目基本情况!B8="出让",SUMPRODUCT(PRODUCT(1+L9:L16)),SUMPRODUCT(PRODUCT(1+L9:L15))),4)</f>
        <v>1.0250999999999999</v>
      </c>
      <c r="T9" s="3186">
        <f>ROUND(IF([3]项目基本情况!B8="出让",SUMPRODUCT(PRODUCT(1+M9:M16)),SUMPRODUCT(PRODUCT(1+M9:M15))),4)</f>
        <v>1.0145</v>
      </c>
      <c r="U9" s="3186">
        <f>ROUND(IF([3]项目基本情况!B8="出让",SUMPRODUCT(PRODUCT(1+N9:N16)),SUMPRODUCT(PRODUCT(1+N9:N15))),4)</f>
        <v>1.0618000000000001</v>
      </c>
      <c r="V9" s="3186">
        <f>ROUND(IF([3]项目基本情况!B8="出让",SUMPRODUCT(PRODUCT(1+O9:O16)),SUMPRODUCT(PRODUCT(1+O9:O15))),4)</f>
        <v>1.0502</v>
      </c>
      <c r="W9" s="3186">
        <f t="shared" ref="W9:W16" si="16">T9</f>
        <v>1.0145</v>
      </c>
      <c r="X9" s="3186"/>
      <c r="Y9" s="3188">
        <f>IF(D9=0,0,ROUND(AVERAGE(D9:D17)/100,4))</f>
        <v>8.0999999999999996E-3</v>
      </c>
      <c r="Z9" s="3188">
        <f t="shared" ref="Z9:AC9" si="17">IF(E9=0,0,ROUND(AVERAGE(E9:E16)/100,4))</f>
        <v>3.3E-3</v>
      </c>
      <c r="AA9" s="3188">
        <f t="shared" si="17"/>
        <v>1.5E-3</v>
      </c>
      <c r="AB9" s="3188">
        <f t="shared" si="17"/>
        <v>8.8999999999999999E-3</v>
      </c>
      <c r="AC9" s="3188">
        <f t="shared" si="17"/>
        <v>6.6E-3</v>
      </c>
      <c r="AD9" s="3188">
        <f t="shared" si="7"/>
        <v>1.5E-3</v>
      </c>
    </row>
    <row r="10" spans="1:30" s="3179" customFormat="1" ht="12.75">
      <c r="A10" s="3170" t="s">
        <v>3368</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ROUND(IF([3]项目基本情况!B8="出让",SUMPRODUCT(PRODUCT(1+K10:K16)),SUMPRODUCT(PRODUCT(1+K10:K15))),4)</f>
        <v>1.05</v>
      </c>
      <c r="S10" s="3177">
        <f>ROUND(IF([3]项目基本情况!B8="出让",SUMPRODUCT(PRODUCT(1+L10:L16)),SUMPRODUCT(PRODUCT(1+L10:L15))),4)</f>
        <v>1.0229999999999999</v>
      </c>
      <c r="T10" s="3177">
        <f>ROUND(IF([3]项目基本情况!B8="出让",SUMPRODUCT(PRODUCT(1+M10:M16)),SUMPRODUCT(PRODUCT(1+M10:M15))),4)</f>
        <v>1.0134000000000001</v>
      </c>
      <c r="U10" s="3177">
        <f>ROUND(IF([3]项目基本情况!B8="出让",SUMPRODUCT(PRODUCT(1+N10:N16)),SUMPRODUCT(PRODUCT(1+N10:N15))),4)</f>
        <v>1.0545</v>
      </c>
      <c r="V10" s="3177">
        <f>ROUND(IF([3]项目基本情况!B8="出让",SUMPRODUCT(PRODUCT(1+O10:O16)),SUMPRODUCT(PRODUCT(1+O10:O15))),4)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3359</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ROUND(IF([3]项目基本情况!B8="出让",SUMPRODUCT(PRODUCT(1+K11:K16)),SUMPRODUCT(PRODUCT(1+K11:K15))),4)</f>
        <v>1.0430999999999999</v>
      </c>
      <c r="S11" s="3177">
        <f>ROUND(IF([3]项目基本情况!B8="出让",SUMPRODUCT(PRODUCT(1+L11:L16)),SUMPRODUCT(PRODUCT(1+L11:L15))),4)</f>
        <v>1.0197000000000001</v>
      </c>
      <c r="T11" s="3177">
        <f>ROUND(IF([3]项目基本情况!B8="出让",SUMPRODUCT(PRODUCT(1+M11:M16)),SUMPRODUCT(PRODUCT(1+M11:M15))),4)</f>
        <v>1.0109999999999999</v>
      </c>
      <c r="U11" s="3177">
        <f>ROUND(IF([3]项目基本情况!B8="出让",SUMPRODUCT(PRODUCT(1+N11:N16)),SUMPRODUCT(PRODUCT(1+N11:N15))),4)</f>
        <v>1.0468999999999999</v>
      </c>
      <c r="V11" s="3177">
        <f>ROUND(IF([3]项目基本情况!B8="出让",SUMPRODUCT(PRODUCT(1+O11:O16)),SUMPRODUCT(PRODUCT(1+O11:O15))),4)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2823</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ROUND(IF([3]项目基本情况!B8="出让",SUMPRODUCT(PRODUCT(1+K12:K16)),SUMPRODUCT(PRODUCT(1+K12:K15))),4)</f>
        <v>1.0335000000000001</v>
      </c>
      <c r="S12" s="3177">
        <f>ROUND(IF([3]项目基本情况!B8="出让",SUMPRODUCT(PRODUCT(1+L12:L16)),SUMPRODUCT(PRODUCT(1+L12:L15))),4)</f>
        <v>1.0182</v>
      </c>
      <c r="T12" s="3177">
        <f>ROUND(IF([3]项目基本情况!B8="出让",SUMPRODUCT(PRODUCT(1+M12:M16)),SUMPRODUCT(PRODUCT(1+M12:M15))),4)</f>
        <v>1.0108999999999999</v>
      </c>
      <c r="U12" s="3177">
        <f>ROUND(IF([3]项目基本情况!B8="出让",SUMPRODUCT(PRODUCT(1+N12:N16)),SUMPRODUCT(PRODUCT(1+N12:N15))),4)</f>
        <v>1.0361</v>
      </c>
      <c r="V12" s="3177">
        <f>ROUND(IF([3]项目基本情况!B8="出让",SUMPRODUCT(PRODUCT(1+O12:O16)),SUMPRODUCT(PRODUCT(1+O12:O15))),4)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2824</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ROUND(IF([3]项目基本情况!B8="出让",SUMPRODUCT(PRODUCT(1+K13:K16)),SUMPRODUCT(PRODUCT(1+K13:K15))),4)</f>
        <v>1.0244</v>
      </c>
      <c r="S13" s="3177">
        <f>ROUND(IF([3]项目基本情况!B8="出让",SUMPRODUCT(PRODUCT(1+L13:L16)),SUMPRODUCT(PRODUCT(1+L13:L15))),4)</f>
        <v>1.0138</v>
      </c>
      <c r="T13" s="3177">
        <f>ROUND(IF([3]项目基本情况!B8="出让",SUMPRODUCT(PRODUCT(1+M13:M16)),SUMPRODUCT(PRODUCT(1+M13:M15))),4)</f>
        <v>1.0072000000000001</v>
      </c>
      <c r="U13" s="3177">
        <f>ROUND(IF([3]项目基本情况!B8="出让",SUMPRODUCT(PRODUCT(1+N13:N16)),SUMPRODUCT(PRODUCT(1+N13:N15))),4)</f>
        <v>1.0262</v>
      </c>
      <c r="V13" s="3177">
        <f>ROUND(IF([3]项目基本情况!B8="出让",SUMPRODUCT(PRODUCT(1+O13:O16)),SUMPRODUCT(PRODUCT(1+O13:O15))),4)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2825</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ROUND(IF([3]项目基本情况!B8="出让",SUMPRODUCT(PRODUCT(1+K14:K16)),SUMPRODUCT(PRODUCT(1+K14:K15))),4)</f>
        <v>1.0139</v>
      </c>
      <c r="S14" s="3177">
        <f>ROUND(IF([3]项目基本情况!B8="出让",SUMPRODUCT(PRODUCT(1+L14:L16)),SUMPRODUCT(PRODUCT(1+L14:L15))),4)</f>
        <v>1.0113000000000001</v>
      </c>
      <c r="T14" s="3177">
        <f>ROUND(IF([3]项目基本情况!B8="出让",SUMPRODUCT(PRODUCT(1+M14:M16)),SUMPRODUCT(PRODUCT(1+M14:M15))),4)</f>
        <v>1.0065</v>
      </c>
      <c r="U14" s="3177">
        <f>ROUND(IF([3]项目基本情况!B8="出让",SUMPRODUCT(PRODUCT(1+N14:N16)),SUMPRODUCT(PRODUCT(1+N14:N15))),4)</f>
        <v>1.0143</v>
      </c>
      <c r="V14" s="3177">
        <f>ROUND(IF([3]项目基本情况!B8="出让",SUMPRODUCT(PRODUCT(1+O14:O16)),SUMPRODUCT(PRODUCT(1+O14:O15))),4)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2826</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ROUND(IF([3]项目基本情况!B8="出让",SUMPRODUCT(PRODUCT(1+K15:K16)),SUMPRODUCT(PRODUCT(1+K15:K15))),4)</f>
        <v>1.0092000000000001</v>
      </c>
      <c r="S15" s="3177">
        <f>ROUND(IF([3]项目基本情况!B8="出让",SUMPRODUCT(PRODUCT(1+L15:L16)),SUMPRODUCT(PRODUCT(1+L15:L15))),4)</f>
        <v>1.0072000000000001</v>
      </c>
      <c r="T15" s="3177">
        <f>ROUND(IF([3]项目基本情况!B8="出让",SUMPRODUCT(PRODUCT(1+M15:M16)),SUMPRODUCT(PRODUCT(1+M15:M15))),4)</f>
        <v>1.0041</v>
      </c>
      <c r="U15" s="3177">
        <f>ROUND(IF([3]项目基本情况!B8="出让",SUMPRODUCT(PRODUCT(1+N15:N16)),SUMPRODUCT(PRODUCT(1+N15:N15))),4)</f>
        <v>1.0095000000000001</v>
      </c>
      <c r="V15" s="3177">
        <f>ROUND(IF([3]项目基本情况!B8="出让",SUMPRODUCT(PRODUCT(1+O15:O16)),SUMPRODUCT(PRODUCT(1+O15:O15))),4)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2827</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3371</v>
      </c>
    </row>
    <row r="19" spans="1:30" s="3003" customFormat="1">
      <c r="I19" s="3202" t="s">
        <v>2828</v>
      </c>
    </row>
    <row r="20" spans="1:30" s="3003" customFormat="1"/>
    <row r="21" spans="1:30" s="3203" customFormat="1" ht="12.75">
      <c r="B21" s="3204" t="s">
        <v>2829</v>
      </c>
      <c r="C21" s="3205"/>
      <c r="D21" s="3205"/>
      <c r="E21" s="3205"/>
      <c r="F21" s="3205"/>
      <c r="G21" s="3205"/>
      <c r="H21" s="3205"/>
      <c r="I21" s="3205"/>
      <c r="J21" s="3159"/>
      <c r="K21" s="3205" t="s">
        <v>2830</v>
      </c>
      <c r="L21" s="3205"/>
      <c r="M21" s="3205"/>
      <c r="N21" s="3205"/>
      <c r="O21" s="3205"/>
      <c r="P21" s="3205"/>
      <c r="Q21" s="3159"/>
      <c r="R21" s="3820" t="s">
        <v>2831</v>
      </c>
      <c r="S21" s="3821"/>
      <c r="T21" s="3821"/>
      <c r="U21" s="3821"/>
      <c r="V21" s="3821"/>
      <c r="W21" s="3821"/>
      <c r="X21" s="3159"/>
      <c r="Y21" s="3820" t="s">
        <v>2832</v>
      </c>
      <c r="Z21" s="3821"/>
      <c r="AA21" s="3821"/>
      <c r="AB21" s="3821"/>
      <c r="AC21" s="3821"/>
      <c r="AD21" s="3821"/>
    </row>
    <row r="22" spans="1:30" s="3137" customFormat="1" ht="14.25" thickBot="1">
      <c r="B22" s="3138"/>
      <c r="C22" s="3139"/>
      <c r="D22" s="3140" t="s">
        <v>2833</v>
      </c>
      <c r="E22" s="3141" t="s">
        <v>2834</v>
      </c>
      <c r="F22" s="3141" t="s">
        <v>2835</v>
      </c>
      <c r="G22" s="3141" t="s">
        <v>2836</v>
      </c>
      <c r="H22" s="3141"/>
      <c r="I22" s="3141" t="s">
        <v>2837</v>
      </c>
      <c r="J22" s="3142"/>
      <c r="K22" s="3140" t="s">
        <v>2833</v>
      </c>
      <c r="L22" s="3141" t="s">
        <v>2834</v>
      </c>
      <c r="M22" s="3141" t="s">
        <v>2835</v>
      </c>
      <c r="N22" s="3141" t="s">
        <v>2836</v>
      </c>
      <c r="O22" s="3141"/>
      <c r="P22" s="3141" t="s">
        <v>2837</v>
      </c>
      <c r="Q22" s="3142"/>
      <c r="R22" s="3140" t="s">
        <v>2833</v>
      </c>
      <c r="S22" s="3141" t="s">
        <v>2834</v>
      </c>
      <c r="T22" s="3141" t="s">
        <v>2835</v>
      </c>
      <c r="U22" s="3141" t="s">
        <v>2836</v>
      </c>
      <c r="V22" s="3141"/>
      <c r="W22" s="3141" t="s">
        <v>2837</v>
      </c>
      <c r="X22" s="3142"/>
      <c r="Y22" s="3140" t="s">
        <v>2833</v>
      </c>
      <c r="Z22" s="3141" t="s">
        <v>2834</v>
      </c>
      <c r="AA22" s="3141" t="s">
        <v>2835</v>
      </c>
      <c r="AB22" s="3141" t="s">
        <v>2836</v>
      </c>
      <c r="AC22" s="3141"/>
      <c r="AD22" s="3141" t="s">
        <v>2837</v>
      </c>
    </row>
    <row r="23" spans="1:30" s="3155" customFormat="1" ht="12.75">
      <c r="A23" s="3143" t="s">
        <v>2838</v>
      </c>
      <c r="B23" s="3144"/>
      <c r="C23" s="3145"/>
      <c r="D23" s="3145"/>
      <c r="E23" s="3145">
        <f t="shared" ref="E23:G23" si="22">ROUND(AVERAGEIF(E24:E36,"&lt;&gt;0"),2)</f>
        <v>0.4</v>
      </c>
      <c r="F23" s="3145">
        <f t="shared" si="22"/>
        <v>0.26</v>
      </c>
      <c r="G23" s="3145">
        <f t="shared" si="22"/>
        <v>0.74</v>
      </c>
      <c r="H23" s="3145"/>
      <c r="I23" s="3145">
        <f>F23</f>
        <v>0.26</v>
      </c>
      <c r="J23" s="3146"/>
      <c r="K23" s="3147"/>
      <c r="L23" s="3148">
        <f t="shared" ref="L23:N23" si="23">ROUND(AVERAGEIF(L24:L36,"&lt;&gt;0"),4)</f>
        <v>4.0000000000000001E-3</v>
      </c>
      <c r="M23" s="3148">
        <f t="shared" si="23"/>
        <v>2.5999999999999999E-3</v>
      </c>
      <c r="N23" s="3148">
        <f t="shared" si="23"/>
        <v>7.4000000000000003E-3</v>
      </c>
      <c r="O23" s="3148"/>
      <c r="P23" s="3148">
        <f>M23</f>
        <v>2.5999999999999999E-3</v>
      </c>
      <c r="Q23" s="3146"/>
      <c r="R23" s="3149"/>
      <c r="S23" s="3150">
        <f>ROUND(SUMPRODUCT(PRODUCT(1+L24:L36)),4)</f>
        <v>1.0323</v>
      </c>
      <c r="T23" s="3150">
        <f t="shared" ref="T23:U23" si="24">ROUND(SUMPRODUCT(PRODUCT(1+M24:M36)),4)</f>
        <v>1.0213000000000001</v>
      </c>
      <c r="U23" s="3150">
        <f t="shared" si="24"/>
        <v>1.0609</v>
      </c>
      <c r="V23" s="3150"/>
      <c r="W23" s="3149">
        <f>T23</f>
        <v>1.0213000000000001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3374</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ROUND(IF([3]项目基本情况!$B$8="出让",SUMPRODUCT(PRODUCT(1+L25:L$36)),SUMPRODUCT(PRODUCT(1+L25:L$35))),4)</f>
        <v>1.0286999999999999</v>
      </c>
      <c r="T25" s="3177">
        <f>ROUND(IF([3]项目基本情况!$B$8="出让",SUMPRODUCT(PRODUCT(1+M25:M$36)),SUMPRODUCT(PRODUCT(1+M25:M$35))),4)</f>
        <v>1.0164</v>
      </c>
      <c r="U25" s="3177">
        <f>ROUND(IF([3]项目基本情况!$B$8="出让",SUMPRODUCT(PRODUCT(1+N25:N$36)),SUMPRODUCT(PRODUCT(1+N25:N$35))),4)</f>
        <v>1.0506</v>
      </c>
      <c r="V25" s="3177"/>
      <c r="W25" s="3177">
        <f>T25</f>
        <v>1.0164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3375</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ROUND(IF([3]项目基本情况!$B$8="出让",SUMPRODUCT(PRODUCT(1+L26:L$36)),SUMPRODUCT(PRODUCT(1+L26:L$35))),4)</f>
        <v>1.0286999999999999</v>
      </c>
      <c r="T26" s="3177">
        <f>ROUND(IF([3]项目基本情况!$B$8="出让",SUMPRODUCT(PRODUCT(1+M26:M$36)),SUMPRODUCT(PRODUCT(1+M26:M$35))),4)</f>
        <v>1.0164</v>
      </c>
      <c r="U26" s="3177">
        <f>ROUND(IF([3]项目基本情况!$B$8="出让",SUMPRODUCT(PRODUCT(1+N26:N$36)),SUMPRODUCT(PRODUCT(1+N26:N$35))),4)</f>
        <v>1.0506</v>
      </c>
      <c r="V26" s="3177"/>
      <c r="W26" s="3177">
        <f t="shared" ref="W26:W28" si="32">T26</f>
        <v>1.0164</v>
      </c>
      <c r="X26" s="3175"/>
      <c r="Y26" s="3178"/>
      <c r="Z26" s="3206"/>
      <c r="AA26" s="3443"/>
      <c r="AB26" s="3443"/>
      <c r="AC26" s="3207"/>
      <c r="AD26" s="3178"/>
    </row>
    <row r="27" spans="1:30" s="3179" customFormat="1" ht="12.75">
      <c r="A27" s="3170" t="s">
        <v>3373</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ROUND(IF([3]项目基本情况!$B$8="出让",SUMPRODUCT(PRODUCT(1+L27:L$36)),SUMPRODUCT(PRODUCT(1+L27:L$35))),4)</f>
        <v>1.0286999999999999</v>
      </c>
      <c r="T27" s="3177">
        <f>ROUND(IF([3]项目基本情况!$B$8="出让",SUMPRODUCT(PRODUCT(1+M27:M$36)),SUMPRODUCT(PRODUCT(1+M27:M$35))),4)</f>
        <v>1.0164</v>
      </c>
      <c r="U27" s="3177">
        <f>ROUND(IF([3]项目基本情况!$B$8="出让",SUMPRODUCT(PRODUCT(1+N27:N$36)),SUMPRODUCT(PRODUCT(1+N27:N$35))),4)</f>
        <v>1.0506</v>
      </c>
      <c r="V27" s="3177"/>
      <c r="W27" s="3177">
        <f t="shared" si="32"/>
        <v>1.0164</v>
      </c>
      <c r="X27" s="3175"/>
      <c r="Y27" s="3178"/>
      <c r="Z27" s="3206"/>
      <c r="AA27" s="3443"/>
      <c r="AB27" s="3443"/>
      <c r="AC27" s="3207"/>
      <c r="AD27" s="3178"/>
    </row>
    <row r="28" spans="1:30" s="3179" customFormat="1" ht="12.75">
      <c r="A28" s="3170" t="s">
        <v>2821</v>
      </c>
      <c r="B28" s="3171">
        <v>2023</v>
      </c>
      <c r="C28" s="3172">
        <v>1</v>
      </c>
      <c r="D28" s="3173"/>
      <c r="E28" s="3173">
        <v>0</v>
      </c>
      <c r="F28" s="3173">
        <v>0</v>
      </c>
      <c r="G28" s="3173">
        <v>0</v>
      </c>
      <c r="H28" s="3190"/>
      <c r="I28" s="3174">
        <f t="shared" si="26"/>
        <v>0</v>
      </c>
      <c r="J28" s="3175"/>
      <c r="K28" s="3176"/>
      <c r="L28" s="3166">
        <f t="shared" si="28"/>
        <v>0</v>
      </c>
      <c r="M28" s="3166">
        <f t="shared" si="29"/>
        <v>0</v>
      </c>
      <c r="N28" s="3166">
        <f t="shared" si="30"/>
        <v>0</v>
      </c>
      <c r="O28" s="3166"/>
      <c r="P28" s="3166">
        <f t="shared" si="31"/>
        <v>0</v>
      </c>
      <c r="Q28" s="3175"/>
      <c r="R28" s="3177"/>
      <c r="S28" s="3177">
        <f>ROUND(IF([3]项目基本情况!$B$8="出让",SUMPRODUCT(PRODUCT(1+L28:L$36)),SUMPRODUCT(PRODUCT(1+L28:L$35))),4)</f>
        <v>1.0286999999999999</v>
      </c>
      <c r="T28" s="3177">
        <f>ROUND(IF([3]项目基本情况!$B$8="出让",SUMPRODUCT(PRODUCT(1+M28:M$36)),SUMPRODUCT(PRODUCT(1+M28:M$35))),4)</f>
        <v>1.0164</v>
      </c>
      <c r="U28" s="3177">
        <f>ROUND(IF([3]项目基本情况!$B$8="出让",SUMPRODUCT(PRODUCT(1+N28:N$36)),SUMPRODUCT(PRODUCT(1+N28:N$35))),4)</f>
        <v>1.0506</v>
      </c>
      <c r="V28" s="3177"/>
      <c r="W28" s="3177">
        <f t="shared" si="32"/>
        <v>1.0164</v>
      </c>
      <c r="X28" s="3175"/>
      <c r="Y28" s="3178"/>
      <c r="Z28" s="3206"/>
      <c r="AA28" s="3443"/>
      <c r="AB28" s="3443"/>
      <c r="AC28" s="3207"/>
      <c r="AD28" s="3178"/>
    </row>
    <row r="29" spans="1:30" s="3189" customFormat="1" ht="12.75">
      <c r="A29" s="3180" t="s">
        <v>3369</v>
      </c>
      <c r="B29" s="3181">
        <v>2022</v>
      </c>
      <c r="C29" s="3182">
        <v>4</v>
      </c>
      <c r="D29" s="3183"/>
      <c r="E29" s="3183">
        <v>0.45</v>
      </c>
      <c r="F29" s="3183">
        <v>0.2</v>
      </c>
      <c r="G29" s="3183">
        <v>0.38</v>
      </c>
      <c r="H29" s="3184"/>
      <c r="I29" s="3185">
        <f t="shared" si="26"/>
        <v>0.2</v>
      </c>
      <c r="J29" s="3186"/>
      <c r="K29" s="3187"/>
      <c r="L29" s="3188">
        <f t="shared" si="27"/>
        <v>4.5000000000000005E-3</v>
      </c>
      <c r="M29" s="3188">
        <f t="shared" si="27"/>
        <v>2E-3</v>
      </c>
      <c r="N29" s="3188">
        <f t="shared" si="27"/>
        <v>3.8E-3</v>
      </c>
      <c r="O29" s="3188"/>
      <c r="P29" s="3188">
        <f t="shared" ref="P29:P36" si="33">M29</f>
        <v>2E-3</v>
      </c>
      <c r="Q29" s="3186"/>
      <c r="R29" s="3186"/>
      <c r="S29" s="3186">
        <f>ROUND(IF([3]项目基本情况!$B$8="出让",SUMPRODUCT(PRODUCT(1+L29:L$36)),SUMPRODUCT(PRODUCT(1+L29:L$35))),4)</f>
        <v>1.0286999999999999</v>
      </c>
      <c r="T29" s="3186">
        <f>ROUND(IF([3]项目基本情况!$B$8="出让",SUMPRODUCT(PRODUCT(1+M29:M$36)),SUMPRODUCT(PRODUCT(1+M29:M$35))),4)</f>
        <v>1.0164</v>
      </c>
      <c r="U29" s="3186">
        <f>ROUND(IF([3]项目基本情况!$B$8="出让",SUMPRODUCT(PRODUCT(1+N29:N$36)),SUMPRODUCT(PRODUCT(1+N29:N$35))),4)</f>
        <v>1.0506</v>
      </c>
      <c r="V29" s="3186"/>
      <c r="W29" s="3186">
        <f t="shared" ref="W29:W36" si="34">T29</f>
        <v>1.0164</v>
      </c>
      <c r="X29" s="3186"/>
      <c r="Y29" s="3188"/>
      <c r="Z29" s="3209">
        <f t="shared" ref="Z29:AD36" si="35">IF(E29=0,0,ROUND(AVERAGE(E29:E37)/100,4))</f>
        <v>4.0000000000000001E-3</v>
      </c>
      <c r="AA29" s="3210">
        <f t="shared" si="35"/>
        <v>2.5999999999999999E-3</v>
      </c>
      <c r="AB29" s="3188">
        <f t="shared" si="35"/>
        <v>7.4000000000000003E-3</v>
      </c>
      <c r="AC29" s="3211"/>
      <c r="AD29" s="3188">
        <f t="shared" si="35"/>
        <v>2.5999999999999999E-3</v>
      </c>
    </row>
    <row r="30" spans="1:30" s="3179" customFormat="1" ht="12.75">
      <c r="A30" s="3170" t="s">
        <v>3370</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ROUND(IF([3]项目基本情况!$B$8="出让",SUMPRODUCT(PRODUCT(1+L30:L$36)),SUMPRODUCT(PRODUCT(1+L30:L$35))),4)</f>
        <v>1.0241</v>
      </c>
      <c r="T30" s="3177">
        <f>ROUND(IF([3]项目基本情况!$B$8="出让",SUMPRODUCT(PRODUCT(1+M30:M$36)),SUMPRODUCT(PRODUCT(1+M30:M$35))),4)</f>
        <v>1.0144</v>
      </c>
      <c r="U30" s="3177">
        <f>ROUND(IF([3]项目基本情况!$B$8="出让",SUMPRODUCT(PRODUCT(1+N30:N$36)),SUMPRODUCT(PRODUCT(1+N30:N$35))),4)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3359</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ROUND(IF([3]项目基本情况!$B$8="出让",SUMPRODUCT(PRODUCT(1+L31:L$36)),SUMPRODUCT(PRODUCT(1+L31:L$35))),4)</f>
        <v>1.0210999999999999</v>
      </c>
      <c r="T31" s="3177">
        <f>ROUND(IF([3]项目基本情况!$B$8="出让",SUMPRODUCT(PRODUCT(1+M31:M$36)),SUMPRODUCT(PRODUCT(1+M31:M$35))),4)</f>
        <v>1.0114000000000001</v>
      </c>
      <c r="U31" s="3177">
        <f>ROUND(IF([3]项目基本情况!$B$8="出让",SUMPRODUCT(PRODUCT(1+N31:N$36)),SUMPRODUCT(PRODUCT(1+N31:N$35))),4)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2839</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ROUND(IF([3]项目基本情况!$B$8="出让",SUMPRODUCT(PRODUCT(1+L32:L$36)),SUMPRODUCT(PRODUCT(1+L32:L$35))),4)</f>
        <v>1.0222</v>
      </c>
      <c r="T32" s="3177">
        <f>ROUND(IF([3]项目基本情况!$B$8="出让",SUMPRODUCT(PRODUCT(1+M32:M$36)),SUMPRODUCT(PRODUCT(1+M32:M$35))),4)</f>
        <v>1.0127999999999999</v>
      </c>
      <c r="U32" s="3177">
        <f>ROUND(IF([3]项目基本情况!$B$8="出让",SUMPRODUCT(PRODUCT(1+N32:N$36)),SUMPRODUCT(PRODUCT(1+N32:N$35))),4)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2840</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ROUND(IF([3]项目基本情况!$B$8="出让",SUMPRODUCT(PRODUCT(1+L33:L$36)),SUMPRODUCT(PRODUCT(1+L33:L$35))),4)</f>
        <v>1.0161</v>
      </c>
      <c r="T33" s="3177">
        <f>ROUND(IF([3]项目基本情况!$B$8="出让",SUMPRODUCT(PRODUCT(1+M33:M$36)),SUMPRODUCT(PRODUCT(1+M33:M$35))),4)</f>
        <v>1.0082</v>
      </c>
      <c r="U33" s="3177">
        <f>ROUND(IF([3]项目基本情况!$B$8="出让",SUMPRODUCT(PRODUCT(1+N33:N$36)),SUMPRODUCT(PRODUCT(1+N33:N$35))),4)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2841</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ROUND(IF([3]项目基本情况!$B$8="出让",SUMPRODUCT(PRODUCT(1+L34:L$36)),SUMPRODUCT(PRODUCT(1+L34:L$35))),4)</f>
        <v>1.0102</v>
      </c>
      <c r="T34" s="3177">
        <f>ROUND(IF([3]项目基本情况!$B$8="出让",SUMPRODUCT(PRODUCT(1+M34:M$36)),SUMPRODUCT(PRODUCT(1+M34:M$35))),4)</f>
        <v>1.0074000000000001</v>
      </c>
      <c r="U34" s="3177">
        <f>ROUND(IF([3]项目基本情况!$B$8="出让",SUMPRODUCT(PRODUCT(1+N34:N$36)),SUMPRODUCT(PRODUCT(1+N34:N$35))),4)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2842</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ROUND(IF([3]项目基本情况!$B$8="出让",SUMPRODUCT(PRODUCT(1+L35:L$36)),SUMPRODUCT(PRODUCT(1+L35:L$35))),4)</f>
        <v>1.0055000000000001</v>
      </c>
      <c r="T35" s="3177">
        <f>ROUND(IF([3]项目基本情况!$B$8="出让",SUMPRODUCT(PRODUCT(1+M35:M$36)),SUMPRODUCT(PRODUCT(1+M35:M$35))),4)</f>
        <v>1.0045999999999999</v>
      </c>
      <c r="U35" s="3177">
        <f>ROUND(IF([3]项目基本情况!$B$8="出让",SUMPRODUCT(PRODUCT(1+N35:N$36)),SUMPRODUCT(PRODUCT(1+N35:N$35))),4)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2827</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7" t="s">
        <v>452</v>
      </c>
      <c r="C1" s="3827"/>
      <c r="D1" s="3827"/>
      <c r="E1" s="3827"/>
      <c r="F1" s="3827"/>
      <c r="G1" s="3823" t="s">
        <v>453</v>
      </c>
      <c r="H1" s="3823"/>
      <c r="I1" s="3823"/>
      <c r="J1" s="3823"/>
      <c r="K1" s="3823"/>
      <c r="L1" s="3823"/>
      <c r="N1" s="3823" t="s">
        <v>454</v>
      </c>
      <c r="O1" s="3823"/>
      <c r="P1" s="3823"/>
      <c r="Q1" s="3823"/>
      <c r="S1" s="3823" t="s">
        <v>455</v>
      </c>
      <c r="T1" s="3823"/>
      <c r="U1" s="3823"/>
      <c r="V1" s="3823"/>
      <c r="X1" s="3822" t="s">
        <v>456</v>
      </c>
      <c r="Y1" s="3823"/>
      <c r="Z1" s="3823"/>
      <c r="AA1" s="3823"/>
      <c r="AB1" s="3823"/>
      <c r="AD1" s="3822" t="s">
        <v>457</v>
      </c>
      <c r="AE1" s="3823"/>
      <c r="AF1" s="3823"/>
      <c r="AG1" s="3823"/>
      <c r="AH1" s="3823"/>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3367</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0">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3364</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0">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3365</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0">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3366</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0">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2437</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9">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2314</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4">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2313</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3">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2312</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7">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2310</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6">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2309</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3">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5">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5"/>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5"/>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2"/>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28">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5"/>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5"/>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2"/>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8">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5"/>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5"/>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6"/>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4">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5"/>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5"/>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6"/>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4">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5"/>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5"/>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6"/>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9">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0"/>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0"/>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1"/>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4">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5"/>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5"/>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6"/>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4">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5">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5">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6">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4">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5">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5">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6">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4">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5">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5">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6">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4">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5">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5">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6">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4">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5">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5">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6">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4">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5">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5">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6">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4">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5">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5">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6">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4">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5">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5">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6">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4">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5">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5">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6">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4">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5">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5">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6">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45035</v>
      </c>
      <c r="D1" s="1301" t="s">
        <v>603</v>
      </c>
      <c r="E1" s="1296">
        <f>'数据-取费表'!B22</f>
        <v>3</v>
      </c>
      <c r="F1" s="1301" t="s">
        <v>604</v>
      </c>
      <c r="G1" s="1297">
        <f ca="1">INDIRECT("d"&amp;$K$1)/100</f>
        <v>3.6499999999999998E-2</v>
      </c>
      <c r="H1" s="1301" t="s">
        <v>634</v>
      </c>
      <c r="I1" s="1297">
        <f ca="1">F4/100</f>
        <v>1.4999999999999999E-2</v>
      </c>
      <c r="J1" s="1302">
        <f>IF(C1&gt;C13,0,MATCH(C1,C$13:C$109,-1))+IF(SUMIF(C13:C109,C1,D13:D109)=0,13,12)</f>
        <v>13</v>
      </c>
      <c r="K1" s="1302">
        <f ca="1">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5">
        <v>44795</v>
      </c>
      <c r="D13" s="2816">
        <v>3.65</v>
      </c>
      <c r="E13" s="2816">
        <f>D13</f>
        <v>3.65</v>
      </c>
      <c r="F13" s="2816">
        <f>D13</f>
        <v>3.65</v>
      </c>
      <c r="G13" s="2816">
        <f>D13</f>
        <v>3.65</v>
      </c>
      <c r="H13" s="2816">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0"/>
      <c r="C14" s="2812">
        <v>44701</v>
      </c>
      <c r="D14" s="2811">
        <v>3.7</v>
      </c>
      <c r="E14" s="2811">
        <f>D14</f>
        <v>3.7</v>
      </c>
      <c r="F14" s="2811">
        <f>D14</f>
        <v>3.7</v>
      </c>
      <c r="G14" s="2811">
        <f>D14</f>
        <v>3.7</v>
      </c>
      <c r="H14" s="2811">
        <v>4.45</v>
      </c>
      <c r="I14" s="2816"/>
      <c r="J14" s="2816"/>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0"/>
      <c r="C15" s="2812">
        <v>44581</v>
      </c>
      <c r="D15" s="2811">
        <v>3.7</v>
      </c>
      <c r="E15" s="2811">
        <f>D15</f>
        <v>3.7</v>
      </c>
      <c r="F15" s="2811">
        <f>D15</f>
        <v>3.7</v>
      </c>
      <c r="G15" s="2811">
        <f>D15</f>
        <v>3.7</v>
      </c>
      <c r="H15" s="2811">
        <v>4.5999999999999996</v>
      </c>
      <c r="I15" s="2816"/>
      <c r="J15" s="2816"/>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1"/>
      <c r="C16" s="2812">
        <v>44550</v>
      </c>
      <c r="D16" s="2811">
        <v>3.8</v>
      </c>
      <c r="E16" s="2811">
        <f>D16</f>
        <v>3.8</v>
      </c>
      <c r="F16" s="2811">
        <f>D16</f>
        <v>3.8</v>
      </c>
      <c r="G16" s="2811">
        <f>D16</f>
        <v>3.8</v>
      </c>
      <c r="H16" s="2811">
        <v>4.6500000000000004</v>
      </c>
      <c r="I16" s="2811"/>
      <c r="J16" s="2816"/>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1"/>
      <c r="C17" s="2812">
        <v>43941</v>
      </c>
      <c r="D17" s="2811">
        <v>3.85</v>
      </c>
      <c r="E17" s="2811">
        <v>3.85</v>
      </c>
      <c r="F17" s="2811">
        <v>3.85</v>
      </c>
      <c r="G17" s="2811">
        <v>3.85</v>
      </c>
      <c r="H17" s="2811">
        <v>4.6500000000000004</v>
      </c>
      <c r="I17" s="2811"/>
      <c r="J17" s="281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3"/>
      <c r="B19" s="2811"/>
      <c r="C19" s="2812">
        <v>43789</v>
      </c>
      <c r="D19" s="2811">
        <v>4.1500000000000004</v>
      </c>
      <c r="E19" s="2811">
        <v>4.1500000000000004</v>
      </c>
      <c r="F19" s="2811">
        <v>4.1500000000000004</v>
      </c>
      <c r="G19" s="2811">
        <v>4.1500000000000004</v>
      </c>
      <c r="H19" s="2811">
        <v>4.8</v>
      </c>
      <c r="I19" s="2811"/>
      <c r="J19" s="281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1"/>
      <c r="C20" s="2812">
        <v>43728</v>
      </c>
      <c r="D20" s="2811">
        <v>4.2</v>
      </c>
      <c r="E20" s="2811">
        <v>4.2</v>
      </c>
      <c r="F20" s="2811">
        <v>4.2</v>
      </c>
      <c r="G20" s="2811">
        <v>4.2</v>
      </c>
      <c r="H20" s="2811">
        <v>4.8499999999999996</v>
      </c>
      <c r="I20" s="2811"/>
      <c r="J20" s="281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0" t="s">
        <v>2311</v>
      </c>
      <c r="C21" s="2813">
        <v>43697</v>
      </c>
      <c r="D21" s="2814">
        <v>4.25</v>
      </c>
      <c r="E21" s="2814">
        <v>4.25</v>
      </c>
      <c r="F21" s="2814">
        <v>4.25</v>
      </c>
      <c r="G21" s="2814">
        <v>4.25</v>
      </c>
      <c r="H21" s="2814">
        <v>4.8499999999999996</v>
      </c>
      <c r="I21" s="2814"/>
      <c r="J21" s="2814"/>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7"/>
      <c r="B22" s="2818"/>
      <c r="C22" s="2819">
        <v>42301</v>
      </c>
      <c r="D22" s="2820">
        <v>4.3499999999999996</v>
      </c>
      <c r="E22" s="2820">
        <v>4.3499999999999996</v>
      </c>
      <c r="F22" s="2820">
        <v>4.75</v>
      </c>
      <c r="G22" s="2820">
        <v>4.75</v>
      </c>
      <c r="H22" s="2820">
        <v>4.9000000000000004</v>
      </c>
      <c r="I22" s="2820"/>
      <c r="J22" s="2820"/>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103" workbookViewId="0">
      <selection activeCell="N140" sqref="N140"/>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9"/>
      <c r="B3" s="3489"/>
      <c r="C3" s="3489"/>
      <c r="D3" s="854" t="s">
        <v>925</v>
      </c>
      <c r="E3" s="854" t="s">
        <v>931</v>
      </c>
      <c r="F3" s="854" t="s">
        <v>925</v>
      </c>
      <c r="G3" s="854" t="s">
        <v>926</v>
      </c>
      <c r="H3" s="854" t="s">
        <v>925</v>
      </c>
      <c r="I3" s="854" t="s">
        <v>926</v>
      </c>
    </row>
    <row r="4" spans="1:9" ht="60">
      <c r="A4" s="1504" t="str">
        <f>项目基本情况!S2</f>
        <v>北京市通州区马驹桥镇国家环保产业园区YZ00-073-6004、6006地块R2二类居住用地房地产</v>
      </c>
      <c r="B4" s="854">
        <f>项目基本情况!C17</f>
        <v>57457.869999999995</v>
      </c>
      <c r="C4" s="854">
        <f>项目基本情况!C18</f>
        <v>15906.02</v>
      </c>
      <c r="D4" s="854">
        <f ca="1">结果表!D118</f>
        <v>51190</v>
      </c>
      <c r="E4" s="854">
        <f ca="1">结果表!E118</f>
        <v>8909</v>
      </c>
      <c r="F4" s="854">
        <f ca="1">结果表!F118</f>
        <v>33703</v>
      </c>
      <c r="G4" s="854">
        <f ca="1">结果表!G118</f>
        <v>5866</v>
      </c>
      <c r="H4" s="854">
        <f ca="1">结果表!H118</f>
        <v>84893</v>
      </c>
      <c r="I4" s="854">
        <f ca="1">结果表!I118</f>
        <v>14775</v>
      </c>
    </row>
    <row r="5" spans="1:9" ht="30" customHeight="1">
      <c r="A5" s="3489" t="s">
        <v>927</v>
      </c>
      <c r="B5" s="3489"/>
      <c r="C5" s="3489"/>
      <c r="D5" s="3489" t="str">
        <f ca="1">结果表!D119</f>
        <v>伍亿壹仟壹佰玖拾万元整</v>
      </c>
      <c r="E5" s="3489"/>
      <c r="F5" s="3489" t="str">
        <f ca="1">结果表!F119</f>
        <v>叁亿叁仟柒佰零叁万元整</v>
      </c>
      <c r="G5" s="3489"/>
      <c r="H5" s="3489" t="str">
        <f ca="1">结果表!H119</f>
        <v>捌亿肆仟捌佰玖拾叁万元整</v>
      </c>
      <c r="I5" s="3489"/>
    </row>
    <row r="6" spans="1:9" ht="15.75">
      <c r="A6" s="3490" t="str">
        <f>结果表!A120</f>
        <v>估价师知悉的法定优先受偿款</v>
      </c>
      <c r="B6" s="3490"/>
      <c r="C6" s="3490"/>
      <c r="D6" s="3490">
        <f>结果表!D120</f>
        <v>0</v>
      </c>
      <c r="E6" s="3490"/>
      <c r="F6" s="3490"/>
      <c r="G6" s="3490"/>
      <c r="H6" s="3490"/>
      <c r="I6" s="3490"/>
    </row>
    <row r="7" spans="1:9" ht="15">
      <c r="A7" s="3489" t="s">
        <v>927</v>
      </c>
      <c r="B7" s="3489"/>
      <c r="C7" s="3489"/>
      <c r="D7" s="3491" t="str">
        <f>结果表!D121</f>
        <v>零元整</v>
      </c>
      <c r="E7" s="3492"/>
      <c r="F7" s="3492"/>
      <c r="G7" s="3492"/>
      <c r="H7" s="3492"/>
      <c r="I7" s="3493"/>
    </row>
    <row r="8" spans="1:9" ht="15.75">
      <c r="A8" s="3490" t="str">
        <f>结果表!A122</f>
        <v>房地产抵押价值</v>
      </c>
      <c r="B8" s="3490"/>
      <c r="C8" s="3490"/>
      <c r="D8" s="3490">
        <f ca="1">结果表!D122</f>
        <v>84893</v>
      </c>
      <c r="E8" s="3490"/>
      <c r="F8" s="3490"/>
      <c r="G8" s="3490"/>
      <c r="H8" s="3490"/>
      <c r="I8" s="3490"/>
    </row>
    <row r="9" spans="1:9" ht="15">
      <c r="A9" s="3489" t="s">
        <v>927</v>
      </c>
      <c r="B9" s="3489"/>
      <c r="C9" s="3489"/>
      <c r="D9" s="3489" t="str">
        <f ca="1">结果表!D123</f>
        <v>捌亿肆仟捌佰玖拾叁万元整</v>
      </c>
      <c r="E9" s="3489"/>
      <c r="F9" s="3489"/>
      <c r="G9" s="3489"/>
      <c r="H9" s="3489"/>
      <c r="I9" s="3489"/>
    </row>
    <row r="10" spans="1:9" ht="15.75">
      <c r="A10" s="3490" t="str">
        <f>结果表!A124</f>
        <v/>
      </c>
      <c r="B10" s="3490"/>
      <c r="C10" s="3490"/>
      <c r="D10" s="3490" t="str">
        <f>结果表!D124</f>
        <v>——</v>
      </c>
      <c r="E10" s="3490"/>
      <c r="F10" s="3490"/>
      <c r="G10" s="3490"/>
      <c r="H10" s="3490"/>
      <c r="I10" s="3490"/>
    </row>
    <row r="11" spans="1:9" ht="15">
      <c r="A11" s="3489" t="s">
        <v>927</v>
      </c>
      <c r="B11" s="3489"/>
      <c r="C11" s="3489"/>
      <c r="D11" s="3489" t="e">
        <f>结果表!D125</f>
        <v>#VALUE!</v>
      </c>
      <c r="E11" s="3489"/>
      <c r="F11" s="3489"/>
      <c r="G11" s="3489"/>
      <c r="H11" s="3489"/>
      <c r="I11" s="3489"/>
    </row>
    <row r="12" spans="1:9" ht="15.75">
      <c r="A12" s="3490" t="str">
        <f>结果表!A126</f>
        <v/>
      </c>
      <c r="B12" s="3490"/>
      <c r="C12" s="3490"/>
      <c r="D12" s="3490" t="str">
        <f>结果表!D126</f>
        <v>——</v>
      </c>
      <c r="E12" s="3490"/>
      <c r="F12" s="3490"/>
      <c r="G12" s="3490"/>
      <c r="H12" s="3490"/>
      <c r="I12" s="3490"/>
    </row>
    <row r="13" spans="1:9" ht="15.75" thickBot="1">
      <c r="A13" s="3494" t="s">
        <v>927</v>
      </c>
      <c r="B13" s="3494"/>
      <c r="C13" s="3494"/>
      <c r="D13" s="3494" t="e">
        <f>结果表!D127</f>
        <v>#VALUE!</v>
      </c>
      <c r="E13" s="3494"/>
      <c r="F13" s="3494"/>
      <c r="G13" s="3494"/>
      <c r="H13" s="3494"/>
      <c r="I13" s="3494"/>
    </row>
    <row r="14" spans="1:9" ht="15" thickTop="1">
      <c r="A14" s="3495" t="s">
        <v>932</v>
      </c>
      <c r="B14" s="3495"/>
      <c r="C14" s="3495"/>
      <c r="D14" s="3495"/>
      <c r="E14" s="3495"/>
      <c r="F14" s="3495"/>
      <c r="G14" s="3495"/>
      <c r="H14" s="3495"/>
      <c r="I14" s="349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6" t="s">
        <v>949</v>
      </c>
      <c r="B1" s="3496"/>
      <c r="C1" s="3496"/>
      <c r="D1" s="3496"/>
    </row>
    <row r="2" spans="1:4" ht="18">
      <c r="A2" s="3497" t="s">
        <v>933</v>
      </c>
      <c r="B2" s="3497"/>
      <c r="C2" s="3497"/>
      <c r="D2" s="349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7" t="s">
        <v>939</v>
      </c>
      <c r="B6" s="3497"/>
      <c r="C6" s="3497"/>
      <c r="D6" s="3497"/>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8" t="s">
        <v>942</v>
      </c>
      <c r="B11" s="3499"/>
      <c r="C11" s="3499"/>
      <c r="D11" s="3499"/>
    </row>
    <row r="12" spans="1:4" ht="15.75">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9" t="str">
        <f>IF(项目基本情况!B8="抵押","4.本次评估估价师所知悉的法定优先受偿款情况说明如下：","——")</f>
        <v>4.本次评估估价师所知悉的法定优先受偿款情况说明如下：</v>
      </c>
      <c r="B14" s="3500"/>
      <c r="C14" s="3500"/>
      <c r="D14" s="3500"/>
    </row>
    <row r="15" spans="1:4" ht="42" customHeight="1">
      <c r="A15" s="34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9"/>
      <c r="C15" s="3499"/>
      <c r="D15" s="3499"/>
    </row>
    <row r="16" spans="1:4" ht="30" customHeight="1">
      <c r="A16" s="3502" t="s">
        <v>943</v>
      </c>
      <c r="B16" s="3502"/>
      <c r="C16" s="3502"/>
      <c r="D16" s="3502"/>
    </row>
    <row r="17" spans="1:4" ht="144" customHeight="1">
      <c r="A17" s="3502" t="s">
        <v>944</v>
      </c>
      <c r="B17" s="3502"/>
      <c r="C17" s="3502"/>
      <c r="D17" s="3502"/>
    </row>
    <row r="18" spans="1:4" ht="15.75" customHeight="1">
      <c r="A18" s="3499" t="str">
        <f>IF(项目基本情况!B8="抵押",结果表!K120,"——")</f>
        <v>故，本次评估不存在估价师知悉的法定优先受偿款</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9"/>
      <c r="C20" s="3499"/>
      <c r="D20" s="3499"/>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1">
        <v>42551</v>
      </c>
      <c r="D31" s="35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0" t="s">
        <v>956</v>
      </c>
      <c r="B15" s="3505" t="s">
        <v>109</v>
      </c>
      <c r="C15" s="3506"/>
    </row>
    <row r="16" spans="1:7" ht="13.5">
      <c r="A16" s="3511"/>
      <c r="B16" s="3505" t="s">
        <v>42</v>
      </c>
      <c r="C16" s="3506"/>
    </row>
    <row r="17" spans="1:3" ht="13.5">
      <c r="A17" s="3511"/>
      <c r="B17" s="3508" t="s">
        <v>957</v>
      </c>
      <c r="C17" s="1531" t="s">
        <v>956</v>
      </c>
    </row>
    <row r="18" spans="1:3" ht="13.5">
      <c r="A18" s="3511"/>
      <c r="B18" s="3508"/>
      <c r="C18" s="1531" t="s">
        <v>958</v>
      </c>
    </row>
    <row r="19" spans="1:3" ht="13.5">
      <c r="A19" s="3511"/>
      <c r="B19" s="3508"/>
      <c r="C19" s="1531" t="s">
        <v>959</v>
      </c>
    </row>
    <row r="20" spans="1:3" ht="13.5">
      <c r="A20" s="3512"/>
      <c r="B20" s="3507" t="s">
        <v>960</v>
      </c>
      <c r="C20" s="3506"/>
    </row>
    <row r="21" spans="1:3" ht="13.5">
      <c r="A21" s="1532" t="s">
        <v>961</v>
      </c>
      <c r="B21" s="1533"/>
      <c r="C21" s="1534"/>
    </row>
    <row r="22" spans="1:3" ht="13.5">
      <c r="A22" s="3509" t="s">
        <v>962</v>
      </c>
      <c r="B22" s="3507" t="s">
        <v>963</v>
      </c>
      <c r="C22" s="3506"/>
    </row>
    <row r="23" spans="1:3" ht="13.5">
      <c r="A23" s="3509"/>
      <c r="B23" s="3507" t="s">
        <v>964</v>
      </c>
      <c r="C23" s="3506"/>
    </row>
    <row r="24" spans="1:3" ht="13.5">
      <c r="A24" s="3509"/>
      <c r="B24" s="3507" t="s">
        <v>965</v>
      </c>
      <c r="C24" s="3506"/>
    </row>
    <row r="25" spans="1:3" ht="13.5">
      <c r="A25" s="3509"/>
      <c r="B25" s="3508" t="s">
        <v>966</v>
      </c>
      <c r="C25" s="1531" t="s">
        <v>967</v>
      </c>
    </row>
    <row r="26" spans="1:3" ht="13.5">
      <c r="A26" s="3509"/>
      <c r="B26" s="3508"/>
      <c r="C26" s="1531" t="s">
        <v>968</v>
      </c>
    </row>
    <row r="27" spans="1:3" ht="13.5">
      <c r="A27" s="3509"/>
      <c r="B27" s="3508"/>
      <c r="C27" s="1531" t="s">
        <v>969</v>
      </c>
    </row>
    <row r="28" spans="1:3" ht="13.5">
      <c r="A28" s="3509"/>
      <c r="B28" s="3508"/>
      <c r="C28" s="1531" t="s">
        <v>970</v>
      </c>
    </row>
    <row r="29" spans="1:3" ht="13.5">
      <c r="A29" s="3509"/>
      <c r="B29" s="3508"/>
      <c r="C29" s="1531" t="s">
        <v>971</v>
      </c>
    </row>
    <row r="30" spans="1:3" ht="13.5">
      <c r="A30" s="3509"/>
      <c r="B30" s="3508"/>
      <c r="C30" s="1531" t="s">
        <v>972</v>
      </c>
    </row>
    <row r="31" spans="1:3" ht="13.5">
      <c r="A31" s="3509"/>
      <c r="B31" s="3508"/>
      <c r="C31" s="1531" t="s">
        <v>973</v>
      </c>
    </row>
    <row r="32" spans="1:3" ht="13.5">
      <c r="A32" s="3509"/>
      <c r="B32" s="3508"/>
      <c r="C32" s="1531" t="s">
        <v>974</v>
      </c>
    </row>
    <row r="33" spans="1:3" ht="13.5">
      <c r="A33" s="3509"/>
      <c r="B33" s="350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45035</v>
      </c>
      <c r="C2" s="2336" t="s">
        <v>2138</v>
      </c>
      <c r="D2" s="2336"/>
      <c r="E2" s="2336"/>
      <c r="F2" s="2332"/>
      <c r="G2" s="2332"/>
      <c r="H2" s="2332"/>
    </row>
    <row r="3" spans="1:8" ht="24" customHeight="1">
      <c r="A3" s="2337" t="s">
        <v>2139</v>
      </c>
      <c r="B3" s="2338" t="s">
        <v>2140</v>
      </c>
      <c r="C3" s="2338" t="s">
        <v>2141</v>
      </c>
      <c r="D3" s="2339" t="s">
        <v>2142</v>
      </c>
      <c r="E3" s="2340" t="s">
        <v>2143</v>
      </c>
      <c r="F3" s="1303" t="s">
        <v>2144</v>
      </c>
      <c r="G3" s="2338" t="s">
        <v>2141</v>
      </c>
      <c r="H3" s="2339" t="s">
        <v>2145</v>
      </c>
    </row>
    <row r="4" spans="1:8" ht="24" customHeight="1">
      <c r="A4" s="1303" t="s">
        <v>2146</v>
      </c>
      <c r="B4" s="1303">
        <f ca="1">IF(C4&lt;B2,"已过期",1119970066)</f>
        <v>1119970066</v>
      </c>
      <c r="C4" s="2341">
        <v>45937</v>
      </c>
      <c r="D4" s="2342" t="str">
        <f ca="1">A4&amp;"（注册号："&amp;B4&amp;"）"</f>
        <v>梁津（注册号：1119970066）</v>
      </c>
      <c r="E4" s="2343" t="s">
        <v>2146</v>
      </c>
      <c r="F4" s="1303">
        <f ca="1">IF(G4&lt;B2,"已过期",96010014)</f>
        <v>96010014</v>
      </c>
      <c r="G4" s="2344">
        <v>47118</v>
      </c>
      <c r="H4" s="2345" t="str">
        <f ca="1">E4&amp;"（注册号："&amp;F4&amp;"）"</f>
        <v>梁津（注册号：96010014）</v>
      </c>
    </row>
    <row r="5" spans="1:8" ht="24" customHeight="1">
      <c r="A5" s="1303" t="s">
        <v>2147</v>
      </c>
      <c r="B5" s="1303">
        <f ca="1">IF(C5&lt;B2,"已过期",1119970111)</f>
        <v>1119970111</v>
      </c>
      <c r="C5" s="2341">
        <v>45937</v>
      </c>
      <c r="D5" s="2342" t="str">
        <f t="shared" ref="D5:D15" ca="1" si="0">A5&amp;"（注册号："&amp;B5&amp;"）"</f>
        <v>叶凌（注册号：1119970111）</v>
      </c>
      <c r="E5" s="2343" t="s">
        <v>2147</v>
      </c>
      <c r="F5" s="1303">
        <f ca="1">IF(G5&lt;B2,"已过期",94010078)</f>
        <v>94010078</v>
      </c>
      <c r="G5" s="2344">
        <v>46387</v>
      </c>
      <c r="H5" s="2345" t="str">
        <f t="shared" ref="H5:H16" ca="1" si="1">E5&amp;"（注册号："&amp;F5&amp;"）"</f>
        <v>叶凌（注册号：94010078）</v>
      </c>
    </row>
    <row r="6" spans="1:8" ht="24" customHeight="1">
      <c r="A6" s="1303" t="s">
        <v>2148</v>
      </c>
      <c r="B6" s="1303">
        <f ca="1">IF(C6&lt;B2,"已过期",1120050019)</f>
        <v>1120050019</v>
      </c>
      <c r="C6" s="2341">
        <v>45410</v>
      </c>
      <c r="D6" s="2342" t="str">
        <f t="shared" ca="1" si="0"/>
        <v>王鹏（注册号：1120050019）</v>
      </c>
      <c r="E6" s="2343" t="s">
        <v>2148</v>
      </c>
      <c r="F6" s="1303">
        <f ca="1">IF(G6&lt;B2,"已过期",2002110030)</f>
        <v>2002110030</v>
      </c>
      <c r="G6" s="2344">
        <v>46387</v>
      </c>
      <c r="H6" s="2345" t="str">
        <f t="shared" ca="1" si="1"/>
        <v>王鹏（注册号：2002110030）</v>
      </c>
    </row>
    <row r="7" spans="1:8" ht="24" customHeight="1">
      <c r="A7" s="1303" t="s">
        <v>2149</v>
      </c>
      <c r="B7" s="1303">
        <f ca="1">IF(C7&lt;B2,"已过期",1120000080)</f>
        <v>1120000080</v>
      </c>
      <c r="C7" s="2341">
        <v>45937</v>
      </c>
      <c r="D7" s="2342" t="str">
        <f t="shared" ca="1" si="0"/>
        <v>欧红伟（注册号：1120000080）</v>
      </c>
      <c r="E7" s="2343" t="s">
        <v>2149</v>
      </c>
      <c r="F7" s="1303">
        <f ca="1">IF(G7&lt;B2,"已过期",2000110082)</f>
        <v>2000110082</v>
      </c>
      <c r="G7" s="2344">
        <v>46387</v>
      </c>
      <c r="H7" s="2345" t="str">
        <f t="shared" ca="1" si="1"/>
        <v>欧红伟（注册号：2000110082）</v>
      </c>
    </row>
    <row r="8" spans="1:8" ht="24" customHeight="1">
      <c r="A8" s="1303" t="s">
        <v>2150</v>
      </c>
      <c r="B8" s="1303">
        <f ca="1">IF(C8&lt;B2,"已过期",1419970001)</f>
        <v>1419970001</v>
      </c>
      <c r="C8" s="2341">
        <v>45937</v>
      </c>
      <c r="D8" s="2342" t="str">
        <f t="shared" ca="1" si="0"/>
        <v>吴薇（注册号：1419970001）</v>
      </c>
      <c r="E8" s="2343" t="s">
        <v>2150</v>
      </c>
      <c r="F8" s="1303">
        <f ca="1">IF(G8&lt;B2,"已过期",2002110125)</f>
        <v>2002110125</v>
      </c>
      <c r="G8" s="2344">
        <v>47118</v>
      </c>
      <c r="H8" s="2345" t="str">
        <f t="shared" ca="1" si="1"/>
        <v>吴薇（注册号：2002110125）</v>
      </c>
    </row>
    <row r="9" spans="1:8" ht="24" customHeight="1">
      <c r="A9" s="1303" t="s">
        <v>2151</v>
      </c>
      <c r="B9" s="1303">
        <f ca="1">IF(C9&lt;B2,"已过期",1120060040)</f>
        <v>1120060040</v>
      </c>
      <c r="C9" s="2346">
        <v>45592</v>
      </c>
      <c r="D9" s="2342" t="str">
        <f t="shared" ca="1" si="0"/>
        <v>陈颖（注册号：1120060040）</v>
      </c>
      <c r="E9" s="2343" t="s">
        <v>2151</v>
      </c>
      <c r="F9" s="1303">
        <f ca="1">IF(G9&lt;B2,"已过期",2004110096)</f>
        <v>2004110096</v>
      </c>
      <c r="G9" s="2344">
        <v>47118</v>
      </c>
      <c r="H9" s="2345" t="str">
        <f t="shared" ca="1" si="1"/>
        <v>陈颖（注册号：2004110096）</v>
      </c>
    </row>
    <row r="10" spans="1:8" ht="24" customHeight="1">
      <c r="A10" s="1303" t="s">
        <v>2152</v>
      </c>
      <c r="B10" s="1303">
        <f ca="1">IF(C10&lt;B2,"已过期",1120100036)</f>
        <v>1120100036</v>
      </c>
      <c r="C10" s="2346">
        <v>45752</v>
      </c>
      <c r="D10" s="2342" t="str">
        <f t="shared" ca="1" si="0"/>
        <v>崔锴（注册号：1120100036）</v>
      </c>
      <c r="E10" s="2343" t="s">
        <v>2152</v>
      </c>
      <c r="F10" s="1303">
        <f ca="1">IF(G10&lt;B2,"已过期",2010110070)</f>
        <v>2010110070</v>
      </c>
      <c r="G10" s="2344">
        <v>47907</v>
      </c>
      <c r="H10" s="2345" t="str">
        <f t="shared" ca="1" si="1"/>
        <v>崔锴（注册号：2010110070）</v>
      </c>
    </row>
    <row r="11" spans="1:8" ht="24" customHeight="1">
      <c r="A11" s="1303" t="s">
        <v>2153</v>
      </c>
      <c r="B11" s="1303">
        <f ca="1">IF(C11&lt;B2,"已过期",1120070131)</f>
        <v>1120070131</v>
      </c>
      <c r="C11" s="2341">
        <v>45937</v>
      </c>
      <c r="D11" s="2342" t="str">
        <f t="shared" ca="1" si="0"/>
        <v>郑燚（注册号：1120070131）</v>
      </c>
      <c r="E11" s="2343" t="s">
        <v>2153</v>
      </c>
      <c r="F11" s="1303">
        <f ca="1">IF(G11&lt;B2,"已过期",2014110011)</f>
        <v>2014110011</v>
      </c>
      <c r="G11" s="2344">
        <v>49302</v>
      </c>
      <c r="H11" s="2345" t="str">
        <f t="shared" ca="1" si="1"/>
        <v>郑燚（注册号：2014110011）</v>
      </c>
    </row>
    <row r="12" spans="1:8" ht="24" customHeight="1">
      <c r="A12" s="1303" t="s">
        <v>2154</v>
      </c>
      <c r="B12" s="1303">
        <f ca="1">IF(C12&lt;B2,"已过期",1120040230)</f>
        <v>1120040230</v>
      </c>
      <c r="C12" s="2346">
        <v>45937</v>
      </c>
      <c r="D12" s="2342" t="str">
        <f t="shared" ca="1" si="0"/>
        <v>苏海（注册号：1120040230）</v>
      </c>
      <c r="E12" s="2343" t="s">
        <v>2154</v>
      </c>
      <c r="F12" s="1303">
        <f ca="1">IF(G12&lt;B2,"已过期",98030020)</f>
        <v>98030020</v>
      </c>
      <c r="G12" s="2344">
        <v>47118</v>
      </c>
      <c r="H12" s="2345" t="str">
        <f t="shared" ca="1" si="1"/>
        <v>苏海（注册号：98030020）</v>
      </c>
    </row>
    <row r="13" spans="1:8" ht="24" customHeight="1">
      <c r="A13" s="1303" t="s">
        <v>2155</v>
      </c>
      <c r="B13" s="1303">
        <f ca="1">IF(C13&lt;B2,"已过期",1120020033)</f>
        <v>1120020033</v>
      </c>
      <c r="C13" s="2341">
        <v>45375</v>
      </c>
      <c r="D13" s="2342" t="str">
        <f t="shared" ca="1" si="0"/>
        <v>刘敬东（注册号：1120020033）</v>
      </c>
      <c r="E13" s="2343" t="s">
        <v>2155</v>
      </c>
      <c r="F13" s="1303">
        <f ca="1">IF(G13&lt;B2,"已过期",2000110137)</f>
        <v>2000110137</v>
      </c>
      <c r="G13" s="2344">
        <v>46387</v>
      </c>
      <c r="H13" s="2345" t="str">
        <f t="shared" ca="1" si="1"/>
        <v>刘敬东（注册号：2000110137）</v>
      </c>
    </row>
    <row r="14" spans="1:8" ht="24" customHeight="1">
      <c r="A14" s="1303" t="s">
        <v>2156</v>
      </c>
      <c r="B14" s="1303" t="str">
        <f ca="1">IF(C14&lt;B2,"已过期",1119980106)</f>
        <v>已过期</v>
      </c>
      <c r="C14" s="2346">
        <v>44969</v>
      </c>
      <c r="D14" s="2342" t="str">
        <f t="shared" ca="1" si="0"/>
        <v>刘俊财（注册号：已过期）</v>
      </c>
      <c r="E14" s="2343" t="s">
        <v>2156</v>
      </c>
      <c r="F14" s="1303">
        <f ca="1">IF(G14&lt;B2,"已过期",96010063)</f>
        <v>96010063</v>
      </c>
      <c r="G14" s="2344">
        <v>47483</v>
      </c>
      <c r="H14" s="2345" t="str">
        <f t="shared" ca="1" si="1"/>
        <v>刘俊财（注册号：96010063）</v>
      </c>
    </row>
    <row r="15" spans="1:8" ht="24" customHeight="1">
      <c r="A15" s="1303" t="s">
        <v>2438</v>
      </c>
      <c r="B15" s="1303">
        <v>1120210056</v>
      </c>
      <c r="C15" s="2346">
        <v>45410</v>
      </c>
      <c r="D15" s="2342" t="str">
        <f t="shared" si="0"/>
        <v>宁小鳗（注册号：1120210056）</v>
      </c>
      <c r="E15" s="2343" t="s">
        <v>2157</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13" t="s">
        <v>2158</v>
      </c>
      <c r="B17" s="3513"/>
      <c r="C17" s="3513"/>
      <c r="D17" s="3513"/>
      <c r="E17" s="3513"/>
      <c r="F17" s="3513"/>
      <c r="G17" s="3513"/>
      <c r="H17" s="3513"/>
    </row>
    <row r="18" spans="1:8" ht="24" customHeight="1">
      <c r="A18" s="3514" t="s">
        <v>2159</v>
      </c>
      <c r="B18" s="3514"/>
      <c r="C18" s="3514"/>
      <c r="D18" s="2339"/>
      <c r="E18" s="3515" t="s">
        <v>2160</v>
      </c>
      <c r="F18" s="3514"/>
      <c r="G18" s="3514"/>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2439</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抵押物清单</vt:lpstr>
      <vt:lpstr>截至3月已售</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收益法</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2023-04-19T12:57:35Z</dcterms:modified>
</cp:coreProperties>
</file>