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320" windowHeight="150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49" i="15" l="1"/>
  <c r="C14" i="74"/>
  <c r="B14" i="74"/>
  <c r="I34" i="40" l="1"/>
  <c r="G34" i="40"/>
  <c r="E34" i="40"/>
  <c r="C34" i="40"/>
  <c r="D66" i="40"/>
  <c r="E66" i="40" s="1"/>
  <c r="F66" i="40" s="1"/>
  <c r="G66" i="40" s="1"/>
  <c r="H66" i="40" s="1"/>
  <c r="I66" i="40" s="1"/>
  <c r="J66" i="40" s="1"/>
  <c r="I7" i="40"/>
  <c r="G7" i="40"/>
  <c r="E7" i="40"/>
  <c r="M61" i="81"/>
  <c r="M60" i="81"/>
  <c r="M59" i="81"/>
  <c r="M58" i="81"/>
  <c r="M57" i="81"/>
  <c r="M56" i="81"/>
  <c r="M55" i="81"/>
  <c r="M54" i="81"/>
  <c r="M53" i="81"/>
  <c r="M52" i="81"/>
  <c r="M51" i="81"/>
  <c r="M50" i="81"/>
  <c r="M49" i="81"/>
  <c r="M48" i="81"/>
  <c r="M47" i="81"/>
  <c r="M46" i="81"/>
  <c r="M45" i="81"/>
  <c r="M44" i="81"/>
  <c r="M43" i="81"/>
  <c r="M42" i="81"/>
  <c r="M41" i="81"/>
  <c r="M40" i="81"/>
  <c r="M39" i="81"/>
  <c r="M38" i="81"/>
  <c r="M37" i="81"/>
  <c r="M36" i="81"/>
  <c r="M35" i="81"/>
  <c r="M34" i="81"/>
  <c r="M33" i="81"/>
  <c r="M32" i="81"/>
  <c r="M31" i="81"/>
  <c r="M30" i="81"/>
  <c r="M29" i="81"/>
  <c r="M28" i="81"/>
  <c r="M27" i="81"/>
  <c r="M26" i="81"/>
  <c r="P25" i="81"/>
  <c r="Q25" i="81" s="1"/>
  <c r="M25" i="81"/>
  <c r="M24" i="81"/>
  <c r="M23" i="81"/>
  <c r="M22" i="81"/>
  <c r="M21" i="81"/>
  <c r="M20" i="81"/>
  <c r="P19" i="81"/>
  <c r="Q19" i="81" s="1"/>
  <c r="I41" i="40" s="1"/>
  <c r="M19" i="81"/>
  <c r="M18" i="81"/>
  <c r="M17" i="81"/>
  <c r="M16" i="81"/>
  <c r="P15" i="81"/>
  <c r="M15" i="81"/>
  <c r="M14" i="81"/>
  <c r="M13" i="81"/>
  <c r="P12" i="81"/>
  <c r="Q12" i="81" s="1"/>
  <c r="G41" i="40" s="1"/>
  <c r="M12" i="81"/>
  <c r="P11" i="81"/>
  <c r="Q11" i="81" s="1"/>
  <c r="E41" i="40" s="1"/>
  <c r="M11" i="81"/>
  <c r="M10" i="81"/>
  <c r="M9" i="81"/>
  <c r="M8" i="81"/>
  <c r="M7" i="81"/>
  <c r="M6" i="81"/>
  <c r="M5" i="81"/>
  <c r="M4" i="81"/>
  <c r="M3" i="81"/>
  <c r="M2" i="81"/>
  <c r="B6" i="78"/>
  <c r="D33" i="43"/>
  <c r="N19" i="1"/>
  <c r="N6" i="1" s="1"/>
  <c r="Y6" i="1" s="1"/>
  <c r="F19" i="6"/>
  <c r="B5" i="78" l="1"/>
  <c r="B7" i="78"/>
  <c r="L26" i="79"/>
  <c r="M26" i="79"/>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7" i="79"/>
  <c r="W7" i="79" s="1"/>
  <c r="T6" i="79"/>
  <c r="W6" i="79" s="1"/>
  <c r="V9" i="79"/>
  <c r="V8" i="79"/>
  <c r="V7" i="79"/>
  <c r="V6" i="79"/>
  <c r="T28" i="79"/>
  <c r="W28" i="79" s="1"/>
  <c r="T26" i="79"/>
  <c r="W26" i="79" s="1"/>
  <c r="T27" i="79"/>
  <c r="W27" i="79" s="1"/>
  <c r="P5" i="79"/>
  <c r="S9" i="79"/>
  <c r="S8" i="79"/>
  <c r="S7" i="79"/>
  <c r="S6" i="79"/>
  <c r="U9" i="79"/>
  <c r="U8" i="79"/>
  <c r="U7" i="79"/>
  <c r="U6" i="79"/>
  <c r="S27" i="79"/>
  <c r="S28" i="79"/>
  <c r="S26" i="79"/>
  <c r="U29" i="79"/>
  <c r="U27" i="79"/>
  <c r="U26" i="79"/>
  <c r="U28"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c r="C63"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C51" i="71"/>
  <c r="D50" i="71"/>
  <c r="P28" i="71"/>
  <c r="E55" i="71"/>
  <c r="E56" i="71" s="1"/>
  <c r="U56" i="71" s="1"/>
  <c r="E63" i="71"/>
  <c r="E64" i="71" s="1"/>
  <c r="U64" i="71" s="1"/>
  <c r="U68" i="71"/>
  <c r="E67" i="71"/>
  <c r="Q28" i="71"/>
  <c r="AB25" i="71" s="1"/>
  <c r="D54" i="71"/>
  <c r="C59" i="71"/>
  <c r="D58" i="71"/>
  <c r="D62" i="71"/>
  <c r="B66" i="71"/>
  <c r="N66" i="71" s="1"/>
  <c r="T68" i="71"/>
  <c r="D68" i="71"/>
  <c r="Q68" i="71"/>
  <c r="C71" i="71"/>
  <c r="E71" i="71"/>
  <c r="E70" i="71" s="1"/>
  <c r="D72" i="71"/>
  <c r="E75" i="71"/>
  <c r="E74" i="71" s="1"/>
  <c r="D76" i="71"/>
  <c r="C79" i="71"/>
  <c r="E79" i="71"/>
  <c r="E78" i="71" s="1"/>
  <c r="D80" i="71"/>
  <c r="C83" i="71"/>
  <c r="C87" i="71"/>
  <c r="C86" i="71" s="1"/>
  <c r="D86" i="71" s="1"/>
  <c r="F28" i="71"/>
  <c r="F27" i="71" s="1"/>
  <c r="F26" i="71" s="1"/>
  <c r="AB26" i="71"/>
  <c r="AB28" i="71"/>
  <c r="E28" i="71"/>
  <c r="E27" i="71"/>
  <c r="E26" i="71" s="1"/>
  <c r="AA3" i="71"/>
  <c r="AA26" i="71"/>
  <c r="AA28" i="71"/>
  <c r="D83" i="71"/>
  <c r="C82" i="71"/>
  <c r="D82" i="71"/>
  <c r="N65" i="71"/>
  <c r="D87" i="71"/>
  <c r="D79" i="71"/>
  <c r="C78" i="71"/>
  <c r="D78" i="71" s="1"/>
  <c r="D71" i="71"/>
  <c r="C70" i="71"/>
  <c r="D70" i="71"/>
  <c r="C60" i="71"/>
  <c r="D59" i="71"/>
  <c r="P67" i="71"/>
  <c r="E66" i="71"/>
  <c r="P65" i="71" s="1"/>
  <c r="C52" i="71"/>
  <c r="D51" i="71"/>
  <c r="D43" i="71"/>
  <c r="D39" i="71"/>
  <c r="D35" i="71"/>
  <c r="D31" i="71"/>
  <c r="V28" i="71"/>
  <c r="P66"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Q21" i="37"/>
  <c r="Z21" i="37" s="1"/>
  <c r="D77" i="37"/>
  <c r="E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4"/>
  <c r="AB21" i="21"/>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c r="F90" i="40" s="1"/>
  <c r="G90" i="40"/>
  <c r="D88" i="40"/>
  <c r="E88" i="40"/>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s="1"/>
  <c r="J23" i="34"/>
  <c r="F19" i="34"/>
  <c r="H17" i="34"/>
  <c r="U17" i="34" s="1"/>
  <c r="F15" i="34"/>
  <c r="J15" i="34"/>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F83" i="43"/>
  <c r="H85" i="43" s="1"/>
  <c r="G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AB17" i="33"/>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7" i="15"/>
  <c r="F37" i="15"/>
  <c r="E9" i="76"/>
  <c r="B7" i="76"/>
  <c r="M24" i="67"/>
  <c r="M26" i="15"/>
  <c r="D7" i="73"/>
  <c r="F13" i="67"/>
  <c r="F38" i="67"/>
  <c r="F40" i="67"/>
  <c r="M26" i="67"/>
  <c r="F6" i="67"/>
  <c r="L47" i="67"/>
  <c r="F42" i="67"/>
  <c r="F5" i="73"/>
  <c r="C76" i="15"/>
  <c r="M23" i="15"/>
  <c r="J15" i="67"/>
  <c r="E8" i="76"/>
  <c r="E11" i="76"/>
  <c r="E10" i="76"/>
  <c r="F36" i="67"/>
  <c r="M29" i="15"/>
  <c r="F16" i="15"/>
  <c r="E12" i="76"/>
  <c r="M22" i="15"/>
  <c r="M9" i="67"/>
  <c r="F37" i="67"/>
  <c r="F8" i="67"/>
  <c r="E13" i="76"/>
  <c r="M6" i="67"/>
  <c r="B9" i="76"/>
  <c r="F8" i="15"/>
  <c r="M28" i="15"/>
  <c r="B12" i="76"/>
  <c r="L48" i="67"/>
  <c r="F20" i="31"/>
  <c r="M9" i="15"/>
  <c r="M22" i="67"/>
  <c r="F43" i="15"/>
  <c r="L47" i="15"/>
  <c r="M8" i="67"/>
  <c r="D3" i="73"/>
  <c r="F16" i="67"/>
  <c r="F6" i="73"/>
  <c r="M29" i="67"/>
  <c r="F13" i="15"/>
  <c r="F4" i="73"/>
  <c r="F43" i="67"/>
  <c r="AO13" i="1"/>
  <c r="M24" i="15"/>
  <c r="F26" i="67"/>
  <c r="M28" i="67"/>
  <c r="M6" i="15"/>
  <c r="B8" i="76"/>
  <c r="F42" i="15"/>
  <c r="E2" i="68"/>
  <c r="J15" i="15"/>
  <c r="F26" i="15"/>
  <c r="M23" i="67"/>
  <c r="M8" i="15"/>
  <c r="B11" i="76"/>
  <c r="F3" i="73"/>
  <c r="C76" i="67"/>
  <c r="F38" i="15"/>
  <c r="B13" i="76"/>
  <c r="E7" i="76"/>
  <c r="B10" i="76"/>
  <c r="L48" i="15"/>
  <c r="F9" i="67"/>
  <c r="F7" i="67"/>
  <c r="F9" i="15"/>
  <c r="F7" i="73"/>
  <c r="F40" i="15"/>
  <c r="F36" i="15"/>
  <c r="F6" i="15"/>
  <c r="E2" i="69"/>
  <c r="D6" i="73"/>
  <c r="M85" i="43" l="1"/>
  <c r="N85" i="43" s="1"/>
  <c r="K85" i="43"/>
  <c r="D85" i="43" s="1"/>
  <c r="AZ372" i="3"/>
  <c r="AZ337" i="3"/>
  <c r="AZ321" i="3"/>
  <c r="AZ305" i="3"/>
  <c r="AZ362" i="3"/>
  <c r="AZ567" i="3"/>
  <c r="AZ571" i="3"/>
  <c r="AZ575" i="3"/>
  <c r="AZ579" i="3"/>
  <c r="AZ581" i="3"/>
  <c r="BL586" i="3"/>
  <c r="AZ586" i="3" s="1"/>
  <c r="BA551" i="3"/>
  <c r="AZ551" i="3" s="1"/>
  <c r="BL550" i="3"/>
  <c r="BA550" i="3"/>
  <c r="BL15" i="3"/>
  <c r="AZ15" i="3" s="1"/>
  <c r="G6" i="1"/>
  <c r="I24" i="43"/>
  <c r="A15" i="62"/>
  <c r="B61" i="72" s="1"/>
  <c r="X25" i="71"/>
  <c r="X31" i="71"/>
  <c r="AA35" i="71"/>
  <c r="U36" i="40"/>
  <c r="F84" i="40"/>
  <c r="G84" i="40" s="1"/>
  <c r="J15" i="40"/>
  <c r="W15" i="40" s="1"/>
  <c r="F15" i="40"/>
  <c r="S15" i="40" s="1"/>
  <c r="H15" i="40"/>
  <c r="AA15" i="40"/>
  <c r="AC15" i="40"/>
  <c r="S11" i="40"/>
  <c r="AC11" i="40"/>
  <c r="C40" i="69"/>
  <c r="AZ557" i="3"/>
  <c r="D17" i="71"/>
  <c r="C16" i="71"/>
  <c r="D20" i="71"/>
  <c r="U20" i="71" s="1"/>
  <c r="T20" i="71"/>
  <c r="V20" i="71"/>
  <c r="AC11" i="35"/>
  <c r="E15" i="71"/>
  <c r="E14" i="71" s="1"/>
  <c r="E13" i="71" s="1"/>
  <c r="E12" i="71" s="1"/>
  <c r="V16" i="71"/>
  <c r="G28" i="6"/>
  <c r="F29" i="6"/>
  <c r="F30" i="6" s="1"/>
  <c r="AA41" i="34"/>
  <c r="J34" i="35"/>
  <c r="H34" i="35"/>
  <c r="F34" i="35"/>
  <c r="B73" i="43"/>
  <c r="B79" i="43"/>
  <c r="B76" i="43"/>
  <c r="B75" i="43"/>
  <c r="H12" i="35"/>
  <c r="J12" i="35"/>
  <c r="AZ399" i="3"/>
  <c r="AZ404" i="3"/>
  <c r="AZ411" i="3"/>
  <c r="AZ414" i="3"/>
  <c r="AZ421" i="3"/>
  <c r="AZ423" i="3"/>
  <c r="AZ427" i="3"/>
  <c r="AZ430" i="3"/>
  <c r="AZ440" i="3"/>
  <c r="AZ449" i="3"/>
  <c r="AZ453" i="3"/>
  <c r="AZ455" i="3"/>
  <c r="AZ460" i="3"/>
  <c r="AZ471" i="3"/>
  <c r="AZ476" i="3"/>
  <c r="AZ478" i="3"/>
  <c r="AZ484" i="3"/>
  <c r="AZ492" i="3"/>
  <c r="AZ395" i="3"/>
  <c r="AZ208" i="3"/>
  <c r="AZ211" i="3"/>
  <c r="AZ219" i="3"/>
  <c r="AZ289" i="3"/>
  <c r="H36" i="35"/>
  <c r="J36" i="35"/>
  <c r="J23" i="36"/>
  <c r="H23" i="36"/>
  <c r="F23" i="36"/>
  <c r="W31" i="35"/>
  <c r="AC31" i="35"/>
  <c r="G551" i="3"/>
  <c r="G5" i="3" s="1"/>
  <c r="B3" i="3" s="1"/>
  <c r="BL548" i="3"/>
  <c r="BL5" i="3" s="1"/>
  <c r="AZ226" i="3"/>
  <c r="AZ230" i="3"/>
  <c r="AZ242" i="3"/>
  <c r="AZ246" i="3"/>
  <c r="AZ258" i="3"/>
  <c r="AZ262" i="3"/>
  <c r="AZ267" i="3"/>
  <c r="AZ278" i="3"/>
  <c r="AZ284" i="3"/>
  <c r="AZ301" i="3"/>
  <c r="AZ122" i="3"/>
  <c r="AZ125" i="3"/>
  <c r="AZ169" i="3"/>
  <c r="AZ185" i="3"/>
  <c r="AZ201" i="3"/>
  <c r="AZ207" i="3"/>
  <c r="AZ25" i="3"/>
  <c r="AZ30" i="3"/>
  <c r="AZ36" i="3"/>
  <c r="AZ40" i="3"/>
  <c r="AZ46" i="3"/>
  <c r="AZ49" i="3"/>
  <c r="AZ62" i="3"/>
  <c r="AZ65" i="3"/>
  <c r="AZ76" i="3"/>
  <c r="AZ81" i="3"/>
  <c r="AZ90" i="3"/>
  <c r="AZ96" i="3"/>
  <c r="AZ99" i="3"/>
  <c r="AZ106" i="3"/>
  <c r="AZ112" i="3"/>
  <c r="C21" i="68"/>
  <c r="AC21" i="33"/>
  <c r="AC21" i="37"/>
  <c r="U21" i="34"/>
  <c r="W18" i="36"/>
  <c r="T40" i="71"/>
  <c r="D40" i="71"/>
  <c r="AA21" i="21"/>
  <c r="S21" i="21"/>
  <c r="T44" i="71"/>
  <c r="D44" i="71"/>
  <c r="T36" i="71"/>
  <c r="D36" i="71"/>
  <c r="C27" i="71"/>
  <c r="T28" i="71"/>
  <c r="D28" i="71"/>
  <c r="U28" i="71" s="1"/>
  <c r="D55" i="71"/>
  <c r="C56" i="71"/>
  <c r="C64" i="71"/>
  <c r="D63" i="71"/>
  <c r="U18" i="36"/>
  <c r="S25" i="40"/>
  <c r="C32" i="71"/>
  <c r="AA27" i="71"/>
  <c r="AA25" i="71"/>
  <c r="AB27" i="71"/>
  <c r="S28" i="71"/>
  <c r="C75" i="71"/>
  <c r="C67" i="71"/>
  <c r="X27" i="71"/>
  <c r="AB37" i="71"/>
  <c r="AA36" i="71"/>
  <c r="AB33" i="71"/>
  <c r="Y33" i="71"/>
  <c r="Z33" i="71" s="1"/>
  <c r="X32" i="71"/>
  <c r="X37" i="71"/>
  <c r="AA29" i="71"/>
  <c r="Y9" i="71"/>
  <c r="Z9" i="71" s="1"/>
  <c r="Y10" i="71"/>
  <c r="Z10" i="71" s="1"/>
  <c r="AA9" i="71"/>
  <c r="AA10" i="71"/>
  <c r="AB24" i="71"/>
  <c r="Y21" i="71"/>
  <c r="Z21" i="71" s="1"/>
  <c r="AB21" i="71"/>
  <c r="Y18" i="71"/>
  <c r="Z18" i="71" s="1"/>
  <c r="AB18" i="71"/>
  <c r="X13" i="71"/>
  <c r="AA14" i="71"/>
  <c r="X17" i="71"/>
  <c r="AA17" i="71"/>
  <c r="X9" i="71"/>
  <c r="X10" i="71"/>
  <c r="AB10" i="71"/>
  <c r="AB9" i="71"/>
  <c r="V68" i="71"/>
  <c r="F67" i="71"/>
  <c r="X22" i="71"/>
  <c r="AA24" i="71"/>
  <c r="AA22" i="71"/>
  <c r="X21" i="71"/>
  <c r="AA21" i="71"/>
  <c r="X18" i="71"/>
  <c r="AA18" i="71"/>
  <c r="Y14" i="71"/>
  <c r="Z14" i="71" s="1"/>
  <c r="Y17" i="71"/>
  <c r="Z17" i="71" s="1"/>
  <c r="AB17" i="71"/>
  <c r="X24" i="71"/>
  <c r="Y24" i="71"/>
  <c r="Z24" i="71" s="1"/>
  <c r="AB15" i="71"/>
  <c r="AB12" i="71"/>
  <c r="AB14" i="71"/>
  <c r="Y12" i="71"/>
  <c r="Z12" i="71" s="1"/>
  <c r="Y13" i="71"/>
  <c r="Z13" i="71" s="1"/>
  <c r="AA11" i="71"/>
  <c r="AA13" i="71"/>
  <c r="X12" i="71"/>
  <c r="Y23" i="71"/>
  <c r="Z23" i="71" s="1"/>
  <c r="Y22" i="71"/>
  <c r="Z22" i="71" s="1"/>
  <c r="AA23" i="71"/>
  <c r="AB23" i="71"/>
  <c r="X15" i="71"/>
  <c r="AA15" i="71"/>
  <c r="AB11" i="71"/>
  <c r="AB13" i="71"/>
  <c r="Y11" i="71"/>
  <c r="Z11" i="71" s="1"/>
  <c r="AA12" i="71"/>
  <c r="X11"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N370" i="46"/>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D5" i="73"/>
  <c r="C36" i="68"/>
  <c r="D4" i="73"/>
  <c r="C16" i="67"/>
  <c r="C16" i="15"/>
  <c r="F15" i="71" l="1"/>
  <c r="F14" i="71" s="1"/>
  <c r="F13" i="71" s="1"/>
  <c r="F12" i="71" s="1"/>
  <c r="F11" i="71" s="1"/>
  <c r="F10" i="71" s="1"/>
  <c r="F9" i="71" s="1"/>
  <c r="F8" i="71" s="1"/>
  <c r="F7" i="71" s="1"/>
  <c r="F6" i="71" s="1"/>
  <c r="F5" i="71" s="1"/>
  <c r="M23" i="43"/>
  <c r="M84" i="43"/>
  <c r="N84" i="43" s="1"/>
  <c r="K84" i="43"/>
  <c r="M88" i="43"/>
  <c r="N88" i="43" s="1"/>
  <c r="K88" i="43"/>
  <c r="J88" i="43" s="1"/>
  <c r="D88" i="43" s="1"/>
  <c r="M89" i="43"/>
  <c r="N89" i="43" s="1"/>
  <c r="K89" i="43"/>
  <c r="M87" i="43"/>
  <c r="N87" i="43" s="1"/>
  <c r="K87" i="43"/>
  <c r="M86" i="43"/>
  <c r="N86" i="43" s="1"/>
  <c r="K86" i="43"/>
  <c r="M90" i="43"/>
  <c r="N90" i="43" s="1"/>
  <c r="K90" i="43"/>
  <c r="M83" i="43"/>
  <c r="N83" i="43" s="1"/>
  <c r="K83" i="43"/>
  <c r="AZ550" i="3"/>
  <c r="BA5" i="3"/>
  <c r="AB15" i="40"/>
  <c r="U15" i="40"/>
  <c r="E26" i="43"/>
  <c r="J26" i="43"/>
  <c r="G26" i="43"/>
  <c r="F26" i="43"/>
  <c r="D26" i="43" s="1"/>
  <c r="C25" i="43" s="1"/>
  <c r="K1" i="73"/>
  <c r="P6" i="1"/>
  <c r="C13" i="12" s="1"/>
  <c r="K16" i="1"/>
  <c r="E510" i="3"/>
  <c r="E539" i="3"/>
  <c r="E536" i="3"/>
  <c r="E244" i="3"/>
  <c r="E148" i="3"/>
  <c r="E149" i="3"/>
  <c r="E212" i="3"/>
  <c r="E167" i="3"/>
  <c r="E199" i="3"/>
  <c r="E141" i="3"/>
  <c r="E286" i="3"/>
  <c r="E312" i="3"/>
  <c r="AD6" i="3"/>
  <c r="E542" i="3"/>
  <c r="E502" i="3"/>
  <c r="E464" i="3"/>
  <c r="E541" i="3"/>
  <c r="E430" i="3"/>
  <c r="E449" i="3"/>
  <c r="E374" i="3"/>
  <c r="E566" i="3"/>
  <c r="E500" i="3"/>
  <c r="E582" i="3"/>
  <c r="E413" i="3"/>
  <c r="E460" i="3"/>
  <c r="E417" i="3"/>
  <c r="E479" i="3"/>
  <c r="E56" i="3"/>
  <c r="E57" i="3"/>
  <c r="E131" i="3"/>
  <c r="E132" i="3"/>
  <c r="E192" i="3"/>
  <c r="E258" i="3"/>
  <c r="E259" i="3"/>
  <c r="E363" i="3"/>
  <c r="E349" i="3"/>
  <c r="E504" i="3"/>
  <c r="E58" i="3"/>
  <c r="E110" i="3"/>
  <c r="E409" i="3"/>
  <c r="E484" i="3"/>
  <c r="E425" i="3"/>
  <c r="E467" i="3"/>
  <c r="E64" i="3"/>
  <c r="E46" i="3"/>
  <c r="E138" i="3"/>
  <c r="E195" i="3"/>
  <c r="E163" i="3"/>
  <c r="E267" i="3"/>
  <c r="E249" i="3"/>
  <c r="E300" i="3"/>
  <c r="E371" i="3"/>
  <c r="E354" i="3"/>
  <c r="E23" i="3"/>
  <c r="E84" i="3"/>
  <c r="E67" i="3"/>
  <c r="E87" i="3"/>
  <c r="E127" i="3"/>
  <c r="E233" i="3"/>
  <c r="E355" i="3"/>
  <c r="E381" i="3"/>
  <c r="E51" i="3"/>
  <c r="E19" i="3"/>
  <c r="E154" i="3"/>
  <c r="E179" i="3"/>
  <c r="E222" i="3"/>
  <c r="E323" i="3"/>
  <c r="E373" i="3"/>
  <c r="E82"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5" i="3"/>
  <c r="E575" i="3"/>
  <c r="E499" i="3"/>
  <c r="R6" i="3"/>
  <c r="E552" i="3"/>
  <c r="E421" i="3"/>
  <c r="E442" i="3"/>
  <c r="E466" i="3"/>
  <c r="E487" i="3"/>
  <c r="E398" i="3"/>
  <c r="E416" i="3"/>
  <c r="E459" i="3"/>
  <c r="E255" i="3"/>
  <c r="I3" i="6"/>
  <c r="AP6" i="3"/>
  <c r="E554" i="3"/>
  <c r="E517" i="3"/>
  <c r="E435" i="3"/>
  <c r="E491" i="3"/>
  <c r="E520" i="3"/>
  <c r="E436" i="3"/>
  <c r="E39" i="3"/>
  <c r="E90" i="3"/>
  <c r="E37" i="3"/>
  <c r="E95" i="3"/>
  <c r="E152" i="3"/>
  <c r="E187" i="3"/>
  <c r="E155" i="3"/>
  <c r="E240" i="3"/>
  <c r="E297" i="3"/>
  <c r="E241" i="3"/>
  <c r="E292" i="3"/>
  <c r="E348" i="3"/>
  <c r="E378" i="3"/>
  <c r="E375" i="3"/>
  <c r="E389" i="3"/>
  <c r="E544" i="3"/>
  <c r="E76" i="3"/>
  <c r="E59" i="3"/>
  <c r="E488" i="3"/>
  <c r="E462" i="3"/>
  <c r="E521" i="3"/>
  <c r="E446" i="3"/>
  <c r="E47" i="3"/>
  <c r="E98" i="3"/>
  <c r="E65" i="3"/>
  <c r="E103" i="3"/>
  <c r="E160" i="3"/>
  <c r="E142" i="3"/>
  <c r="E200" i="3"/>
  <c r="E248" i="3"/>
  <c r="E209" i="3"/>
  <c r="E266" i="3"/>
  <c r="E307" i="3"/>
  <c r="E386" i="3"/>
  <c r="E310" i="3"/>
  <c r="E492" i="3"/>
  <c r="E584" i="3"/>
  <c r="E66" i="3"/>
  <c r="E24" i="3"/>
  <c r="E48" i="3"/>
  <c r="E33" i="3"/>
  <c r="E144" i="3"/>
  <c r="E184" i="3"/>
  <c r="E250" i="3"/>
  <c r="E284" i="3"/>
  <c r="E341" i="3"/>
  <c r="Y6" i="3"/>
  <c r="E68" i="3"/>
  <c r="E63" i="3"/>
  <c r="E81" i="3"/>
  <c r="E118" i="3"/>
  <c r="E264" i="3"/>
  <c r="E283" i="3"/>
  <c r="E309"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O67" i="71"/>
  <c r="C66" i="71"/>
  <c r="D67" i="71"/>
  <c r="T32" i="71"/>
  <c r="D32" i="71"/>
  <c r="T64" i="71"/>
  <c r="D64" i="71"/>
  <c r="AA23" i="36"/>
  <c r="S23" i="36"/>
  <c r="AC23" i="36"/>
  <c r="W23" i="36"/>
  <c r="AB36" i="35"/>
  <c r="U36" i="35"/>
  <c r="W12" i="35"/>
  <c r="AC12" i="35"/>
  <c r="AA34" i="35"/>
  <c r="S34" i="35"/>
  <c r="AC34" i="35"/>
  <c r="W34" i="35"/>
  <c r="E11" i="71"/>
  <c r="E10" i="71" s="1"/>
  <c r="E9" i="71" s="1"/>
  <c r="E8" i="71" s="1"/>
  <c r="E7" i="71" s="1"/>
  <c r="E6" i="71" s="1"/>
  <c r="E5" i="71" s="1"/>
  <c r="V12" i="71"/>
  <c r="B15" i="71"/>
  <c r="B14" i="71" s="1"/>
  <c r="B13" i="71" s="1"/>
  <c r="B12" i="71" s="1"/>
  <c r="S16" i="71"/>
  <c r="F66" i="71"/>
  <c r="Q67" i="71"/>
  <c r="C74" i="71"/>
  <c r="D74" i="71" s="1"/>
  <c r="D75" i="71"/>
  <c r="T56" i="71"/>
  <c r="D56" i="71"/>
  <c r="C26" i="71"/>
  <c r="D26" i="71" s="1"/>
  <c r="D27" i="71"/>
  <c r="AB23" i="36"/>
  <c r="U23" i="36"/>
  <c r="W36" i="35"/>
  <c r="AC36" i="35"/>
  <c r="U12" i="35"/>
  <c r="AB12" i="35"/>
  <c r="AB34" i="35"/>
  <c r="U34" i="35"/>
  <c r="AZ548" i="3"/>
  <c r="AZ5" i="3" s="1"/>
  <c r="C15" i="71"/>
  <c r="T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G1" i="73"/>
  <c r="H6" i="3" l="1"/>
  <c r="J83" i="43"/>
  <c r="D83" i="43"/>
  <c r="D90" i="43"/>
  <c r="J90" i="43"/>
  <c r="D86" i="43"/>
  <c r="J86" i="43"/>
  <c r="D87" i="43"/>
  <c r="J87" i="43"/>
  <c r="D89" i="43"/>
  <c r="J89" i="43"/>
  <c r="D84" i="43"/>
  <c r="J84" i="43"/>
  <c r="B40" i="1"/>
  <c r="L36" i="43" s="1"/>
  <c r="L37" i="43" s="1"/>
  <c r="E3" i="6"/>
  <c r="AY6" i="3"/>
  <c r="D15" i="71"/>
  <c r="C14" i="71"/>
  <c r="E65" i="39"/>
  <c r="Q66" i="71"/>
  <c r="Q65" i="71"/>
  <c r="B11" i="71"/>
  <c r="B10" i="71" s="1"/>
  <c r="B9" i="71" s="1"/>
  <c r="B8" i="71" s="1"/>
  <c r="B7" i="71" s="1"/>
  <c r="B6" i="71" s="1"/>
  <c r="B5" i="71" s="1"/>
  <c r="S12" i="71"/>
  <c r="D66" i="71"/>
  <c r="O66" i="71"/>
  <c r="O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4" i="15"/>
  <c r="C24" i="15" s="1"/>
  <c r="F41" i="15"/>
  <c r="M27" i="67"/>
  <c r="M27" i="15"/>
  <c r="E83" i="43" l="1"/>
  <c r="B81" i="43" s="1"/>
  <c r="C28" i="43" s="1"/>
  <c r="F22" i="11"/>
  <c r="C44" i="11" s="1"/>
  <c r="D41" i="11" s="1"/>
  <c r="F22" i="68"/>
  <c r="F41" i="68" s="1"/>
  <c r="F24" i="67"/>
  <c r="C24" i="67" s="1"/>
  <c r="F22" i="69"/>
  <c r="F41" i="69" s="1"/>
  <c r="Q36" i="43"/>
  <c r="M36" i="43"/>
  <c r="P36" i="43"/>
  <c r="O36" i="43"/>
  <c r="N36" i="4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C14" i="67"/>
  <c r="D10" i="68"/>
  <c r="C17" i="15"/>
  <c r="C17" i="67"/>
  <c r="C26" i="68" l="1"/>
  <c r="D22" i="68"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39" i="43"/>
  <c r="C42" i="43"/>
  <c r="C38" i="43"/>
  <c r="C26" i="11"/>
  <c r="D22" i="11" s="1"/>
  <c r="C23" i="11"/>
  <c r="C24" i="11"/>
  <c r="C44" i="68"/>
  <c r="D41" i="68" s="1"/>
  <c r="C44" i="69"/>
  <c r="D41" i="69" s="1"/>
  <c r="C26" i="69"/>
  <c r="D22" i="69" s="1"/>
  <c r="C25" i="11"/>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G38" i="43" l="1"/>
  <c r="I38" i="43" s="1"/>
  <c r="E38" i="43"/>
  <c r="E42" i="43"/>
  <c r="G42" i="43"/>
  <c r="I42" i="43" s="1"/>
  <c r="E39" i="43"/>
  <c r="G39" i="43"/>
  <c r="I39" i="43" s="1"/>
  <c r="E41" i="43"/>
  <c r="G41" i="43"/>
  <c r="I41" i="43" s="1"/>
  <c r="E37" i="43"/>
  <c r="G37" i="43"/>
  <c r="I37" i="43" s="1"/>
  <c r="E40" i="43"/>
  <c r="G40" i="43"/>
  <c r="I40" i="43" s="1"/>
  <c r="C34" i="43"/>
  <c r="E34" i="43" s="1"/>
  <c r="C31" i="43" s="1"/>
  <c r="E33" i="43"/>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6" i="68" l="1"/>
  <c r="C30" i="43"/>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2" i="43" l="1"/>
  <c r="C7" i="68"/>
  <c r="C5" i="68"/>
  <c r="C9" i="71"/>
  <c r="D10"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E6" i="76"/>
  <c r="M21" i="15"/>
  <c r="F35" i="67"/>
  <c r="M21" i="67"/>
  <c r="E2" i="76" l="1"/>
  <c r="C23" i="68"/>
  <c r="C20" i="68"/>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6" i="76"/>
  <c r="B2" i="76" l="1"/>
  <c r="B3" i="76" s="1"/>
  <c r="C28" i="68"/>
  <c r="C27" i="68" s="1"/>
  <c r="C25" i="68"/>
  <c r="C22" i="68" s="1"/>
  <c r="C31" i="68" s="1"/>
  <c r="C52" i="68" s="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B3" i="68"/>
  <c r="D2" i="33"/>
  <c r="D34" i="9"/>
  <c r="L51" i="67"/>
  <c r="C102" i="9" l="1"/>
  <c r="C21" i="9"/>
  <c r="L57" i="67"/>
  <c r="L60" i="67" s="1"/>
  <c r="L46" i="67" s="1"/>
  <c r="D2" i="67" s="1"/>
  <c r="B2" i="67" s="1"/>
  <c r="Q67" i="67"/>
  <c r="C5" i="71"/>
  <c r="D5" i="71" s="1"/>
  <c r="D6" i="71"/>
  <c r="Q65" i="67"/>
  <c r="B2" i="33"/>
  <c r="B3" i="33" s="1"/>
  <c r="C83" i="67"/>
  <c r="C82" i="67" s="1"/>
  <c r="Q47" i="67"/>
  <c r="Q53" i="67" s="1"/>
  <c r="C46" i="67"/>
  <c r="Q56" i="67"/>
  <c r="C43" i="67"/>
  <c r="C80" i="15"/>
  <c r="C79" i="15" s="1"/>
  <c r="C40" i="15"/>
  <c r="C46" i="15" s="1"/>
  <c r="H7" i="39"/>
  <c r="J7" i="39"/>
  <c r="S7" i="39"/>
  <c r="AA7" i="39"/>
  <c r="R47" i="39" s="1"/>
  <c r="O63" i="40"/>
  <c r="O65" i="40" s="1"/>
  <c r="N65" i="40"/>
  <c r="D35" i="9"/>
  <c r="D2" i="37"/>
  <c r="D2" i="36"/>
  <c r="L51" i="15"/>
  <c r="C20" i="9"/>
  <c r="D2" i="34"/>
  <c r="D2" i="35"/>
  <c r="C103" i="9" l="1"/>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8" i="1"/>
  <c r="AO12" i="1"/>
  <c r="D19" i="9"/>
  <c r="AO11" i="1"/>
  <c r="D102" i="9" l="1"/>
  <c r="D21" i="9"/>
  <c r="G19"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s="1"/>
  <c r="E14" i="74" l="1"/>
  <c r="F14" i="74"/>
  <c r="B5" i="74"/>
  <c r="D5" i="74" s="1"/>
  <c r="B6" i="74" l="1"/>
  <c r="D6" i="74" s="1"/>
  <c r="D118" i="9"/>
  <c r="J118" i="9" s="1"/>
  <c r="F118" i="9"/>
  <c r="G118" i="9" s="1"/>
  <c r="G4" i="52" s="1"/>
  <c r="B52" i="72" s="1"/>
  <c r="H118" i="9"/>
  <c r="C104" i="9" s="1"/>
  <c r="D4" i="52" l="1"/>
  <c r="B47" i="72" s="1"/>
  <c r="H101" i="9"/>
  <c r="M48" i="9" s="1"/>
  <c r="I118" i="9"/>
  <c r="C105" i="9" s="1"/>
  <c r="D119" i="9"/>
  <c r="D5" i="52" s="1"/>
  <c r="B49" i="72" s="1"/>
  <c r="F4" i="52"/>
  <c r="B51" i="72" s="1"/>
  <c r="D45" i="9"/>
  <c r="F119" i="9"/>
  <c r="F5" i="52" s="1"/>
  <c r="B53" i="72" s="1"/>
  <c r="H119" i="9"/>
  <c r="H5" i="52" s="1"/>
  <c r="H4" i="52"/>
  <c r="E118" i="9" l="1"/>
  <c r="E4" i="52" s="1"/>
  <c r="B48" i="72" s="1"/>
  <c r="D5" i="53"/>
  <c r="D6" i="53" s="1"/>
  <c r="B22" i="72" s="1"/>
  <c r="I4" i="52"/>
  <c r="H102" i="9"/>
  <c r="C5" i="74" s="1"/>
  <c r="H107" i="9"/>
  <c r="D122" i="9" s="1"/>
  <c r="B20" i="72"/>
  <c r="D52" i="9"/>
  <c r="C64" i="9"/>
  <c r="C63" i="9" s="1"/>
  <c r="C67" i="9" s="1"/>
  <c r="C85" i="9"/>
  <c r="D53" i="9"/>
  <c r="C93" i="9"/>
  <c r="C86" i="9" s="1"/>
  <c r="C78" i="9"/>
  <c r="C73" i="9" s="1"/>
  <c r="C72" i="9"/>
  <c r="D55" i="9"/>
  <c r="M53" i="9" s="1"/>
  <c r="D7" i="53" l="1"/>
  <c r="B21" i="72" s="1"/>
  <c r="D13" i="53"/>
  <c r="B30" i="72" s="1"/>
  <c r="H108" i="9"/>
  <c r="C6" i="74" s="1"/>
  <c r="M49" i="9"/>
  <c r="L66" i="9" s="1"/>
  <c r="M66" i="9" s="1"/>
  <c r="C79" i="9"/>
  <c r="C80" i="9" s="1"/>
  <c r="E80" i="9" s="1"/>
  <c r="E81" i="9" s="1"/>
  <c r="L65" i="9"/>
  <c r="M65" i="9" s="1"/>
  <c r="D8" i="52"/>
  <c r="D123" i="9"/>
  <c r="D9" i="52" s="1"/>
  <c r="C95" i="9"/>
  <c r="D14" i="53"/>
  <c r="B32" i="72" s="1"/>
  <c r="D59" i="9"/>
  <c r="M55" i="9" s="1"/>
  <c r="C68" i="9"/>
  <c r="D54" i="9" s="1"/>
  <c r="L63" i="9" l="1"/>
  <c r="M63" i="9" s="1"/>
  <c r="L68" i="9"/>
  <c r="M68" i="9" s="1"/>
  <c r="D15" i="53"/>
  <c r="B31" i="72" s="1"/>
  <c r="L67" i="9"/>
  <c r="M67" i="9" s="1"/>
  <c r="L64" i="9"/>
  <c r="M64" i="9" s="1"/>
  <c r="C96" i="9"/>
  <c r="E96" i="9" s="1"/>
  <c r="E97" i="9" s="1"/>
  <c r="C81" i="9"/>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<sst xmlns="http://schemas.openxmlformats.org/spreadsheetml/2006/main" count="8252" uniqueCount="3610">
  <si>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</si>
  <si>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</si>
  <si>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</si>
  <si>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</si>
  <si>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</si>
  <si>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</si>
  <si>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</si>
  <si>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</si>
  <si>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</si>
  <si>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</si>
  <si>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</si>
  <si>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</si>
  <si>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</si>
  <si>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</si>
  <si>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</si>
  <si>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</si>
  <si>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</si>
  <si>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</si>
  <si>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</si>
  <si>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</si>
  <si>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</si>
  <si>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</si>
  <si>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</si>
  <si>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</si>
  <si>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</si>
  <si>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</si>
  <si>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</si>
  <si>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</si>
  <si>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</si>
  <si>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</si>
  <si>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</si>
  <si>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</si>
  <si>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</si>
  <si>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</si>
  <si>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</si>
  <si>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</si>
  <si>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</si>
  <si>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</si>
  <si>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</si>
  <si>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</si>
  <si>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</si>
  <si>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</si>
  <si>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</si>
  <si>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</si>
  <si>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</si>
  <si>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</si>
  <si>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</si>
  <si>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</si>
  <si>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</si>
  <si>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</si>
  <si>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</si>
  <si>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</si>
  <si>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</si>
  <si>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</si>
  <si>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</si>
  <si>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</si>
  <si>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</si>
  <si>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</si>
  <si>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</si>
  <si>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</si>
  <si>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</si>
  <si>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</si>
  <si>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</si>
  <si>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</si>
  <si>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</si>
  <si>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</si>
  <si>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</si>
  <si>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</si>
  <si>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</si>
  <si>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</si>
  <si>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</si>
  <si>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</si>
  <si>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</si>
  <si>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</si>
  <si>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</si>
  <si>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</si>
  <si>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</si>
  <si>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</si>
  <si>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</si>
  <si>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</si>
  <si>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</si>
  <si>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</si>
  <si>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</si>
  <si>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</si>
  <si>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</si>
  <si>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</si>
  <si>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</si>
  <si>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</si>
  <si>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</si>
  <si>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</si>
  <si>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</si>
  <si>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</si>
  <si>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</si>
  <si>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</si>
  <si>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</si>
  <si>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</si>
  <si>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</si>
  <si>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</si>
  <si>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</si>
  <si>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</si>
  <si>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</si>
  <si>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</si>
  <si>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</si>
  <si>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</si>
  <si>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</si>
  <si>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</si>
  <si>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</si>
  <si>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</si>
  <si>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</si>
  <si>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</si>
  <si>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</si>
  <si>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</si>
  <si>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</si>
  <si>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</si>
  <si>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</si>
  <si>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</si>
  <si>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</si>
  <si>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</si>
  <si>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</si>
  <si>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</si>
  <si>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</si>
  <si>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</si>
  <si>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</si>
  <si>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</si>
  <si>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</si>
  <si>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</si>
  <si>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</si>
  <si>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</si>
  <si>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</si>
  <si>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</si>
  <si>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</si>
  <si>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</si>
  <si>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</si>
  <si>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</si>
  <si>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</si>
  <si>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</si>
  <si>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</si>
  <si>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</si>
  <si>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</si>
  <si>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</si>
  <si>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</si>
  <si>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</si>
  <si>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</si>
  <si>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</si>
  <si>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</si>
  <si>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</si>
  <si>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</si>
  <si>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</si>
  <si>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</si>
  <si>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</si>
  <si>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</si>
  <si>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</si>
  <si>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</si>
  <si>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</si>
  <si>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</si>
  <si>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</si>
  <si>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</si>
  <si>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</si>
  <si>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</si>
  <si>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</si>
  <si>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</si>
  <si>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</si>
  <si>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</si>
  <si>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</si>
  <si>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</si>
  <si>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</si>
  <si>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</si>
  <si>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</si>
  <si>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</si>
  <si>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</si>
  <si>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</si>
  <si>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</si>
  <si>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</si>
  <si>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</si>
  <si>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</si>
  <si>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</si>
  <si>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</si>
  <si>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</si>
  <si>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</si>
  <si>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</si>
  <si>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</si>
  <si>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</si>
  <si>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</si>
  <si>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</si>
  <si>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</si>
  <si>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</si>
  <si>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</si>
  <si>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</si>
  <si>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</si>
  <si>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</si>
  <si>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</si>
  <si>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</si>
  <si>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</si>
  <si>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</si>
  <si>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</si>
  <si>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</si>
  <si>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</si>
  <si>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</si>
  <si>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</si>
  <si>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</si>
  <si>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</si>
  <si>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</si>
  <si>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</si>
  <si>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</si>
  <si>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</si>
  <si>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</si>
  <si>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</si>
  <si>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</si>
  <si>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</si>
  <si>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</si>
  <si>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</si>
  <si>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</si>
  <si>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</si>
  <si>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</si>
  <si>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</si>
  <si>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</si>
  <si>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</si>
  <si>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</si>
  <si>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</si>
  <si>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</si>
  <si>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</si>
  <si>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</si>
  <si>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</si>
  <si>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</si>
  <si>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</si>
  <si>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</si>
  <si>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</si>
  <si>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</si>
  <si>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</si>
  <si>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</si>
  <si>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</si>
  <si>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</si>
  <si>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</si>
  <si>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</si>
  <si>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</si>
  <si>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</si>
  <si>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</si>
  <si>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</si>
  <si>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</si>
  <si>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</si>
  <si>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</si>
  <si>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</si>
  <si>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</si>
  <si>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</si>
  <si>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</si>
  <si>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</si>
  <si>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</si>
  <si>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</si>
  <si>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</si>
  <si>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</si>
  <si>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</si>
  <si>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</si>
  <si>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</si>
  <si>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</si>
  <si>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</si>
  <si>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</si>
  <si>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</si>
  <si>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</si>
  <si>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</si>
  <si>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</si>
  <si>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</si>
  <si>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</si>
  <si>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</si>
  <si>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</si>
  <si>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</si>
  <si>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</si>
  <si>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</si>
  <si>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</si>
  <si>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</si>
  <si>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</si>
  <si>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</si>
  <si>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</si>
  <si>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</si>
  <si>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</si>
  <si>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</si>
  <si>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</si>
  <si>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</si>
  <si>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</si>
  <si>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</si>
  <si>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</si>
  <si>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</si>
  <si>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</si>
  <si>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</si>
  <si>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</si>
  <si>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</si>
  <si>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</si>
  <si>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</si>
  <si>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</si>
  <si>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</si>
  <si>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</si>
  <si>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</si>
  <si>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</si>
  <si>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</si>
  <si>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</si>
  <si>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</si>
  <si>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</si>
  <si>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</si>
  <si>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</si>
  <si>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</si>
  <si>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</si>
  <si>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</si>
  <si>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</si>
  <si>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</si>
  <si>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</si>
  <si>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</si>
  <si>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</si>
  <si>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</si>
  <si>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</si>
  <si>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</si>
  <si>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</si>
  <si>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</si>
  <si>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</si>
  <si>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</si>
  <si>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</si>
  <si>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</si>
  <si>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</si>
  <si>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</si>
  <si>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</si>
  <si>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</si>
  <si>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</si>
  <si>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</si>
  <si>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</si>
  <si>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</si>
  <si>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</si>
  <si>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</si>
  <si>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</si>
  <si>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</si>
  <si>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</si>
  <si>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</si>
  <si>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</si>
  <si>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</si>
  <si>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</si>
  <si>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</si>
  <si>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</si>
  <si>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</si>
  <si>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</si>
  <si>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</si>
  <si>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</si>
  <si>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</si>
  <si>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</si>
  <si>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</si>
  <si>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</si>
  <si>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</si>
  <si>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</si>
  <si>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</si>
  <si>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</si>
  <si>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</si>
  <si>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</si>
  <si>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</si>
  <si>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</si>
  <si>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</si>
  <si>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</si>
  <si>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</si>
  <si>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</si>
  <si>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</si>
  <si>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</si>
  <si>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</si>
  <si>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</si>
  <si>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</si>
  <si>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</si>
  <si>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</si>
  <si>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</si>
  <si>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</si>
  <si>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</si>
  <si>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</si>
  <si>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</si>
  <si>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</si>
  <si>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</si>
  <si>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</si>
  <si>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</si>
  <si>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</si>
  <si>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</si>
  <si>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</si>
  <si>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</si>
  <si>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</si>
  <si>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</si>
  <si>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</si>
  <si>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</si>
  <si>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</si>
  <si>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</si>
  <si>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</si>
  <si>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</si>
  <si>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</si>
  <si>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</si>
  <si>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</si>
  <si>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</si>
  <si>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</si>
  <si>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</si>
  <si>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</si>
  <si>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</si>
  <si>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</si>
  <si>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</si>
  <si>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</si>
  <si>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</si>
  <si>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</si>
  <si>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</si>
  <si>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</si>
  <si>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</si>
  <si>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</si>
  <si>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</si>
  <si>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</si>
  <si>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</si>
  <si>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</si>
  <si>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</si>
  <si>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</si>
  <si>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</si>
  <si>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</si>
  <si>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</si>
  <si>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</si>
  <si>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</si>
  <si>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</si>
  <si>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</si>
  <si>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</si>
  <si>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</si>
  <si>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</si>
  <si>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</si>
  <si>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</si>
  <si>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</si>
  <si>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</si>
  <si>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</si>
  <si>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</si>
  <si>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</si>
  <si>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</si>
  <si>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</si>
  <si>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</si>
  <si>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</si>
  <si>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</si>
  <si>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</si>
  <si>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</si>
  <si>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</si>
  <si>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</si>
  <si>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</si>
  <si>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</si>
  <si>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</si>
  <si>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</si>
  <si>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</si>
  <si>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</si>
  <si>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</si>
  <si>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</si>
  <si>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</si>
  <si>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</si>
  <si>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</si>
  <si>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</si>
  <si>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</si>
  <si>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</si>
  <si>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</si>
  <si>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</si>
  <si>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</si>
  <si>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</si>
  <si>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</si>
  <si>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</si>
  <si>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</si>
  <si>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</si>
  <si>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</si>
  <si>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</si>
  <si>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</si>
  <si>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</si>
  <si>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</si>
  <si>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</si>
  <si>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</si>
  <si>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</si>
  <si>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</si>
  <si>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</si>
  <si>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</si>
  <si>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</si>
  <si>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</si>
  <si>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</si>
  <si>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</si>
  <si>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</si>
  <si>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</si>
  <si>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</si>
  <si>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</si>
  <si>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</si>
  <si>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</si>
  <si>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</si>
  <si>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</si>
  <si>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</si>
  <si>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</si>
  <si>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</si>
  <si>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</si>
  <si>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</si>
  <si>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</si>
  <si>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</si>
  <si>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</si>
  <si>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</si>
  <si>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</si>
  <si>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</si>
  <si>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</si>
  <si>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</si>
  <si>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</si>
  <si>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</si>
  <si>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</si>
  <si>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</si>
  <si>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</si>
  <si>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</si>
  <si>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</si>
  <si>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</si>
  <si>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</si>
  <si>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</si>
  <si>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</si>
  <si>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</si>
  <si>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</si>
  <si>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</si>
  <si>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</si>
  <si>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</si>
  <si>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</si>
  <si>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</si>
  <si>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</si>
  <si>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</si>
  <si>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</si>
  <si>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</si>
  <si>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</si>
  <si>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</si>
  <si>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</si>
  <si>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</si>
  <si>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</si>
  <si>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</si>
  <si>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</si>
  <si>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</si>
  <si>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</si>
  <si>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</si>
  <si>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</si>
  <si>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</si>
  <si>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</si>
  <si>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</si>
  <si>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</si>
  <si>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</si>
  <si>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</si>
  <si>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</si>
  <si>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</si>
  <si>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</si>
  <si>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</si>
  <si>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</si>
  <si>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</si>
  <si>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</si>
  <si>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</si>
  <si>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</si>
  <si>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</si>
  <si>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</si>
  <si>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</si>
  <si>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</si>
  <si>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</si>
  <si>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</si>
  <si>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</si>
  <si>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</si>
  <si>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</si>
  <si>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</si>
  <si>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</si>
  <si>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</si>
  <si>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</si>
  <si>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</si>
  <si>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</si>
  <si>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</si>
  <si>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</si>
  <si>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</si>
  <si>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</si>
  <si>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</si>
  <si>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</si>
  <si>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</si>
  <si>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</si>
  <si>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</si>
  <si>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</si>
  <si>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</si>
  <si>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</si>
  <si>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</si>
  <si>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</si>
  <si>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</si>
  <si>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</si>
  <si>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</si>
  <si>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</si>
  <si>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</si>
  <si>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</si>
  <si>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</si>
  <si>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</si>
  <si>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</si>
  <si>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</si>
  <si>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</si>
  <si>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</si>
  <si>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</si>
  <si>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</si>
  <si>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</si>
  <si>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</si>
  <si>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</si>
  <si>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</si>
  <si>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</si>
  <si>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</si>
  <si>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</si>
  <si>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</si>
  <si>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</si>
  <si>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</si>
  <si>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</si>
  <si>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</si>
  <si>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</si>
  <si>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</si>
  <si>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</si>
  <si>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</si>
  <si>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</si>
  <si>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</si>
  <si>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</si>
  <si>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</si>
  <si>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</si>
  <si>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</si>
  <si>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</si>
  <si>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</si>
  <si>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</si>
  <si>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</si>
  <si>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</si>
  <si>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</si>
  <si>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</si>
  <si>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</si>
  <si>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</si>
  <si>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</si>
  <si>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</si>
  <si>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</si>
  <si>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</si>
  <si>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</si>
  <si>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</si>
  <si>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</si>
  <si>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</si>
  <si>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</si>
  <si>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</si>
  <si>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</si>
  <si>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</si>
  <si>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</si>
  <si>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</si>
  <si>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</si>
  <si>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</si>
  <si>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</si>
  <si>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</si>
  <si>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</si>
  <si>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</si>
  <si>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</si>
  <si>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</si>
  <si>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</si>
  <si>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</si>
  <si>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</si>
  <si>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</si>
  <si>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</si>
  <si>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</si>
  <si>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</si>
  <si>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</si>
  <si>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</si>
  <si>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</si>
  <si>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</si>
  <si>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</si>
  <si>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</si>
  <si>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</si>
  <si>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</si>
  <si>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</si>
  <si>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</si>
  <si>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</si>
  <si>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</si>
  <si>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</si>
  <si>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</si>
  <si>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</si>
  <si>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</si>
  <si>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</si>
  <si>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</si>
  <si>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</si>
  <si>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</si>
  <si>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</si>
  <si>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</si>
  <si>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</si>
  <si>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</si>
  <si>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</si>
  <si>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</si>
  <si>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</si>
  <si>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</si>
  <si>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</si>
  <si>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</si>
  <si>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</si>
  <si>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</si>
  <si>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</si>
  <si>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</si>
  <si>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</si>
  <si>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</si>
  <si>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</si>
  <si>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</si>
  <si>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</si>
  <si>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</si>
  <si>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</si>
  <si>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</si>
  <si>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</si>
  <si>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</si>
  <si>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</si>
  <si>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</si>
  <si>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</si>
  <si>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</si>
  <si>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</si>
  <si>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</si>
  <si>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</si>
  <si>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</si>
  <si>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</si>
  <si>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</si>
  <si>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</si>
  <si>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</si>
  <si>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</si>
  <si>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</si>
  <si>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</si>
  <si>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</si>
  <si>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</si>
  <si>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</si>
  <si>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</si>
  <si>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</si>
  <si>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</si>
  <si>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</si>
  <si>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</si>
  <si>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</si>
  <si>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</si>
  <si>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</si>
  <si>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</si>
  <si>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</si>
  <si>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</si>
  <si>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</si>
  <si>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</si>
  <si>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</si>
  <si>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</si>
  <si>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</si>
  <si>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</si>
  <si>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</si>
  <si>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</si>
  <si>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</si>
  <si>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</si>
  <si>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</si>
  <si>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</si>
  <si>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</si>
  <si>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</si>
  <si>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</si>
  <si>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</si>
  <si>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</si>
  <si>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</si>
  <si>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</si>
  <si>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</si>
  <si>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</si>
  <si>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</si>
  <si>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</si>
  <si>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</si>
  <si>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</si>
  <si>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</si>
  <si>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</si>
  <si>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</si>
  <si>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</si>
  <si>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</si>
  <si>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</si>
  <si>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</si>
  <si>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</si>
  <si>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</si>
  <si>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</si>
  <si>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</si>
  <si>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</si>
  <si>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</si>
  <si>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</si>
  <si>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</si>
  <si>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</si>
  <si>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</si>
  <si>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</si>
  <si>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</si>
  <si>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</si>
  <si>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</si>
  <si>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</si>
  <si>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</si>
  <si>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</si>
  <si>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</si>
  <si>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</si>
  <si>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</si>
  <si>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</si>
  <si>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</si>
  <si>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</si>
  <si>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</si>
  <si>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</si>
  <si>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</si>
  <si>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</si>
  <si>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</si>
  <si>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</si>
  <si>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</si>
  <si>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</si>
  <si>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</si>
  <si>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</si>
  <si>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</si>
  <si>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</si>
  <si>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</si>
  <si>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</si>
  <si>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</si>
  <si>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</si>
  <si>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</si>
  <si>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</si>
  <si>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</si>
  <si>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</si>
  <si>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</si>
  <si>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</si>
  <si>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</si>
  <si>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</si>
  <si>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</si>
  <si>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</si>
  <si>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</si>
  <si>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</si>
  <si>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</si>
  <si>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</si>
  <si>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</si>
  <si>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</si>
  <si>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</si>
  <si>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</si>
  <si>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</si>
  <si>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</si>
  <si>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</si>
  <si>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</si>
  <si>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</si>
  <si>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</si>
  <si>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</si>
  <si>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</si>
  <si>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</si>
  <si>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</si>
  <si>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</si>
  <si>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</si>
  <si>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</si>
  <si>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</si>
  <si>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</si>
  <si>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</si>
  <si>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</si>
  <si>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</si>
  <si>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</si>
  <si>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</si>
  <si>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</si>
  <si>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</si>
  <si>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</si>
  <si>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</si>
  <si>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</si>
  <si>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</si>
  <si>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</si>
  <si>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</si>
  <si>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</si>
  <si>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</si>
  <si>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</si>
  <si>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</si>
  <si>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</si>
  <si>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</si>
  <si>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</si>
  <si>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</si>
  <si>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</si>
  <si>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</si>
  <si>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</si>
  <si>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</si>
  <si>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</si>
  <si>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</si>
  <si>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</si>
  <si>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</si>
  <si>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</si>
  <si>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</si>
  <si>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</si>
  <si>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</si>
  <si>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</si>
  <si>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</si>
  <si>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</si>
  <si>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</si>
  <si>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</si>
  <si>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</si>
  <si>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</si>
  <si>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</si>
  <si>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</si>
  <si>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</si>
  <si>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</si>
  <si>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</si>
  <si>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</si>
  <si>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</si>
  <si>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</si>
  <si>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</si>
  <si>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</si>
  <si>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</si>
  <si>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</si>
  <si>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</si>
  <si>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</si>
  <si>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</si>
  <si>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</si>
  <si>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</si>
  <si>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</si>
  <si>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</si>
  <si>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</si>
  <si>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</si>
  <si>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</si>
  <si>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</si>
  <si>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</si>
  <si>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</si>
  <si>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</si>
  <si>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</si>
  <si>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</si>
  <si>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</si>
  <si>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</si>
  <si>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</si>
  <si>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</si>
  <si>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</si>
  <si>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</si>
  <si>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</si>
  <si>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</si>
  <si>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</si>
  <si>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</si>
  <si>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</si>
  <si>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</si>
  <si>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</si>
  <si>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</si>
  <si>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</si>
  <si>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</si>
  <si>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</si>
  <si>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</si>
  <si>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</si>
  <si>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</si>
  <si>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</si>
  <si>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</si>
  <si>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</si>
  <si>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</si>
  <si>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</si>
  <si>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</si>
  <si>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</si>
  <si>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</si>
  <si>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</si>
  <si>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</si>
  <si>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</si>
  <si>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</si>
  <si>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</si>
  <si>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</si>
  <si>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</si>
  <si>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</si>
  <si>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</si>
  <si>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</si>
  <si>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</si>
  <si>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</si>
  <si>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</si>
  <si>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</si>
  <si>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</si>
  <si>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</si>
  <si>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</si>
  <si>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</si>
  <si>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</si>
  <si>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</si>
  <si>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</si>
  <si>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</si>
  <si>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</si>
  <si>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</si>
  <si>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</si>
  <si>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</si>
  <si>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</si>
  <si>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</si>
  <si>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</si>
  <si>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</si>
  <si>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</si>
  <si>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</si>
  <si>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</si>
  <si>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</si>
  <si>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</si>
  <si>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</si>
  <si>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</si>
  <si>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</si>
  <si>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</si>
  <si>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</si>
  <si>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</si>
  <si>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</si>
  <si>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</si>
  <si>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</si>
  <si>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</si>
  <si>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</si>
  <si>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</si>
  <si>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</si>
  <si>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</si>
  <si>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</si>
  <si>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</si>
  <si>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</si>
  <si>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</si>
  <si>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</si>
  <si>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</si>
  <si>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</si>
  <si>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</si>
  <si>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</si>
  <si>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</si>
  <si>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</si>
  <si>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</si>
  <si>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</si>
  <si>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</si>
  <si>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</si>
  <si>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</si>
  <si>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</si>
  <si>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</si>
  <si>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</si>
  <si>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</si>
  <si>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</si>
  <si>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</si>
  <si>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</si>
  <si>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</si>
  <si>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</si>
  <si>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</si>
  <si>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</si>
  <si>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</si>
  <si>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</si>
  <si>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</si>
  <si>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</si>
  <si>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</si>
  <si>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</si>
  <si>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</si>
  <si>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</si>
  <si>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</si>
  <si>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</si>
  <si>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</si>
  <si>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</si>
  <si>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</si>
  <si>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</si>
  <si>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</si>
  <si>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</si>
  <si>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</si>
  <si>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</si>
  <si>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</si>
  <si>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</si>
  <si>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</si>
  <si>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</si>
  <si>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</si>
  <si>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</si>
  <si>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</si>
  <si>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</si>
  <si>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</si>
  <si>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</si>
  <si>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</si>
  <si>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</si>
  <si>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</si>
  <si>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</si>
  <si>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</si>
  <si>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</si>
  <si>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</si>
  <si>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</si>
  <si>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</si>
  <si>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</si>
  <si>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</si>
  <si>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</si>
  <si>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</si>
  <si>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</si>
  <si>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</si>
  <si>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</si>
  <si>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</si>
  <si>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</si>
  <si>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</si>
  <si>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</si>
  <si>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</si>
  <si>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</si>
  <si>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</si>
  <si>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</si>
  <si>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</si>
  <si>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</si>
  <si>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</si>
  <si>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</si>
  <si>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</si>
  <si>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</si>
  <si>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</si>
  <si>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</si>
  <si>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</si>
  <si>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</si>
  <si>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</si>
  <si>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</si>
  <si>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</si>
  <si>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</si>
  <si>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</si>
  <si>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</si>
  <si>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</si>
  <si>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</si>
  <si>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</si>
  <si>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</si>
  <si>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</si>
  <si>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</si>
  <si>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</si>
  <si>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</si>
  <si>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</si>
  <si>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</si>
  <si>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</si>
  <si>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</si>
  <si>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</si>
  <si>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</si>
  <si>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</si>
  <si>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</si>
  <si>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</si>
  <si>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</si>
  <si>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</si>
  <si>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</si>
  <si>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</si>
  <si>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</si>
  <si>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</si>
  <si>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</si>
  <si>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</si>
  <si>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</si>
  <si>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</si>
  <si>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</si>
  <si>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</si>
  <si>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</si>
  <si>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</si>
  <si>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</si>
  <si>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</si>
  <si>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</si>
  <si>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</si>
  <si>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</si>
  <si>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</si>
  <si>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</si>
  <si>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</si>
  <si>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</si>
  <si>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</si>
  <si>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</si>
  <si>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</si>
  <si>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</si>
  <si>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</si>
  <si>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</si>
  <si>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</si>
  <si>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</si>
  <si>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</si>
  <si>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</si>
  <si>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</si>
  <si>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</si>
  <si>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</si>
  <si>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</si>
  <si>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</si>
  <si>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</si>
  <si>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</si>
  <si>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</si>
  <si>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</si>
  <si>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</si>
  <si>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</si>
  <si>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</si>
  <si>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</si>
  <si>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</si>
  <si>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</si>
  <si>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</si>
  <si>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</si>
  <si>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</si>
  <si>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</si>
  <si>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</si>
  <si>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</si>
  <si>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</si>
  <si>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</si>
  <si>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</si>
  <si>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</si>
  <si>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</si>
  <si>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</si>
  <si>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</si>
  <si>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</si>
  <si>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</si>
  <si>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</si>
  <si>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</si>
  <si>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</si>
  <si>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</si>
  <si>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</si>
  <si>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</si>
  <si>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</si>
  <si>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</si>
  <si>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</si>
  <si>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</si>
  <si>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</si>
  <si>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</si>
  <si>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</si>
  <si>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</si>
  <si>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</si>
  <si>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</si>
  <si>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</si>
  <si>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</si>
  <si>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</si>
  <si>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</si>
  <si>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</si>
  <si>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</si>
  <si>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</si>
  <si>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</si>
  <si>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</si>
  <si>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</si>
  <si>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</si>
  <si>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</si>
  <si>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</si>
  <si>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</si>
  <si>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</si>
  <si>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</si>
  <si>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</si>
  <si>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</si>
  <si>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</si>
  <si>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</si>
  <si>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</si>
  <si>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</si>
  <si>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</si>
  <si>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</si>
  <si>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</si>
  <si>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</si>
  <si>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</si>
  <si>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</si>
  <si>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</si>
  <si>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</si>
  <si>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</si>
  <si>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</si>
  <si>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</si>
  <si>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</si>
  <si>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</si>
  <si>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</si>
  <si>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</si>
  <si>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</si>
  <si>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</si>
  <si>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</si>
  <si>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</si>
  <si>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</si>
  <si>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</si>
  <si>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</si>
  <si>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</si>
  <si>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</si>
  <si>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</si>
  <si>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</si>
  <si>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</si>
  <si>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</si>
  <si>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</si>
  <si>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</si>
  <si>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</si>
  <si>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</si>
  <si>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</si>
  <si>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</si>
  <si>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</si>
  <si>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</si>
  <si>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</si>
  <si>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</si>
  <si>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</si>
  <si>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</si>
  <si>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</si>
  <si>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</si>
  <si>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</si>
  <si>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</si>
  <si>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</si>
  <si>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</si>
  <si>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</si>
  <si>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</si>
  <si>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</si>
  <si>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</si>
  <si>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</si>
  <si>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</si>
  <si>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</si>
  <si>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</si>
  <si>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</si>
  <si>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</si>
  <si>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</si>
  <si>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</si>
  <si>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</si>
  <si>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</si>
  <si>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</si>
  <si>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</si>
  <si>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</si>
  <si>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</si>
  <si>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</si>
  <si>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</si>
  <si>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</si>
  <si>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</si>
  <si>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</si>
  <si>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</si>
  <si>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</si>
  <si>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</si>
  <si>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</si>
  <si>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</si>
  <si>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</si>
  <si>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</si>
  <si>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</si>
  <si>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</si>
  <si>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</si>
  <si>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</si>
  <si>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</si>
  <si>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</si>
  <si>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</si>
  <si>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</si>
  <si>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</si>
  <si>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</si>
  <si>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</si>
  <si>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</si>
  <si>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</si>
  <si>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</si>
  <si>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</si>
  <si>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</si>
  <si>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</si>
  <si>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</si>
  <si>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</si>
  <si>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</si>
  <si>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</si>
  <si>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</si>
  <si>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</si>
  <si>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</si>
  <si>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</si>
  <si>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</si>
  <si>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</si>
  <si>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</si>
  <si>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</si>
  <si>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</si>
  <si>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</si>
  <si>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</si>
  <si>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</si>
  <si>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</si>
  <si>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</si>
  <si>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</si>
  <si>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</si>
  <si>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</si>
  <si>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</si>
  <si>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</si>
  <si>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</si>
  <si>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</si>
  <si>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</si>
  <si>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</si>
  <si>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</si>
  <si>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</si>
  <si>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</si>
  <si>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</si>
  <si>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</si>
  <si>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</si>
  <si>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</si>
  <si>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</si>
  <si>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</si>
  <si>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</si>
  <si>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</si>
  <si>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</si>
  <si>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</si>
  <si>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</si>
  <si>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</si>
  <si>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</si>
  <si>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</si>
  <si>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</si>
  <si>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</si>
  <si>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</si>
  <si>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</si>
  <si>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</si>
  <si>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</si>
  <si>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</si>
  <si>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</si>
  <si>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</si>
  <si>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</si>
  <si>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</si>
  <si>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</si>
  <si>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</si>
  <si>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</si>
  <si>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</si>
  <si>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</si>
  <si>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</si>
  <si>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</si>
  <si>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</si>
  <si>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</si>
  <si>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</si>
  <si>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</si>
  <si>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</si>
  <si>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</si>
  <si>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</si>
  <si>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</si>
  <si>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</si>
  <si>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</si>
  <si>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</si>
  <si>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</si>
  <si>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</si>
  <si>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</si>
  <si>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</si>
  <si>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</si>
  <si>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</si>
  <si>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</si>
  <si>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</si>
  <si>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</si>
  <si>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</si>
  <si>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</si>
  <si>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</si>
  <si>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</si>
  <si>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</si>
  <si>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</si>
  <si>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</si>
  <si>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</si>
  <si>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</si>
  <si>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</si>
  <si>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</si>
  <si>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</si>
  <si>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</si>
  <si>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</si>
  <si>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</si>
  <si>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</si>
  <si>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</si>
  <si>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</si>
  <si>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</si>
  <si>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</si>
  <si>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</si>
  <si>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</si>
  <si>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</si>
  <si>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</si>
  <si>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</si>
  <si>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</si>
  <si>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</si>
  <si>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</si>
  <si>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</si>
  <si>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</si>
  <si>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</si>
  <si>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</si>
  <si>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</si>
  <si>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</si>
  <si>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</si>
  <si>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</si>
  <si>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</si>
  <si>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</si>
  <si>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</si>
  <si>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</si>
  <si>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</si>
  <si>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</si>
  <si>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</si>
  <si>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</si>
  <si>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</si>
  <si>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</si>
  <si>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</si>
  <si>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</si>
  <si>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</si>
  <si>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</si>
  <si>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</si>
  <si>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</si>
  <si>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</si>
  <si>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</si>
  <si>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</si>
  <si>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</si>
  <si>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</si>
  <si>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</si>
  <si>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</si>
  <si>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</si>
  <si>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</si>
  <si>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</si>
  <si>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</si>
  <si>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</si>
  <si>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</si>
  <si>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</si>
  <si>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</si>
  <si>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</si>
  <si>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</si>
  <si>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</si>
  <si>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</si>
  <si>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</si>
  <si>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</si>
  <si>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</si>
  <si>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</si>
  <si>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</si>
  <si>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</si>
  <si>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</si>
  <si>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</si>
  <si>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</si>
  <si>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</si>
  <si>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</si>
  <si>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</si>
  <si>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</si>
  <si>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</si>
  <si>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</si>
  <si>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</si>
  <si>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</si>
  <si>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</si>
  <si>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</si>
  <si>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</si>
  <si>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</si>
  <si>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</si>
  <si>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</si>
  <si>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</si>
  <si>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</si>
  <si>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</si>
  <si>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</si>
  <si>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</si>
  <si>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</si>
  <si>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</si>
  <si>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</si>
  <si>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</si>
  <si>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</si>
  <si>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</si>
  <si>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</si>
  <si>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</si>
  <si>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</si>
  <si>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</si>
  <si>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</si>
  <si>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</si>
  <si>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</si>
  <si>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</si>
  <si>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</si>
  <si>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</si>
  <si>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</si>
  <si>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</si>
  <si>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</si>
  <si>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</si>
  <si>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</si>
  <si>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</si>
  <si>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</si>
  <si>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</si>
  <si>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</si>
  <si>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</si>
  <si>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</si>
  <si>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</si>
  <si>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</si>
  <si>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</si>
  <si>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</si>
  <si>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</si>
  <si>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</si>
  <si>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</si>
  <si>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</si>
  <si>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</si>
  <si>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</si>
  <si>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</si>
  <si>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</si>
  <si>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</si>
  <si>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</si>
  <si>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</si>
  <si>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</si>
  <si>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</si>
  <si>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</si>
  <si>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</si>
  <si>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</si>
  <si>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</si>
  <si>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</si>
  <si>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</si>
  <si>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</si>
  <si>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</si>
  <si>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</si>
  <si>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</si>
  <si>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</si>
  <si>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</si>
  <si>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</si>
  <si>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</si>
  <si>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</si>
  <si>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</si>
  <si>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</si>
  <si>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</si>
  <si>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</si>
  <si>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</si>
  <si>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</si>
  <si>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</si>
  <si>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</si>
  <si>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</si>
  <si>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</si>
  <si>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</si>
  <si>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</si>
  <si>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</si>
  <si>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</si>
  <si>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</si>
  <si>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</si>
  <si>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</si>
  <si>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</si>
  <si>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</si>
  <si>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</si>
  <si>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</si>
  <si>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</si>
  <si>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</si>
  <si>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</si>
  <si>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</si>
  <si>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</si>
  <si>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</si>
  <si>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</si>
  <si>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</si>
  <si>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</si>
  <si>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</si>
  <si>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</si>
  <si>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</si>
  <si>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</si>
  <si>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</si>
  <si>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</si>
  <si>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</si>
  <si>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</si>
  <si>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</si>
  <si>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</si>
  <si>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</si>
  <si>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</si>
  <si>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</si>
  <si>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</si>
  <si>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</si>
  <si>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</si>
  <si>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</si>
  <si>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</si>
  <si>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</si>
  <si>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</si>
  <si>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</si>
  <si>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</si>
  <si>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</si>
  <si>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</si>
  <si>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</si>
  <si>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</si>
  <si>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</si>
  <si>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</si>
  <si>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</si>
  <si>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</si>
  <si>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</si>
  <si>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</si>
  <si>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</si>
  <si>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</si>
  <si>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</si>
  <si>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</si>
  <si>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</si>
  <si>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</si>
  <si>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</si>
  <si>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</si>
  <si>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</si>
  <si>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</si>
  <si>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</si>
  <si>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</si>
  <si>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</si>
  <si>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</si>
  <si>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</si>
  <si>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</si>
  <si>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</si>
  <si>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</si>
  <si>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</si>
  <si>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</si>
  <si>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</si>
  <si>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</si>
  <si>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</si>
  <si>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</si>
  <si>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</si>
  <si>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</si>
  <si>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</si>
  <si>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</si>
  <si>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</si>
  <si>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</si>
  <si>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</si>
  <si>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</si>
  <si>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</si>
  <si>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</si>
  <si>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</si>
  <si>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</si>
  <si>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</si>
  <si>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</si>
  <si>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</si>
  <si>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</si>
  <si>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</si>
  <si>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</si>
  <si>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</si>
  <si>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</si>
  <si>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</si>
  <si>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</si>
  <si>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</si>
  <si>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</si>
  <si>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</si>
  <si>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</si>
  <si>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</si>
  <si>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</si>
  <si>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</si>
  <si>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</si>
  <si>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</si>
  <si>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</si>
  <si>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</si>
  <si>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</si>
  <si>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</si>
  <si>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</si>
  <si>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</si>
  <si>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</si>
  <si>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</si>
  <si>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</si>
  <si>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</si>
  <si>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</si>
  <si>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</si>
  <si>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</si>
  <si>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</si>
  <si>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</si>
  <si>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</si>
  <si>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</si>
  <si>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</si>
  <si>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</si>
  <si>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</si>
  <si>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</si>
  <si>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</si>
  <si>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</si>
  <si>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</si>
  <si>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</si>
  <si>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</si>
  <si>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</si>
  <si>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</si>
  <si>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</si>
  <si>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</si>
  <si>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</si>
  <si>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</si>
  <si>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</si>
  <si>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</si>
  <si>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</si>
  <si>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</si>
  <si>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</si>
  <si>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</si>
  <si>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</si>
  <si>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</si>
  <si>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</si>
  <si>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</si>
  <si>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</si>
  <si>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</si>
  <si>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</si>
  <si>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</si>
  <si>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</si>
  <si>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</si>
  <si>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</si>
  <si>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</si>
  <si>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</si>
  <si>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</si>
  <si>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</si>
  <si>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</si>
  <si>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</si>
  <si>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</si>
  <si>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</si>
  <si>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</si>
  <si>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</si>
  <si>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</si>
  <si>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</si>
  <si>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</si>
  <si>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</si>
  <si>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</si>
  <si>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</si>
  <si>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</si>
  <si>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</si>
  <si>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</si>
  <si>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</si>
  <si>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</si>
  <si>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</si>
  <si>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</si>
  <si>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</si>
  <si>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</si>
  <si>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</si>
  <si>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</si>
  <si>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</si>
  <si>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</si>
  <si>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</si>
  <si>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</si>
  <si>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</si>
  <si>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</si>
  <si>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</si>
  <si>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</si>
  <si>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</si>
  <si>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</si>
  <si>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</si>
  <si>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</si>
  <si>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</si>
  <si>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</si>
  <si>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</si>
  <si>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</si>
  <si>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</si>
  <si>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</si>
  <si>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</si>
  <si>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</si>
  <si>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</si>
  <si>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</si>
  <si>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</si>
  <si>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</si>
  <si>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</si>
  <si>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</si>
  <si>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</si>
  <si>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</si>
  <si>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</si>
  <si>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</si>
  <si>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</si>
  <si>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</si>
  <si>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</si>
  <si>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</si>
  <si>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</si>
  <si>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</si>
  <si>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</si>
  <si>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</si>
  <si>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</si>
  <si>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</si>
  <si>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</si>
  <si>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</si>
  <si>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</si>
  <si>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</si>
  <si>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</si>
  <si>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</si>
  <si>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</si>
  <si>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</si>
  <si>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</si>
  <si>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</si>
  <si>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</si>
  <si>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</si>
  <si>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</si>
  <si>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</si>
  <si>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</si>
  <si>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</si>
  <si>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</si>
  <si>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</si>
  <si>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</si>
  <si>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</si>
  <si>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</si>
  <si>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</si>
  <si>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</si>
  <si>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</si>
  <si>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</si>
  <si>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</si>
  <si>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</si>
  <si>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</si>
  <si>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</si>
  <si>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</si>
  <si>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</si>
  <si>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</si>
  <si>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</si>
  <si>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</si>
  <si>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</si>
  <si>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</si>
  <si>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</si>
  <si>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</si>
  <si>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</si>
  <si>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</si>
  <si>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</si>
  <si>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</si>
  <si>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</si>
  <si>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</si>
  <si>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</si>
  <si>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</si>
  <si>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</si>
  <si>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</si>
  <si>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</si>
  <si>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</si>
  <si>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</si>
  <si>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</si>
  <si>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</si>
  <si>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</si>
  <si>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</si>
  <si>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</si>
  <si>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</si>
  <si>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</si>
  <si>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</si>
  <si>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</si>
  <si>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</si>
  <si>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</si>
  <si>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</si>
  <si>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</si>
  <si>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</si>
  <si>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</si>
  <si>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</si>
  <si>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</si>
  <si>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</si>
  <si>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</si>
  <si>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</si>
  <si>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</si>
  <si>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</si>
  <si>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</si>
  <si>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</si>
  <si>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</si>
  <si>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</si>
  <si>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</si>
  <si>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</si>
  <si>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</si>
  <si>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</si>
  <si>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</si>
  <si>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</si>
  <si>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</si>
  <si>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</si>
  <si>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</si>
  <si>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</si>
  <si>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</si>
  <si>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</si>
  <si>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</si>
  <si>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</si>
  <si>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</si>
  <si>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</si>
  <si>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</si>
  <si>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</si>
  <si>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</si>
  <si>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</si>
  <si>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</si>
  <si>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</si>
  <si>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</si>
  <si>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</si>
  <si>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</si>
  <si>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</si>
  <si>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</si>
  <si>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</si>
  <si>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</si>
  <si>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</si>
  <si>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</si>
  <si>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</si>
  <si>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</si>
  <si>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</si>
  <si>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</si>
  <si>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</si>
  <si>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</si>
  <si>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</si>
  <si>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</si>
  <si>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</si>
  <si>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</si>
  <si>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</si>
  <si>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</si>
  <si>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</si>
  <si>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</si>
  <si>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</si>
  <si>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</si>
  <si>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</si>
  <si>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</si>
  <si>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</si>
  <si>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</si>
  <si>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</si>
  <si>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</si>
  <si>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</si>
  <si>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</si>
  <si>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</si>
  <si>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</si>
  <si>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</si>
  <si>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</si>
  <si>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</si>
  <si>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</si>
  <si>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</si>
  <si>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</si>
  <si>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</si>
  <si>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</si>
  <si>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</si>
  <si>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</si>
  <si>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</si>
  <si>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</si>
  <si>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</si>
  <si>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</si>
  <si>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</si>
  <si>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</si>
  <si>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</si>
  <si>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</si>
  <si>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</si>
  <si>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</si>
  <si>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</si>
  <si>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</si>
  <si>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</si>
  <si>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</si>
  <si>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</si>
  <si>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</si>
  <si>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</si>
  <si>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</si>
  <si>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</si>
  <si>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</si>
  <si>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</si>
  <si>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</si>
  <si>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</si>
  <si>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</si>
  <si>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</si>
  <si>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</si>
  <si>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</si>
  <si>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</si>
  <si>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</si>
  <si>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</si>
  <si>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</si>
  <si>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</si>
  <si>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</si>
  <si>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</si>
  <si>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</si>
  <si>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</si>
  <si>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</si>
  <si>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</si>
  <si>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</si>
  <si>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</si>
  <si>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</si>
  <si>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</si>
  <si>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</si>
  <si>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</si>
  <si>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</si>
  <si>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</si>
  <si>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</si>
  <si>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</si>
  <si>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</si>
  <si>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</si>
  <si>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</si>
  <si>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</si>
  <si>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</si>
  <si>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</si>
  <si>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</si>
  <si>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</si>
  <si>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</si>
  <si>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</si>
  <si>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</si>
  <si>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</si>
  <si>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</si>
  <si>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</si>
  <si>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</si>
  <si>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</si>
  <si>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</si>
  <si>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</si>
  <si>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</si>
  <si>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</si>
  <si>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</si>
  <si>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</si>
  <si>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</si>
  <si>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</si>
  <si>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</si>
  <si>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</si>
  <si>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</si>
  <si>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</si>
  <si>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</si>
  <si>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</si>
  <si>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</si>
  <si>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</si>
  <si>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</si>
  <si>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</si>
  <si>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</si>
  <si>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</si>
  <si>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</si>
  <si>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</si>
  <si>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</si>
  <si>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</si>
  <si>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</si>
  <si>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</si>
  <si>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</si>
  <si>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</si>
  <si>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</si>
  <si>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</si>
  <si>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</si>
  <si>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</si>
  <si>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</si>
  <si>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</si>
  <si>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</si>
  <si>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</si>
  <si>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</si>
  <si>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</si>
  <si>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</si>
  <si>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</si>
  <si>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</si>
  <si>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</si>
  <si>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</si>
  <si>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</si>
  <si>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</si>
  <si>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</si>
  <si>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</si>
  <si>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</si>
  <si>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</si>
  <si>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</si>
  <si>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</si>
  <si>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</si>
  <si>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</si>
  <si>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</si>
  <si>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</si>
  <si>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</si>
  <si>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</si>
  <si>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</si>
  <si>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</si>
  <si>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</si>
  <si>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</si>
  <si>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</si>
  <si>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</si>
  <si>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</si>
  <si>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</si>
  <si>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</si>
  <si>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</si>
  <si>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</si>
  <si>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</si>
  <si>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</si>
  <si>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</si>
  <si>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</si>
  <si>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</si>
  <si>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</si>
  <si>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</si>
  <si>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</si>
  <si>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</si>
  <si>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</si>
  <si>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</si>
  <si>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</si>
  <si>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</si>
  <si>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</si>
  <si>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</si>
  <si>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</si>
  <si>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</si>
  <si>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</si>
  <si>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</si>
  <si>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</si>
  <si>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</si>
  <si>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</si>
  <si>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</si>
  <si>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</si>
  <si>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</si>
  <si>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</si>
  <si>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</si>
  <si>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</si>
  <si>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</si>
  <si>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</si>
  <si>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</si>
  <si>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</si>
  <si>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</si>
  <si>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</si>
  <si>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</si>
  <si>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</si>
  <si>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</si>
  <si>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</si>
  <si>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</si>
  <si>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</si>
  <si>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</si>
  <si>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</si>
  <si>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</si>
  <si>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</si>
  <si>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</si>
  <si>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</si>
  <si>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</si>
  <si>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</si>
  <si>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</si>
  <si>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</si>
  <si>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</si>
  <si>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</si>
  <si>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</si>
  <si>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</si>
  <si>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</si>
  <si>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</si>
  <si>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</si>
  <si>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</si>
  <si>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</si>
  <si>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</si>
  <si>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</si>
  <si>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</si>
  <si>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</si>
  <si>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</si>
  <si>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</si>
  <si>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</si>
  <si>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</si>
  <si>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</si>
  <si>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</si>
  <si>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</si>
  <si>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</si>
  <si>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</si>
  <si>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</si>
  <si>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</si>
  <si>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</si>
  <si>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</si>
  <si>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</si>
  <si>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</si>
  <si>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</si>
  <si>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</si>
  <si>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</si>
  <si>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</si>
  <si>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</si>
  <si>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</si>
  <si>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</si>
  <si>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</si>
  <si>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</si>
  <si>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</si>
  <si>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</si>
  <si>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</si>
  <si>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</si>
  <si>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</si>
  <si>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</si>
  <si>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</si>
  <si>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</si>
  <si>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</si>
  <si>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</si>
  <si>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</si>
  <si>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</si>
  <si>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</si>
  <si>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</si>
  <si>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</si>
  <si>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</si>
  <si>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</si>
  <si>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</si>
  <si>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</si>
  <si>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</si>
  <si>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</si>
  <si>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</si>
  <si>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</si>
  <si>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</si>
  <si>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</si>
  <si>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</si>
  <si>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</si>
  <si>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</si>
  <si>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</si>
  <si>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</si>
  <si>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</si>
  <si>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</si>
  <si>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</si>
  <si>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</si>
  <si>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</si>
  <si>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</si>
  <si>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</si>
  <si>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</si>
  <si>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</si>
  <si>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</si>
  <si>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</si>
  <si>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</si>
  <si>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</si>
  <si>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</si>
  <si>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</si>
  <si>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</si>
  <si>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</si>
  <si>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</si>
  <si>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</si>
  <si>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</si>
  <si>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</si>
  <si>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</si>
  <si>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</si>
  <si>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</si>
  <si>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</si>
  <si>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</si>
  <si>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</si>
  <si>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</si>
  <si>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</si>
  <si>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</si>
  <si>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</si>
  <si>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</si>
  <si>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</si>
  <si>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</si>
  <si>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</si>
  <si>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</si>
  <si>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</si>
  <si>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</si>
  <si>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</si>
  <si>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</si>
  <si>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</si>
  <si>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</si>
  <si>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</si>
  <si>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</si>
  <si>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</si>
  <si>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</si>
  <si>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</si>
  <si>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</si>
  <si>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</si>
  <si>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</si>
  <si>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</si>
  <si>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</si>
  <si>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</si>
  <si>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</si>
  <si>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</si>
  <si>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</si>
  <si>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</si>
  <si>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</si>
  <si>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</si>
  <si>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</si>
  <si>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</si>
  <si>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</si>
  <si>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</si>
  <si>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</si>
  <si>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</si>
  <si>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</si>
  <si>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</si>
  <si>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</si>
  <si>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</si>
  <si>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</si>
  <si>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</si>
  <si>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</si>
  <si>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</si>
  <si>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</si>
  <si>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</si>
  <si>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</si>
  <si>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</si>
  <si>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</si>
  <si>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</si>
  <si>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</si>
  <si>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</si>
  <si>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</si>
  <si>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</si>
  <si>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</si>
  <si>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</si>
  <si>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</si>
  <si>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</si>
  <si>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</si>
  <si>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</si>
  <si>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</si>
  <si>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</si>
  <si>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</si>
  <si>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</si>
  <si>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</si>
  <si>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</si>
  <si>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</si>
  <si>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</si>
  <si>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</si>
  <si>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</si>
  <si>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</si>
  <si>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</si>
  <si>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</si>
  <si>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</si>
  <si>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</si>
  <si>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</si>
  <si>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</si>
  <si>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</si>
  <si>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</si>
  <si>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</si>
  <si>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</si>
  <si>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</si>
  <si>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</si>
  <si>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</si>
  <si>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</si>
  <si>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</si>
  <si>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</si>
  <si>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</si>
  <si>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</si>
  <si>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</si>
  <si>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</si>
  <si>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</si>
  <si>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</si>
  <si>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</si>
  <si>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</si>
  <si>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</si>
  <si>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</si>
  <si>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</si>
  <si>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</si>
  <si>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</si>
  <si>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</si>
  <si>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</si>
  <si>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</si>
  <si>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</si>
  <si>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</si>
  <si>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</si>
  <si>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</si>
  <si>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</si>
  <si>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</si>
  <si>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</si>
  <si>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</si>
  <si>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</si>
  <si>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</si>
  <si>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</si>
  <si>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</si>
  <si>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</si>
  <si>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</si>
  <si>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</si>
  <si>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</si>
  <si>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</si>
  <si>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</si>
  <si>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</si>
  <si>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</si>
  <si>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</si>
  <si>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</si>
  <si>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</si>
  <si>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</si>
  <si>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</si>
  <si>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</si>
  <si>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</si>
  <si>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</si>
  <si>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</si>
  <si>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</si>
  <si>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</si>
  <si>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</si>
  <si>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</si>
  <si>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</si>
  <si>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</si>
  <si>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</si>
  <si>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</si>
  <si>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</si>
  <si>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</si>
  <si>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</si>
  <si>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</si>
  <si>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</si>
  <si>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</si>
  <si>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</si>
  <si>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</si>
  <si>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</si>
  <si>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</si>
  <si>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</si>
  <si>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</si>
  <si>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</si>
  <si>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</si>
  <si>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</si>
  <si>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</si>
  <si>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</si>
  <si>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</si>
  <si>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</si>
  <si>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</si>
  <si>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</si>
  <si>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</si>
  <si>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</si>
  <si>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</si>
  <si>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</si>
  <si>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</si>
  <si>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</si>
  <si>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</si>
  <si>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</si>
  <si>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</si>
  <si>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</si>
  <si>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</si>
  <si>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</si>
  <si>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</si>
  <si>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</si>
  <si>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</si>
  <si>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</si>
  <si>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</si>
  <si>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</si>
  <si>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</si>
  <si>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</si>
  <si>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</si>
  <si>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</si>
  <si>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</si>
  <si>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</si>
  <si>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</si>
  <si>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</si>
  <si>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</si>
  <si>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</si>
  <si>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</si>
  <si>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</si>
  <si>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</si>
  <si>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</si>
  <si>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</si>
  <si>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</si>
  <si>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</si>
  <si>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</si>
  <si>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</si>
  <si>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</si>
  <si>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</si>
  <si>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</si>
  <si>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</si>
  <si>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</si>
  <si>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</si>
  <si>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</si>
  <si>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</si>
  <si>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</si>
  <si>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</si>
  <si>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</si>
  <si>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</si>
  <si>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</si>
  <si>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</si>
  <si>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</si>
  <si>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</si>
  <si>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</si>
  <si>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</si>
  <si>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</si>
  <si>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</si>
  <si>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</si>
  <si>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</si>
  <si>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</si>
  <si>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</si>
  <si>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</si>
  <si>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</si>
  <si>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</si>
  <si>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</si>
  <si>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</si>
  <si>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</si>
  <si>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</si>
  <si>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</si>
  <si>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</si>
  <si>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</si>
  <si>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</si>
  <si>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</si>
  <si>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</si>
  <si>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</si>
  <si>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</si>
  <si>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</si>
  <si>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</si>
  <si>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</si>
  <si>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</si>
  <si>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</si>
  <si>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</si>
  <si>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</si>
  <si>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</si>
  <si>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</si>
  <si>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</si>
  <si>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</si>
  <si>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</si>
  <si>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</si>
  <si>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</si>
  <si>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</si>
  <si>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</si>
  <si>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</si>
  <si>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</si>
  <si>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</si>
  <si>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</si>
  <si>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</si>
  <si>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</si>
  <si>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</si>
  <si>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</si>
  <si>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</si>
  <si>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</si>
  <si>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</si>
  <si>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</si>
  <si>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</si>
  <si>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</si>
  <si>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</si>
  <si>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</si>
  <si>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</si>
  <si>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</si>
  <si>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</si>
  <si>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</si>
  <si>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</si>
  <si>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</si>
  <si>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</si>
  <si>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</si>
  <si>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</si>
  <si>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</si>
  <si>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</si>
  <si>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</si>
  <si>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</si>
  <si>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</si>
  <si>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</si>
  <si>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</si>
  <si>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</si>
  <si>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</si>
  <si>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</si>
  <si>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</si>
  <si>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</si>
  <si>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</si>
  <si>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</si>
  <si>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</si>
  <si>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</si>
  <si>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</si>
  <si>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</si>
  <si>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</si>
  <si>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</si>
  <si>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</si>
  <si>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</si>
  <si>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</si>
  <si>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</si>
  <si>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</si>
  <si>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</si>
  <si>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</si>
  <si>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</si>
  <si>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</si>
  <si>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</si>
  <si>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</si>
  <si>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</si>
  <si>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</si>
  <si>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</si>
  <si>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</si>
  <si>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</si>
  <si>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</si>
  <si>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</si>
  <si>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</si>
  <si>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</si>
  <si>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</si>
  <si>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</si>
  <si>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</si>
  <si>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</si>
  <si>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</si>
  <si>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</si>
  <si>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</si>
  <si>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</si>
  <si>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</si>
  <si>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</si>
  <si>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</si>
  <si>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</si>
  <si>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</si>
  <si>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</si>
  <si>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</si>
  <si>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</si>
  <si>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</si>
  <si>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</si>
  <si>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</si>
  <si>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</si>
  <si>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</si>
  <si>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</si>
  <si>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</si>
  <si>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</si>
  <si>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</si>
  <si>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</si>
  <si>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</si>
  <si>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</si>
  <si>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</si>
  <si>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</si>
  <si>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</si>
  <si>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</si>
  <si>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</si>
  <si>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</si>
  <si>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</si>
  <si>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</si>
  <si>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</si>
  <si>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</si>
  <si>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</si>
  <si>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</si>
  <si>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</si>
  <si>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</si>
  <si>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</si>
  <si>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</si>
  <si>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</si>
  <si>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</si>
  <si>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</si>
  <si>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</si>
  <si>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</si>
  <si>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</si>
  <si>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</si>
  <si>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</si>
  <si>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</si>
  <si>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</si>
  <si>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</si>
  <si>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</si>
  <si>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</si>
  <si>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</si>
  <si>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</si>
  <si>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</si>
  <si>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</si>
  <si>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</si>
  <si>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</si>
  <si>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</si>
  <si>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</si>
  <si>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</si>
  <si>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</si>
  <si>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</si>
  <si>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</si>
  <si>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</si>
  <si>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</si>
  <si>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</si>
  <si>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</si>
  <si>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</si>
  <si>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</si>
  <si>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</si>
  <si>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</si>
  <si>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</si>
  <si>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</si>
  <si>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</si>
  <si>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</si>
  <si>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</si>
  <si>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</si>
  <si>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</si>
  <si>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</si>
  <si>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</si>
  <si>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</si>
  <si>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</si>
  <si>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</si>
  <si>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</si>
  <si>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</si>
  <si>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</si>
  <si>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</si>
  <si>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</si>
  <si>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</si>
  <si>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</si>
  <si>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</si>
  <si>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</si>
  <si>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</si>
  <si>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</si>
  <si>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</si>
  <si>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</si>
  <si>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</si>
  <si>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</si>
  <si>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</si>
  <si>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</si>
  <si>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</si>
  <si>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</si>
  <si>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</si>
  <si>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</si>
  <si>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</si>
  <si>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</si>
  <si>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</si>
  <si>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</si>
  <si>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</si>
  <si>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</si>
  <si>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</si>
  <si>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</si>
  <si>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</si>
  <si>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</si>
  <si>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</si>
  <si>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</si>
  <si>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</si>
  <si>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</si>
  <si>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</si>
  <si>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</si>
  <si>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</si>
  <si>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</si>
  <si>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</si>
  <si>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</si>
  <si>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</si>
  <si>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</si>
  <si>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</si>
  <si>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</si>
  <si>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</si>
  <si>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</si>
  <si>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</si>
  <si>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</si>
  <si>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</si>
  <si>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</si>
  <si>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</si>
  <si>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</si>
  <si>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</si>
  <si>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</si>
  <si>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</si>
  <si>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</si>
  <si>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</si>
  <si>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</si>
  <si>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</si>
  <si>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</si>
  <si>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</si>
  <si>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</si>
  <si>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</si>
  <si>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</si>
  <si>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</si>
  <si>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</si>
  <si>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</si>
  <si>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</si>
  <si>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</si>
  <si>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</si>
  <si>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</si>
  <si>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</si>
  <si>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</si>
  <si>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</si>
  <si>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</si>
  <si>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</si>
  <si>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</si>
  <si>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</si>
  <si>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</si>
  <si>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</si>
  <si>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</si>
  <si>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</si>
  <si>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</si>
  <si>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</si>
  <si>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</si>
  <si>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</si>
  <si>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</si>
  <si>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</si>
  <si>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</si>
  <si>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</si>
  <si>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</si>
  <si>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</si>
  <si>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</si>
  <si>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</si>
  <si>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</si>
  <si>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</si>
  <si>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</si>
  <si>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</si>
  <si>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</si>
  <si>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</si>
  <si>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</si>
  <si>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</si>
  <si>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</si>
  <si>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</si>
  <si>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</si>
  <si>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</si>
  <si>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</si>
  <si>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</si>
  <si>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</si>
  <si>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</si>
  <si>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</si>
  <si>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</si>
  <si>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</si>
  <si>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</si>
  <si>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</si>
  <si>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</si>
  <si>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</si>
  <si>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</si>
  <si>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</si>
  <si>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</si>
  <si>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</si>
  <si>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</si>
  <si>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</si>
  <si>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</si>
  <si>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</si>
  <si>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</si>
  <si>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</si>
  <si>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</si>
  <si>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</si>
  <si>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</si>
  <si>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</si>
  <si>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</si>
  <si>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</si>
  <si>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</si>
  <si>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</si>
  <si>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</si>
  <si>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</si>
  <si>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</si>
  <si>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</si>
  <si>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</si>
  <si>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</si>
  <si>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</si>
  <si>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</si>
  <si>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</si>
  <si>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</si>
  <si>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</si>
  <si>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</si>
  <si>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</si>
  <si>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</si>
  <si>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</si>
  <si>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</si>
  <si>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</si>
  <si>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</si>
  <si>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</si>
  <si>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</si>
  <si>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</si>
  <si>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</si>
  <si>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</si>
  <si>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</si>
  <si>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</si>
  <si>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</si>
  <si>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</si>
  <si>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</si>
  <si>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</si>
  <si>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</si>
  <si>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</si>
  <si>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</si>
  <si>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</si>
  <si>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</si>
  <si>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</si>
  <si>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</si>
  <si>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</si>
  <si>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</si>
  <si>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</si>
  <si>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</si>
  <si>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</si>
  <si>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</si>
  <si>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</si>
  <si>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</si>
  <si>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</si>
  <si>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</si>
  <si>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</si>
  <si>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</si>
  <si>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</si>
  <si>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</si>
  <si>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</si>
  <si>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</si>
  <si>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</si>
  <si>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</si>
  <si>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</si>
  <si>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</si>
  <si>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</si>
  <si>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</si>
  <si>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</si>
  <si>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</si>
  <si>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</si>
  <si>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</si>
  <si>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</si>
  <si>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</si>
  <si>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</si>
  <si>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</si>
  <si>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</si>
  <si>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</si>
  <si>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</si>
  <si>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</si>
  <si>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</si>
  <si>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</si>
  <si>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</si>
  <si>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</si>
  <si>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</si>
  <si>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</si>
  <si>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</si>
  <si>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</si>
  <si>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</si>
  <si>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</si>
  <si>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</si>
  <si>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</si>
  <si>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</si>
  <si>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</si>
  <si>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</si>
  <si>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</si>
  <si>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</si>
  <si>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</si>
  <si>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</si>
  <si>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</si>
  <si>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</si>
  <si>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</si>
  <si>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</si>
  <si>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</si>
  <si>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</si>
  <si>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</si>
  <si>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</si>
  <si>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</si>
  <si>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</si>
  <si>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</si>
  <si>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</si>
  <si>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</si>
  <si>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</si>
  <si>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</si>
  <si>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</si>
  <si>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</si>
  <si>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</si>
  <si>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</si>
  <si>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</si>
  <si>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</si>
  <si>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</si>
  <si>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</si>
  <si>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</si>
  <si>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</si>
  <si>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</si>
  <si>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</si>
  <si>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</si>
  <si>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</si>
  <si>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</si>
  <si>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</si>
  <si>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</si>
  <si>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</si>
  <si>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</si>
  <si>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</si>
  <si>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</si>
  <si>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</si>
  <si>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</si>
  <si>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</si>
  <si>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</si>
  <si>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</si>
  <si>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</si>
  <si>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</si>
  <si>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</si>
  <si>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</si>
  <si>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</si>
  <si>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</si>
  <si>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</si>
  <si>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</si>
  <si>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</si>
  <si>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</si>
  <si>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</si>
  <si>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</si>
  <si>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</si>
  <si>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</si>
  <si>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</si>
  <si>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</si>
  <si>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</si>
  <si>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</si>
  <si>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</si>
  <si>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</si>
  <si>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</si>
  <si>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</si>
  <si>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</si>
  <si>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</si>
  <si>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</si>
  <si>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</si>
  <si>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</si>
  <si>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</si>
  <si>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</si>
  <si>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</si>
  <si>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</si>
  <si>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</si>
  <si>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</si>
  <si>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</si>
  <si>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</si>
  <si>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</si>
  <si>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</si>
  <si>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</si>
  <si>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</si>
  <si>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</si>
  <si>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</si>
  <si>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</si>
  <si>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</si>
  <si>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</si>
  <si>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</si>
  <si>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</si>
  <si>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</si>
  <si>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</si>
  <si>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</si>
  <si>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</si>
  <si>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</si>
  <si>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</si>
  <si>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</si>
  <si>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</si>
  <si>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</si>
  <si>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</si>
  <si>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</si>
  <si>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</si>
  <si>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</si>
  <si>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</si>
  <si>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</si>
  <si>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</si>
  <si>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</si>
  <si>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</si>
  <si>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</si>
  <si>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</si>
  <si>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</si>
  <si>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</si>
  <si>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</si>
  <si>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</si>
  <si>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</si>
  <si>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</si>
  <si>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</si>
  <si>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</si>
  <si>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</si>
  <si>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</si>
  <si>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</si>
  <si>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</si>
  <si>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</si>
  <si>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</si>
  <si>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</si>
  <si>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</si>
  <si>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</si>
  <si>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</si>
  <si>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</si>
  <si>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</si>
  <si>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</si>
  <si>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</si>
  <si>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</si>
  <si>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</si>
  <si>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</si>
  <si>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</si>
  <si>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</si>
  <si>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</si>
  <si>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</si>
  <si>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</si>
  <si>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</si>
  <si>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</si>
  <si>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</si>
  <si>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</si>
  <si>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</si>
  <si>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</si>
  <si>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</si>
  <si>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</si>
  <si>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</si>
  <si>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</si>
  <si>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</si>
  <si>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</si>
  <si>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</si>
  <si>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</si>
  <si>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</si>
  <si>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</si>
  <si>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</si>
  <si>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</si>
  <si>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</si>
  <si>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</si>
  <si>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</si>
  <si>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</si>
  <si>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</si>
  <si>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</si>
  <si>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</si>
  <si>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</si>
  <si>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</si>
  <si>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</si>
  <si>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</si>
  <si>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</si>
  <si>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</si>
  <si>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</si>
  <si>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</si>
  <si>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</si>
  <si>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</si>
  <si>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</si>
  <si>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</si>
  <si>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</si>
  <si>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</si>
  <si>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</si>
  <si>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</si>
  <si>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</si>
  <si>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</si>
  <si>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</si>
  <si>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</si>
  <si>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</si>
  <si>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</si>
  <si>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</si>
  <si>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</si>
  <si>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</si>
  <si>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</si>
  <si>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</si>
  <si>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</si>
  <si>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</si>
  <si>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</si>
  <si>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</si>
  <si>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</si>
  <si>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</si>
  <si>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</si>
  <si>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</si>
  <si>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</si>
  <si>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</si>
  <si>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</si>
  <si>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</si>
  <si>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</si>
  <si>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</si>
  <si>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</si>
  <si>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</si>
  <si>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</si>
  <si>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</si>
  <si>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</si>
  <si>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</si>
  <si>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</si>
  <si>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</si>
  <si>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</si>
  <si>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</si>
  <si>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</si>
  <si>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</si>
  <si>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</si>
  <si>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</si>
  <si>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</si>
  <si>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</si>
  <si>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</si>
  <si>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</si>
  <si>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</si>
  <si>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</si>
  <si>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</si>
  <si>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</si>
  <si>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</si>
  <si>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</si>
  <si>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</si>
  <si>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</si>
  <si>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</si>
  <si>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</si>
  <si>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</si>
  <si>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</si>
  <si>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</si>
  <si>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</si>
  <si>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</si>
  <si>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</si>
  <si>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</si>
  <si>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</si>
  <si>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</si>
  <si>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</si>
  <si>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</si>
  <si>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</si>
  <si>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</si>
  <si>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</si>
  <si>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</si>
  <si>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</si>
  <si>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</si>
  <si>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</si>
  <si>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</si>
  <si>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</si>
  <si>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</si>
  <si>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</si>
  <si>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</si>
  <si>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</si>
  <si>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</si>
  <si>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</si>
  <si>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</si>
  <si>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</si>
  <si>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</si>
  <si>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</si>
  <si>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</si>
  <si>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</si>
  <si>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</si>
  <si>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</si>
  <si>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</si>
  <si>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</si>
  <si>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</si>
  <si>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</si>
  <si>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</si>
  <si>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</si>
  <si>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</si>
  <si>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</si>
  <si>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</si>
  <si>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</si>
  <si>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</si>
  <si>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</si>
  <si>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</si>
  <si>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</si>
  <si>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</si>
  <si>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</si>
  <si>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</si>
  <si>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</si>
  <si>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</si>
  <si>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</si>
  <si>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</si>
  <si>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</si>
  <si>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</si>
  <si>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</si>
  <si>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</si>
  <si>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</si>
  <si>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</si>
  <si>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</si>
  <si>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</si>
  <si>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</si>
  <si>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</si>
  <si>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</si>
  <si>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</si>
  <si>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</si>
  <si>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</si>
  <si>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</si>
  <si>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</si>
  <si>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</si>
  <si>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</si>
  <si>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</si>
  <si>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</si>
  <si>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</si>
  <si>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</si>
  <si>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</si>
  <si>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</si>
  <si>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</si>
  <si>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</si>
  <si>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</si>
  <si>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</si>
  <si>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</si>
  <si>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</si>
  <si>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</si>
  <si>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</si>
  <si>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</si>
  <si>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</si>
  <si>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</si>
  <si>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</si>
  <si>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</si>
  <si>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</si>
  <si>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</si>
  <si>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</si>
  <si>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</si>
  <si>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</si>
  <si>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</si>
  <si>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</si>
  <si>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</si>
  <si>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</si>
  <si>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</si>
  <si>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</si>
  <si>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</si>
  <si>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</si>
  <si>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</si>
  <si>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</si>
  <si>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</si>
  <si>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</si>
  <si>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</si>
  <si>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</si>
  <si>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</si>
  <si>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</si>
  <si>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</si>
  <si>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</si>
  <si>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</si>
  <si>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</si>
  <si>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</si>
  <si>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</si>
  <si>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</si>
  <si>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</si>
  <si>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</si>
  <si>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</si>
  <si>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</si>
  <si>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</si>
  <si>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</si>
  <si>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</si>
  <si>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</si>
  <si>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</si>
  <si>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</si>
  <si>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</si>
  <si>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</si>
  <si>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</si>
  <si>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</si>
  <si>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</si>
  <si>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</si>
  <si>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</si>
  <si>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</si>
  <si>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</si>
  <si>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</si>
  <si>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</si>
  <si>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</si>
  <si>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</si>
  <si>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</si>
  <si>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</si>
  <si>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</si>
  <si>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</si>
  <si>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</si>
  <si>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</si>
  <si>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</si>
  <si>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</si>
  <si>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</si>
  <si>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</si>
  <si>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</si>
  <si>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</si>
  <si>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</si>
  <si>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</si>
  <si>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</si>
  <si>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</si>
  <si>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</si>
  <si>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</si>
  <si>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</si>
  <si>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</si>
  <si>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</si>
  <si>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</si>
  <si>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</si>
  <si>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</si>
  <si>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</si>
  <si>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</si>
  <si>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</si>
  <si>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</si>
  <si>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</si>
  <si>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</si>
  <si>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</si>
  <si>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</si>
  <si>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</si>
  <si>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</si>
  <si>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</si>
  <si>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</si>
  <si>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</si>
  <si>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</si>
  <si>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</si>
  <si>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</si>
  <si>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</si>
  <si>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</si>
  <si>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</si>
  <si>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</si>
  <si>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</si>
  <si>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</si>
  <si>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</si>
  <si>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</si>
  <si>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</si>
  <si>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</si>
  <si>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</si>
  <si>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</si>
  <si>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</si>
  <si>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</si>
  <si>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</si>
  <si>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</si>
  <si>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</si>
  <si>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</si>
  <si>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</si>
  <si>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</si>
  <si>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</si>
  <si>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</si>
  <si>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</si>
  <si>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</si>
  <si>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</si>
  <si>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</si>
  <si>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</si>
  <si>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</si>
  <si>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</si>
  <si>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</si>
  <si>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</si>
  <si>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</si>
  <si>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</si>
  <si>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</si>
  <si>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</si>
  <si>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</si>
  <si>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</si>
  <si>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</si>
  <si>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</si>
  <si>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</si>
  <si>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</si>
  <si>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</si>
  <si>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</si>
  <si>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</si>
  <si>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</si>
  <si>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</si>
  <si>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</si>
  <si>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</si>
  <si>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</si>
  <si>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</si>
  <si>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</si>
  <si>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</si>
  <si>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</si>
  <si>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</si>
  <si>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</si>
  <si>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</si>
  <si>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</si>
  <si>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</si>
  <si>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</si>
  <si>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</si>
  <si>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</si>
  <si>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</si>
  <si>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</si>
  <si>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</si>
  <si>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</si>
  <si>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</si>
  <si>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</si>
  <si>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</si>
  <si>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</si>
  <si>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</si>
  <si>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</si>
  <si>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</si>
  <si>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</si>
  <si>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</si>
  <si>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</si>
  <si>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</si>
  <si>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</si>
  <si>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</si>
  <si>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</si>
  <si>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</si>
  <si>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</si>
  <si>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</si>
  <si>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</si>
  <si>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</si>
  <si>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</si>
  <si>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</si>
  <si>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</si>
  <si>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</si>
  <si>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</si>
  <si>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</si>
  <si>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</si>
  <si>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</si>
  <si>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</si>
  <si>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</si>
  <si>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</si>
  <si>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</si>
  <si>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</si>
  <si>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</si>
  <si>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</si>
  <si>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</si>
  <si>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</si>
  <si>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</si>
  <si>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</si>
  <si>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</si>
  <si>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</si>
  <si>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</si>
  <si>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</si>
  <si>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</si>
  <si>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</si>
  <si>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</si>
  <si>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</si>
  <si>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</si>
  <si>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</si>
  <si>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</si>
  <si>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</si>
  <si>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</si>
  <si>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</si>
  <si>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</si>
  <si>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</si>
  <si>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</si>
  <si>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</si>
  <si>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</si>
  <si>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</si>
  <si>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</si>
  <si>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</si>
  <si>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</si>
  <si>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</si>
  <si>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</si>
  <si>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</si>
  <si>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</si>
  <si>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</si>
  <si>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</si>
  <si>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</si>
  <si>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</si>
  <si>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</si>
  <si>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</si>
  <si>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</si>
  <si>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</si>
  <si>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</si>
  <si>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</si>
  <si>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</si>
  <si>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</si>
  <si>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</si>
  <si>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</si>
  <si>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</si>
  <si>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</si>
  <si>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</si>
  <si>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</si>
  <si>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</si>
  <si>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</si>
  <si>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</si>
  <si>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</si>
  <si>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</si>
  <si>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</si>
  <si>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</si>
  <si>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</si>
  <si>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</si>
  <si>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</si>
  <si>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</si>
  <si>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</si>
  <si>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</si>
  <si>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</si>
  <si>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</si>
  <si>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</si>
  <si>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</si>
  <si>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</si>
  <si>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</si>
  <si>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</si>
  <si>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</si>
  <si>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</si>
  <si>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</si>
  <si>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</si>
  <si>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</si>
  <si>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</si>
  <si>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</si>
  <si>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厂房</t>
  </si>
  <si>
    <t>厂房</t>
    <phoneticPr fontId="7" type="noConversion"/>
  </si>
  <si>
    <t>成新度</t>
  </si>
  <si>
    <t>利息：取LPR加浮动点数</t>
  </si>
  <si>
    <t>未包含在土地购买价格中</t>
  </si>
  <si>
    <t>全部缴纳</t>
  </si>
  <si>
    <t>已包含在土地取得成本中</t>
  </si>
  <si>
    <t>押一</t>
  </si>
  <si>
    <t>钢</t>
  </si>
  <si>
    <t>非生产用房</t>
  </si>
  <si>
    <t>否</t>
  </si>
  <si>
    <t>收益法</t>
  </si>
  <si>
    <t>自定义容积率</t>
  </si>
  <si>
    <t>不临65条商业街</t>
  </si>
  <si>
    <t>通路</t>
  </si>
  <si>
    <t>通电</t>
  </si>
  <si>
    <t>通讯</t>
  </si>
  <si>
    <t>通上水</t>
  </si>
  <si>
    <t>通下水</t>
  </si>
  <si>
    <t>通热</t>
  </si>
  <si>
    <t>平整</t>
  </si>
  <si>
    <t>较好</t>
  </si>
  <si>
    <t>较差</t>
  </si>
  <si>
    <t>差</t>
  </si>
  <si>
    <t>好</t>
  </si>
  <si>
    <t>一般</t>
  </si>
  <si>
    <t>成本法</t>
  </si>
  <si>
    <t>总价</t>
  </si>
  <si>
    <t>成本比率</t>
  </si>
  <si>
    <t>地块名称</t>
  </si>
  <si>
    <t>城市</t>
  </si>
  <si>
    <t>规划用途</t>
  </si>
  <si>
    <t>建设用地面积</t>
  </si>
  <si>
    <t>规划建筑面积</t>
  </si>
  <si>
    <t>容积率</t>
  </si>
  <si>
    <t>出让方式</t>
  </si>
  <si>
    <t>截止时间</t>
  </si>
  <si>
    <t>受让单位</t>
  </si>
  <si>
    <t>起始价</t>
  </si>
  <si>
    <t>成交价</t>
  </si>
  <si>
    <t>成交楼面价</t>
  </si>
  <si>
    <t>地面价</t>
    <phoneticPr fontId="3" type="noConversion"/>
  </si>
  <si>
    <t>溢价率</t>
  </si>
  <si>
    <t>出让年限</t>
    <phoneticPr fontId="3" type="noConversion"/>
  </si>
  <si>
    <t>年期</t>
    <phoneticPr fontId="3" type="noConversion"/>
  </si>
  <si>
    <t>容积率</t>
    <phoneticPr fontId="3" type="noConversion"/>
  </si>
  <si>
    <t>亦庄新城0302街区B11M3地块工业项目</t>
  </si>
  <si>
    <t>≤0.8</t>
  </si>
  <si>
    <t>挂牌</t>
  </si>
  <si>
    <t>2023-02-23</t>
  </si>
  <si>
    <t>广钢气体(北京)有限公司</t>
  </si>
  <si>
    <t>亦庄新城0702街区N44M1地块工业项目</t>
  </si>
  <si>
    <t>2023-02-07</t>
  </si>
  <si>
    <t>北京京东方创元科技有限公司</t>
  </si>
  <si>
    <t>亦庄新城0104街区48M4地块工业项目</t>
  </si>
  <si>
    <t>小于等于2.35</t>
  </si>
  <si>
    <t>2023-01-29</t>
  </si>
  <si>
    <t>北京北方华创微电子装备有限公司</t>
  </si>
  <si>
    <t>北京经济技术开发区42M2地块工业项目</t>
  </si>
  <si>
    <t>小于等于1.5</t>
  </si>
  <si>
    <t>北京屹唐科技有限公司</t>
  </si>
  <si>
    <t>亦庄新城0104街区34M4地块工业项目</t>
  </si>
  <si>
    <t>小于等于1.07</t>
  </si>
  <si>
    <t>亦庄新城0606街区YZ00-0606-0039地块工业用地项目</t>
  </si>
  <si>
    <t>2023-01-05</t>
  </si>
  <si>
    <t>北京世维通科技股份有限公司</t>
  </si>
  <si>
    <t>大兴新城东南片区0605-022C地块M2工业用地</t>
  </si>
  <si>
    <t>≤1.5</t>
  </si>
  <si>
    <t>2022-11-03</t>
  </si>
  <si>
    <t>北京天科合达半导体股份有限公司</t>
  </si>
  <si>
    <t>亦庄新城0606街区YZ00-0606-0027地块</t>
  </si>
  <si>
    <t>2022-10-26</t>
  </si>
  <si>
    <t>盛吉盛半导体科技(北京)有限公司</t>
  </si>
  <si>
    <t>亦庄新城0606街区YZ00-0606-0034地块</t>
  </si>
  <si>
    <t>东方晶源微电子科技(北京)有限公司</t>
  </si>
  <si>
    <t>亦庄新城0803街区YZ00-0803-1101地块工业项目</t>
  </si>
  <si>
    <t>≤1.15</t>
  </si>
  <si>
    <t>2022-09-05</t>
  </si>
  <si>
    <t>航家通用航空有限公司</t>
  </si>
  <si>
    <t>亦庄新城0803街区YZ00-0803-1501地块工业项目</t>
  </si>
  <si>
    <t>北京神导惯性技术有限公司</t>
  </si>
  <si>
    <t>亦庄新城0606街区YZ00-0606-0054地块工业项目</t>
  </si>
  <si>
    <t>2022-08-15</t>
  </si>
  <si>
    <t>至纯科技(北京)有限公司</t>
  </si>
  <si>
    <t>亦庄新城0107街区72M1地块工业项目</t>
  </si>
  <si>
    <t>萨姆森控制设备(中国)有限公司</t>
  </si>
  <si>
    <t>大兴生物医药产业基地DX00-0501-0051-2地块M1工业用地国有建设用地使用权出让公告</t>
  </si>
  <si>
    <t>≥1.0,≤1.0</t>
  </si>
  <si>
    <t>2022-06-30</t>
  </si>
  <si>
    <t>北京华洋奎龙药业有限公司</t>
  </si>
  <si>
    <t>亦庄新城0701街区N4M1地块工业项目</t>
  </si>
  <si>
    <t>≤1.0</t>
  </si>
  <si>
    <t>2022-06-01</t>
  </si>
  <si>
    <t>华丰燃料电池有限公司</t>
  </si>
  <si>
    <t>亦庄新城0606街区YZ00-0606-0016地块工业项目</t>
  </si>
  <si>
    <t>北京富创精密半导体有限公司</t>
  </si>
  <si>
    <t>北京大兴国际机场综合保税区*DX12-0107-081-01地块W1物流用地</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</si>
  <si>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</si>
  <si>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</si>
  <si>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</si>
  <si>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</si>
  <si>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</si>
  <si>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</si>
  <si>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</si>
  <si>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2022-04-20</t>
  </si>
  <si>
    <t>北京新光凯乐汽车冷成型件股份有限公司</t>
  </si>
  <si>
    <t>北京经济技术开发区亦庄新城YZ00-0606-0101地块工业项目</t>
  </si>
  <si>
    <t>小米景曦科技有限公司</t>
  </si>
  <si>
    <t>北京大兴国际机场综合保税区DX12-0107-081-02地块W1物流用地</t>
  </si>
  <si>
    <t>2022-03-22</t>
  </si>
  <si>
    <t>南洋云仓(北京)供应链管理有限公司</t>
  </si>
  <si>
    <t>大兴区庞各庄镇区DX06-0103-6078地块*(原PGZ03-78地块)项目工业用地国有建设用地使用权出让挂牌文件</t>
  </si>
  <si>
    <t>2022-03-10</t>
  </si>
  <si>
    <t>国家电投集团氢能科技发展有限公司</t>
  </si>
  <si>
    <t>北京经济技术开发区0606街区*YZ00-0606-0012地块工业项目国有建设用地使用权供应</t>
  </si>
  <si>
    <t>2022-02-08</t>
  </si>
  <si>
    <t>华海清科(北京)科技有限公司</t>
  </si>
  <si>
    <t>大兴新城东南片区0605-015E地块</t>
  </si>
  <si>
    <t>2021-12-31</t>
  </si>
  <si>
    <t>北京海德利森科技有限公司</t>
  </si>
  <si>
    <t>北京经济技术开发区0606街区YZ00-0606-0051地块M1一类工业用地国有建设用地使用权出让公告</t>
  </si>
  <si>
    <t>2021-12-24</t>
  </si>
  <si>
    <t>北京华封集芯电子有限公司</t>
  </si>
  <si>
    <t>大兴区庞各庄镇DX06-0103-6022地块一类工业用地</t>
  </si>
  <si>
    <t>招标</t>
  </si>
  <si>
    <t>2021-10-18</t>
  </si>
  <si>
    <t>北京安盾兰达智能科技有限公司</t>
  </si>
  <si>
    <t>大兴生物医药产业基地DX00-0501-0057地块M1一类工业用地国有建设用地使用权出让挂牌文件</t>
  </si>
  <si>
    <t>2021-10-11</t>
  </si>
  <si>
    <t>北京谊安和瑞技术有限公司</t>
  </si>
  <si>
    <t>大兴生物医药产业基地DX00-0502-0045地块M1一类工业用地国有建设用地使用权出让挂牌文件</t>
  </si>
  <si>
    <t>北京生物医药产业基地发展有限公司</t>
  </si>
  <si>
    <t>大兴生物医药产业基地DX00-0501-0051-1地块M1一类工业用地国有建设用地使用权出让挂牌文件</t>
  </si>
  <si>
    <t>北京巴瑞医疗器械有限公司</t>
  </si>
  <si>
    <t>大兴生物医药产业基地DX00-0501-0061地块M1一类工业用地国有建设用地使用权出让挂牌文件</t>
  </si>
  <si>
    <t>亦庄新城0302街区B9M1地块</t>
  </si>
  <si>
    <t>2021-09-27</t>
  </si>
  <si>
    <t>北京集电控股有限公司</t>
  </si>
  <si>
    <t>北京经济技术开发区路东区D9M3地块</t>
  </si>
  <si>
    <t>俐玛光电科技(北京)有限公司</t>
  </si>
  <si>
    <t>亦庄新城0803街区YZ00-0803-0405地块</t>
  </si>
  <si>
    <t>2021-09-15</t>
  </si>
  <si>
    <t>艾美疫苗股份有限公司</t>
  </si>
  <si>
    <t>北京经济技术开发区0606街区YZ00-0606-0060地块</t>
  </si>
  <si>
    <t>≤0.7</t>
  </si>
  <si>
    <t>2021-09-07</t>
  </si>
  <si>
    <t>联华林德工业气体(北京)有限公司</t>
  </si>
  <si>
    <t>大兴生物医药产业基地DX00-0502-0029地块M1一类工业用地</t>
  </si>
  <si>
    <t>2021-08-25</t>
  </si>
  <si>
    <t>北京药康生物科技有限公司</t>
  </si>
  <si>
    <t>亦庄新城0104街区42M1地块工业项目</t>
  </si>
  <si>
    <t>≤2.0</t>
  </si>
  <si>
    <t>2021-08-16</t>
  </si>
  <si>
    <t>北京盛迪医药有限公司</t>
  </si>
  <si>
    <t>北京大兴国际机场综合保税区0107-037地块M1工业用地国有建设用地使用权出让</t>
  </si>
  <si>
    <t>≤1</t>
  </si>
  <si>
    <t>2021-06-03</t>
  </si>
  <si>
    <t>北京航城兴达建设实业有限公司</t>
  </si>
  <si>
    <t>亦庄新城0606街区YZ00-0606-0032地块工业项目国有建设用地使用权挂牌供应公告</t>
  </si>
  <si>
    <t>≤2</t>
  </si>
  <si>
    <t>2021-06-02</t>
  </si>
  <si>
    <t>北京市经济技术开发区金桥产业基地B2-3-3-1地块</t>
  </si>
  <si>
    <t>≤1.2</t>
  </si>
  <si>
    <t>2021-05-17</t>
  </si>
  <si>
    <t>宝健(中国)有限公司</t>
  </si>
  <si>
    <t>北京经济技术开发区路东区B13M1、B14M1地块</t>
  </si>
  <si>
    <t>≤2.44</t>
  </si>
  <si>
    <t>2021-05-13</t>
  </si>
  <si>
    <t>北京经济技术开发区0701街区N5M5地块工业项目</t>
  </si>
  <si>
    <t>2021-04-20</t>
  </si>
  <si>
    <t>北京唯源立康生物科技有限公司</t>
  </si>
  <si>
    <t>亦庄新城0605街区B4-2-5-1地块</t>
  </si>
  <si>
    <t>2021-04-01</t>
  </si>
  <si>
    <t>北京亦庄京广科技创新有限公司</t>
  </si>
  <si>
    <t>北京经济技术开发区河西区X6-1M3地块工业项目</t>
  </si>
  <si>
    <t>2021-03-11</t>
  </si>
  <si>
    <t>北京科益虹源光电技术有限公司</t>
  </si>
  <si>
    <t>北京大兴国际机场综合保税区0107-106地块W1一类物流仓储用地国有建设用地使用权出让</t>
  </si>
  <si>
    <t>≤1.35</t>
  </si>
  <si>
    <t>2021-03-08</t>
  </si>
  <si>
    <t>北京航城兴晟商贸有限责任公司</t>
  </si>
  <si>
    <t>亦庄新城0605街区D1-4-4-1地块工业项目用地</t>
  </si>
  <si>
    <t>2021-02-02</t>
  </si>
  <si>
    <t>北京九州恒盛电力科技有限公司</t>
  </si>
  <si>
    <t>大兴区孙村组团产业区D-15-1地块工业用地国有建设用地使用权出让挂牌文件</t>
  </si>
  <si>
    <t>中科伟通(北京)科技发展有限公司</t>
  </si>
  <si>
    <t>亦庄新城0606街区YZ00-0606-0001地块M1一类工业用地国有建设用地使用权出让公告</t>
  </si>
  <si>
    <t>2020-12-29</t>
  </si>
  <si>
    <t>中芯京城集成电路制造(北京)有限公司</t>
  </si>
  <si>
    <t>北京经济技术开发区核心区34M3地块M1一类工业用地国有建设用地使用权出让公告</t>
  </si>
  <si>
    <t>≤1.8</t>
  </si>
  <si>
    <t>2020-12-24</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</si>
  <si>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</si>
  <si>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</si>
  <si>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</si>
  <si>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</si>
  <si>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</si>
  <si>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</si>
  <si>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北京经济技术开发区0701街区N16M2地块M1一类工业用地国有建设用地使用权出让公告</t>
  </si>
  <si>
    <t>2020-12-03</t>
  </si>
  <si>
    <t>北京智飞绿竹生物制药有限公司</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</si>
  <si>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</si>
  <si>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</si>
  <si>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</si>
  <si>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</si>
  <si>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</si>
  <si>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</si>
  <si>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</si>
  <si>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</si>
  <si>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北京经济技术开发区0606街区YZ00-0606-0014-2地块M1一类工业用地国有建设用地使用权出让公告</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</si>
  <si>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</si>
  <si>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</si>
  <si>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</si>
  <si>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2020-11-04</t>
  </si>
  <si>
    <t>北京热景生物技术股份有限公司</t>
  </si>
  <si>
    <t>大兴生物医药产业基地DX00-0502-6016地块M1一类工业用地国有建设用地使用权出让</t>
  </si>
  <si>
    <t>北京沃森创新生物技术有限公司</t>
  </si>
  <si>
    <t>正常</t>
  </si>
  <si>
    <t>楼面地价</t>
  </si>
  <si>
    <t>工业</t>
    <phoneticPr fontId="32" type="noConversion"/>
  </si>
  <si>
    <t>七通</t>
  </si>
  <si>
    <t>七通</t>
    <phoneticPr fontId="32" type="noConversion"/>
  </si>
  <si>
    <t>六通</t>
  </si>
  <si>
    <t>六通</t>
    <phoneticPr fontId="32" type="noConversion"/>
  </si>
  <si>
    <t>五通</t>
  </si>
  <si>
    <t>五通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</si>
</sst>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0" fillId="0" borderId="1" xfId="0" applyNumberFormat="1" applyBorder="1" applyAlignment="1" applyProtection="1">
      <alignment horizontal="left" vertical="center"/>
      <protection locked="0"/>
    </xf>
    <xf numFmtId="0" fontId="53" fillId="0" borderId="0" xfId="19" applyAlignment="1">
      <alignment horizontal="left" vertical="center"/>
    </xf>
    <xf numFmtId="0" fontId="19" fillId="0" borderId="0" xfId="19" applyFont="1" applyAlignment="1">
      <alignment horizontal="left" vertical="center"/>
    </xf>
    <xf numFmtId="0" fontId="53" fillId="9" borderId="0" xfId="19" applyFill="1" applyAlignment="1">
      <alignment horizontal="left" vertical="center"/>
    </xf>
    <xf numFmtId="0" fontId="53" fillId="15" borderId="0" xfId="19" applyFill="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0" fontId="47" fillId="22" borderId="78" xfId="0" applyFont="1" applyFill="1" applyBorder="1" applyAlignment="1" applyProtection="1">
      <alignment horizontal="center" vertical="center" wrapText="1"/>
      <protection locked="0"/>
    </xf>
    <xf numFmtId="0" fontId="53" fillId="9" borderId="24"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95250</xdr:rowOff>
    </xdr:from>
    <xdr:to>
      <xdr:col>16</xdr:col>
      <xdr:colOff>398679</xdr:colOff>
      <xdr:row>31</xdr:row>
      <xdr:rowOff>46988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400050" y="266700"/>
          <a:ext cx="10971429" cy="5095238"/>
        </a:xfrm>
        <a:prstGeom prst="rect">
          <a:avLst/>
        </a:prstGeom>
      </xdr:spPr>
    </xdr:pic>
    <xdr:clientData/>
  </xdr:twoCellAnchor>
  <xdr:twoCellAnchor editAs="oneCell">
    <xdr:from>
      <xdr:col>0</xdr:col>
      <xdr:colOff>342900</xdr:colOff>
      <xdr:row>32</xdr:row>
      <xdr:rowOff>133350</xdr:rowOff>
    </xdr:from>
    <xdr:to>
      <xdr:col>15</xdr:col>
      <xdr:colOff>541615</xdr:colOff>
      <xdr:row>63</xdr:row>
      <xdr:rowOff>56496</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342900" y="5619750"/>
          <a:ext cx="10485715" cy="5238096"/>
        </a:xfrm>
        <a:prstGeom prst="rect">
          <a:avLst/>
        </a:prstGeom>
      </xdr:spPr>
    </xdr:pic>
    <xdr:clientData/>
  </xdr:twoCellAnchor>
  <xdr:twoCellAnchor editAs="oneCell">
    <xdr:from>
      <xdr:col>0</xdr:col>
      <xdr:colOff>257175</xdr:colOff>
      <xdr:row>64</xdr:row>
      <xdr:rowOff>47625</xdr:rowOff>
    </xdr:from>
    <xdr:to>
      <xdr:col>16</xdr:col>
      <xdr:colOff>236757</xdr:colOff>
      <xdr:row>93</xdr:row>
      <xdr:rowOff>123194</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257175" y="11020425"/>
          <a:ext cx="10952382" cy="5047619"/>
        </a:xfrm>
        <a:prstGeom prst="rect">
          <a:avLst/>
        </a:prstGeom>
      </xdr:spPr>
    </xdr:pic>
    <xdr:clientData/>
  </xdr:twoCellAnchor>
  <xdr:twoCellAnchor editAs="oneCell">
    <xdr:from>
      <xdr:col>1</xdr:col>
      <xdr:colOff>0</xdr:colOff>
      <xdr:row>95</xdr:row>
      <xdr:rowOff>161925</xdr:rowOff>
    </xdr:from>
    <xdr:to>
      <xdr:col>13</xdr:col>
      <xdr:colOff>503734</xdr:colOff>
      <xdr:row>106</xdr:row>
      <xdr:rowOff>152166</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685800" y="16449675"/>
          <a:ext cx="8733334" cy="1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62</xdr:row>
      <xdr:rowOff>114300</xdr:rowOff>
    </xdr:from>
    <xdr:to>
      <xdr:col>5</xdr:col>
      <xdr:colOff>513691</xdr:colOff>
      <xdr:row>92</xdr:row>
      <xdr:rowOff>37503</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657225" y="10153650"/>
          <a:ext cx="5276191" cy="4780953"/>
        </a:xfrm>
        <a:prstGeom prst="rect">
          <a:avLst/>
        </a:prstGeom>
      </xdr:spPr>
    </xdr:pic>
    <xdr:clientData/>
  </xdr:twoCellAnchor>
  <xdr:twoCellAnchor>
    <xdr:from>
      <xdr:col>1</xdr:col>
      <xdr:colOff>333375</xdr:colOff>
      <xdr:row>74</xdr:row>
      <xdr:rowOff>104774</xdr:rowOff>
    </xdr:from>
    <xdr:to>
      <xdr:col>2</xdr:col>
      <xdr:colOff>123825</xdr:colOff>
      <xdr:row>76</xdr:row>
      <xdr:rowOff>66675</xdr:rowOff>
    </xdr:to>
    <xdr:sp macro="" textlink="">
      <xdr:nvSpPr>
        <xdr:cNvPr id="3" name="五角星 2">
          <a:extLst>
            <a:ext uri="{FF2B5EF4-FFF2-40B4-BE49-F238E27FC236}">
              <a16:creationId xmlns:a16="http://schemas.microsoft.com/office/drawing/2014/main" xmlns="" id="{00000000-0008-0000-2E00-000003000000}"/>
            </a:ext>
          </a:extLst>
        </xdr:cNvPr>
        <xdr:cNvSpPr/>
      </xdr:nvSpPr>
      <xdr:spPr>
        <a:xfrm flipH="1">
          <a:off x="2962275" y="12087224"/>
          <a:ext cx="266700" cy="285751"/>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9525</xdr:colOff>
      <xdr:row>68</xdr:row>
      <xdr:rowOff>9525</xdr:rowOff>
    </xdr:from>
    <xdr:to>
      <xdr:col>3</xdr:col>
      <xdr:colOff>276225</xdr:colOff>
      <xdr:row>69</xdr:row>
      <xdr:rowOff>142875</xdr:rowOff>
    </xdr:to>
    <xdr:sp macro="" textlink="">
      <xdr:nvSpPr>
        <xdr:cNvPr id="4" name="六角星 3">
          <a:extLst>
            <a:ext uri="{FF2B5EF4-FFF2-40B4-BE49-F238E27FC236}">
              <a16:creationId xmlns:a16="http://schemas.microsoft.com/office/drawing/2014/main" xmlns="" id="{00000000-0008-0000-2E00-000004000000}"/>
            </a:ext>
          </a:extLst>
        </xdr:cNvPr>
        <xdr:cNvSpPr/>
      </xdr:nvSpPr>
      <xdr:spPr>
        <a:xfrm flipH="1">
          <a:off x="3714750" y="11020425"/>
          <a:ext cx="266700" cy="295275"/>
        </a:xfrm>
        <a:prstGeom prst="star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666750</xdr:colOff>
      <xdr:row>73</xdr:row>
      <xdr:rowOff>114300</xdr:rowOff>
    </xdr:from>
    <xdr:to>
      <xdr:col>5</xdr:col>
      <xdr:colOff>38100</xdr:colOff>
      <xdr:row>75</xdr:row>
      <xdr:rowOff>47625</xdr:rowOff>
    </xdr:to>
    <xdr:sp macro="" textlink="">
      <xdr:nvSpPr>
        <xdr:cNvPr id="5" name="六角星 4">
          <a:extLst>
            <a:ext uri="{FF2B5EF4-FFF2-40B4-BE49-F238E27FC236}">
              <a16:creationId xmlns:a16="http://schemas.microsoft.com/office/drawing/2014/main" xmlns="" id="{00000000-0008-0000-2E00-000005000000}"/>
            </a:ext>
          </a:extLst>
        </xdr:cNvPr>
        <xdr:cNvSpPr/>
      </xdr:nvSpPr>
      <xdr:spPr>
        <a:xfrm>
          <a:off x="5229225" y="11934825"/>
          <a:ext cx="228600" cy="257175"/>
        </a:xfrm>
        <a:prstGeom prst="star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466725</xdr:colOff>
      <xdr:row>94</xdr:row>
      <xdr:rowOff>38100</xdr:rowOff>
    </xdr:from>
    <xdr:to>
      <xdr:col>4</xdr:col>
      <xdr:colOff>837584</xdr:colOff>
      <xdr:row>98</xdr:row>
      <xdr:rowOff>38019</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2"/>
        <a:stretch>
          <a:fillRect/>
        </a:stretch>
      </xdr:blipFill>
      <xdr:spPr>
        <a:xfrm>
          <a:off x="466725" y="15259050"/>
          <a:ext cx="4933334" cy="647619"/>
        </a:xfrm>
        <a:prstGeom prst="rect">
          <a:avLst/>
        </a:prstGeom>
      </xdr:spPr>
    </xdr:pic>
    <xdr:clientData/>
  </xdr:twoCellAnchor>
  <xdr:twoCellAnchor editAs="oneCell">
    <xdr:from>
      <xdr:col>0</xdr:col>
      <xdr:colOff>485775</xdr:colOff>
      <xdr:row>98</xdr:row>
      <xdr:rowOff>133350</xdr:rowOff>
    </xdr:from>
    <xdr:to>
      <xdr:col>8</xdr:col>
      <xdr:colOff>865786</xdr:colOff>
      <xdr:row>118</xdr:row>
      <xdr:rowOff>132945</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3"/>
        <a:stretch>
          <a:fillRect/>
        </a:stretch>
      </xdr:blipFill>
      <xdr:spPr>
        <a:xfrm>
          <a:off x="485775" y="16002000"/>
          <a:ext cx="7914286" cy="3238095"/>
        </a:xfrm>
        <a:prstGeom prst="rect">
          <a:avLst/>
        </a:prstGeom>
      </xdr:spPr>
    </xdr:pic>
    <xdr:clientData/>
  </xdr:twoCellAnchor>
  <xdr:twoCellAnchor editAs="oneCell">
    <xdr:from>
      <xdr:col>0</xdr:col>
      <xdr:colOff>514350</xdr:colOff>
      <xdr:row>119</xdr:row>
      <xdr:rowOff>19050</xdr:rowOff>
    </xdr:from>
    <xdr:to>
      <xdr:col>8</xdr:col>
      <xdr:colOff>780076</xdr:colOff>
      <xdr:row>139</xdr:row>
      <xdr:rowOff>56741</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4"/>
        <a:stretch>
          <a:fillRect/>
        </a:stretch>
      </xdr:blipFill>
      <xdr:spPr>
        <a:xfrm>
          <a:off x="514350" y="19288125"/>
          <a:ext cx="7800001" cy="3276191"/>
        </a:xfrm>
        <a:prstGeom prst="rect">
          <a:avLst/>
        </a:prstGeom>
      </xdr:spPr>
    </xdr:pic>
    <xdr:clientData/>
  </xdr:twoCellAnchor>
  <xdr:twoCellAnchor editAs="oneCell">
    <xdr:from>
      <xdr:col>8</xdr:col>
      <xdr:colOff>981075</xdr:colOff>
      <xdr:row>102</xdr:row>
      <xdr:rowOff>66675</xdr:rowOff>
    </xdr:from>
    <xdr:to>
      <xdr:col>16</xdr:col>
      <xdr:colOff>599290</xdr:colOff>
      <xdr:row>127</xdr:row>
      <xdr:rowOff>113788</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5"/>
        <a:stretch>
          <a:fillRect/>
        </a:stretch>
      </xdr:blipFill>
      <xdr:spPr>
        <a:xfrm>
          <a:off x="8515350" y="16583025"/>
          <a:ext cx="6285715" cy="4095238"/>
        </a:xfrm>
        <a:prstGeom prst="rect">
          <a:avLst/>
        </a:prstGeom>
      </xdr:spPr>
    </xdr:pic>
    <xdr:clientData/>
  </xdr:twoCellAnchor>
  <xdr:twoCellAnchor editAs="oneCell">
    <xdr:from>
      <xdr:col>0</xdr:col>
      <xdr:colOff>542925</xdr:colOff>
      <xdr:row>141</xdr:row>
      <xdr:rowOff>152400</xdr:rowOff>
    </xdr:from>
    <xdr:to>
      <xdr:col>5</xdr:col>
      <xdr:colOff>142248</xdr:colOff>
      <xdr:row>146</xdr:row>
      <xdr:rowOff>18966</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6"/>
        <a:stretch>
          <a:fillRect/>
        </a:stretch>
      </xdr:blipFill>
      <xdr:spPr>
        <a:xfrm>
          <a:off x="542925" y="22983825"/>
          <a:ext cx="5019048" cy="676191"/>
        </a:xfrm>
        <a:prstGeom prst="rect">
          <a:avLst/>
        </a:prstGeom>
      </xdr:spPr>
    </xdr:pic>
    <xdr:clientData/>
  </xdr:twoCellAnchor>
  <xdr:twoCellAnchor editAs="oneCell">
    <xdr:from>
      <xdr:col>0</xdr:col>
      <xdr:colOff>514350</xdr:colOff>
      <xdr:row>146</xdr:row>
      <xdr:rowOff>95250</xdr:rowOff>
    </xdr:from>
    <xdr:to>
      <xdr:col>8</xdr:col>
      <xdr:colOff>1094361</xdr:colOff>
      <xdr:row>188</xdr:row>
      <xdr:rowOff>122972</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7"/>
        <a:stretch>
          <a:fillRect/>
        </a:stretch>
      </xdr:blipFill>
      <xdr:spPr>
        <a:xfrm>
          <a:off x="514350" y="23736300"/>
          <a:ext cx="8114286" cy="6828572"/>
        </a:xfrm>
        <a:prstGeom prst="rect">
          <a:avLst/>
        </a:prstGeom>
      </xdr:spPr>
    </xdr:pic>
    <xdr:clientData/>
  </xdr:twoCellAnchor>
  <xdr:twoCellAnchor editAs="oneCell">
    <xdr:from>
      <xdr:col>0</xdr:col>
      <xdr:colOff>476250</xdr:colOff>
      <xdr:row>190</xdr:row>
      <xdr:rowOff>19050</xdr:rowOff>
    </xdr:from>
    <xdr:to>
      <xdr:col>5</xdr:col>
      <xdr:colOff>180335</xdr:colOff>
      <xdr:row>194</xdr:row>
      <xdr:rowOff>28493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8"/>
        <a:stretch>
          <a:fillRect/>
        </a:stretch>
      </xdr:blipFill>
      <xdr:spPr>
        <a:xfrm>
          <a:off x="476250" y="30784800"/>
          <a:ext cx="5123810" cy="657143"/>
        </a:xfrm>
        <a:prstGeom prst="rect">
          <a:avLst/>
        </a:prstGeom>
      </xdr:spPr>
    </xdr:pic>
    <xdr:clientData/>
  </xdr:twoCellAnchor>
  <xdr:twoCellAnchor editAs="oneCell">
    <xdr:from>
      <xdr:col>8</xdr:col>
      <xdr:colOff>942975</xdr:colOff>
      <xdr:row>150</xdr:row>
      <xdr:rowOff>28575</xdr:rowOff>
    </xdr:from>
    <xdr:to>
      <xdr:col>15</xdr:col>
      <xdr:colOff>608885</xdr:colOff>
      <xdr:row>175</xdr:row>
      <xdr:rowOff>66165</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9"/>
        <a:stretch>
          <a:fillRect/>
        </a:stretch>
      </xdr:blipFill>
      <xdr:spPr>
        <a:xfrm>
          <a:off x="8477250" y="24317325"/>
          <a:ext cx="5723810" cy="4085715"/>
        </a:xfrm>
        <a:prstGeom prst="rect">
          <a:avLst/>
        </a:prstGeom>
      </xdr:spPr>
    </xdr:pic>
    <xdr:clientData/>
  </xdr:twoCellAnchor>
  <xdr:twoCellAnchor editAs="oneCell">
    <xdr:from>
      <xdr:col>0</xdr:col>
      <xdr:colOff>371475</xdr:colOff>
      <xdr:row>195</xdr:row>
      <xdr:rowOff>0</xdr:rowOff>
    </xdr:from>
    <xdr:to>
      <xdr:col>8</xdr:col>
      <xdr:colOff>932439</xdr:colOff>
      <xdr:row>236</xdr:row>
      <xdr:rowOff>151552</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10"/>
        <a:stretch>
          <a:fillRect/>
        </a:stretch>
      </xdr:blipFill>
      <xdr:spPr>
        <a:xfrm>
          <a:off x="371475" y="31575375"/>
          <a:ext cx="8095239" cy="6790477"/>
        </a:xfrm>
        <a:prstGeom prst="rect">
          <a:avLst/>
        </a:prstGeom>
      </xdr:spPr>
    </xdr:pic>
    <xdr:clientData/>
  </xdr:twoCellAnchor>
  <xdr:twoCellAnchor editAs="oneCell">
    <xdr:from>
      <xdr:col>8</xdr:col>
      <xdr:colOff>1647825</xdr:colOff>
      <xdr:row>197</xdr:row>
      <xdr:rowOff>28575</xdr:rowOff>
    </xdr:from>
    <xdr:to>
      <xdr:col>18</xdr:col>
      <xdr:colOff>608745</xdr:colOff>
      <xdr:row>222</xdr:row>
      <xdr:rowOff>94736</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11"/>
        <a:stretch>
          <a:fillRect/>
        </a:stretch>
      </xdr:blipFill>
      <xdr:spPr>
        <a:xfrm>
          <a:off x="9182100" y="31927800"/>
          <a:ext cx="6847620" cy="4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估价对象为北京市房地产，为所有。根据《国有土地使用证》[]，估价对象（分摊）出让国有建设用地使用权面积为14034平方米，建筑面积为6998.6平方米。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估价对象为北京市房地产,属开发建设的，该项目尚在开发建设中。根据《国有土地使用证》[]，估价对象（分摊）出让国有建设用地使用权面积为14034平方米，规划建筑面积为6998.6平方米。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2023年3月8日</v>
      </c>
    </row>
    <row r="13" spans="1:2">
      <c r="A13" s="1119" t="s">
        <v>529</v>
      </c>
      <c r="B13" s="1120"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4116</v>
      </c>
    </row>
    <row r="21" spans="1:2">
      <c r="A21" s="1119" t="s">
        <v>537</v>
      </c>
      <c r="B21" s="1120">
        <f ca="1">'预评函-2'!D7</f>
        <v>5881</v>
      </c>
    </row>
    <row r="22" spans="1:2">
      <c r="A22" s="1119" t="s">
        <v>538</v>
      </c>
      <c r="B22" s="1120" t="str">
        <f ca="1">'预评函-2'!D6</f>
        <v>肆仟壹佰壹拾陆万元整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4116</v>
      </c>
    </row>
    <row r="31" spans="1:2">
      <c r="A31" s="1119" t="s">
        <v>576</v>
      </c>
      <c r="B31" s="1120">
        <f ca="1">'预评函-2'!D15</f>
        <v>5881</v>
      </c>
    </row>
    <row r="32" spans="1:2">
      <c r="A32" s="1119" t="s">
        <v>543</v>
      </c>
      <c r="B32" s="1120" t="str">
        <f ca="1">'预评函-2'!D14</f>
        <v>肆仟壹佰壹拾陆万元整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6998.6</v>
      </c>
    </row>
    <row r="44" spans="1:2">
      <c r="A44" s="1119" t="s">
        <v>575</v>
      </c>
      <c r="B44" s="1120" t="str">
        <f>'预评函-3'!C2</f>
        <v>(分摊)土地面积</v>
      </c>
    </row>
    <row r="45" spans="1:2">
      <c r="A45" s="1119" t="s">
        <v>547</v>
      </c>
      <c r="B45" s="1120">
        <f>'预评函-3'!C4</f>
        <v>14034</v>
      </c>
    </row>
    <row r="46" spans="1:2">
      <c r="A46" s="1119" t="s">
        <v>573</v>
      </c>
      <c r="B46" s="1120" t="str">
        <f>'预评函-3'!D2</f>
        <v>出让国有建设用地使用权价值</v>
      </c>
    </row>
    <row r="47" spans="1:2">
      <c r="A47" s="1119" t="s">
        <v>548</v>
      </c>
      <c r="B47" s="1120">
        <f ca="1">'预评函-3'!D4</f>
        <v>2144</v>
      </c>
    </row>
    <row r="48" spans="1:2">
      <c r="A48" s="1119" t="s">
        <v>549</v>
      </c>
      <c r="B48" s="1120">
        <f ca="1">'预评函-3'!E4</f>
        <v>3063</v>
      </c>
    </row>
    <row r="49" spans="1:2">
      <c r="A49" s="1119" t="s">
        <v>550</v>
      </c>
      <c r="B49" s="1120" t="str">
        <f ca="1">'预评函-3'!D5</f>
        <v>贰仟壹佰肆拾肆万元整</v>
      </c>
    </row>
    <row r="50" spans="1:2">
      <c r="A50" s="1119" t="s">
        <v>574</v>
      </c>
      <c r="B50" s="1120" t="str">
        <f>'预评函-3'!F2</f>
        <v>在建建筑物价值</v>
      </c>
    </row>
    <row r="51" spans="1:2">
      <c r="A51" s="1119" t="s">
        <v>551</v>
      </c>
      <c r="B51" s="1120">
        <f ca="1">'预评函-3'!F4</f>
        <v>1972</v>
      </c>
    </row>
    <row r="52" spans="1:2">
      <c r="A52" s="1119" t="s">
        <v>552</v>
      </c>
      <c r="B52" s="1120">
        <f ca="1">'预评函-3'!G4</f>
        <v>2818</v>
      </c>
    </row>
    <row r="53" spans="1:2">
      <c r="A53" s="1119" t="s">
        <v>580</v>
      </c>
      <c r="B53" s="1120" t="str">
        <f ca="1">'预评函-3'!F5</f>
        <v>壹仟玖佰柒拾贰万元整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2579</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2580</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2292</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5" sqref="D15"/>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99" t="s">
        <v>2582</v>
      </c>
      <c r="J2" s="3199"/>
      <c r="K2" s="3199"/>
      <c r="L2" s="3199"/>
      <c r="M2" s="3199"/>
      <c r="N2" s="3199"/>
      <c r="O2" s="3199"/>
      <c r="P2" s="3199"/>
      <c r="Q2" s="3199"/>
      <c r="R2" s="3199"/>
    </row>
    <row r="3" spans="1:18">
      <c r="A3" s="2763" t="s">
        <v>2503</v>
      </c>
      <c r="B3" s="2764">
        <f>项目基本情况!D3</f>
        <v>44993</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f>B6</f>
        <v>58510</v>
      </c>
      <c r="C5" s="2766">
        <f>ROUNDDOWN(MIN((B5-B3)/365,A5),2)</f>
        <v>37.03</v>
      </c>
      <c r="D5" s="2768">
        <f>IF(ISERROR(ROUND(POWER(1+E5,A5-C5)*(POWER(1+E5,C5)-1)/(POWER(1+E5,A5)-1),3)),0,ROUND(POWER(1+E5,A5-C5)*(POWER(1+E5,C5)-1)/(POWER(1+E5,A5)-1),4))</f>
        <v>0.96750000000000003</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f>项目基本情况!H13</f>
        <v>58510</v>
      </c>
      <c r="C6" s="2766">
        <f>ROUNDDOWN(MIN((B6-B3)/365,A6),2)</f>
        <v>37.03</v>
      </c>
      <c r="D6" s="2768">
        <f>IF(ISERROR(ROUND(POWER(1+E6,A6-C6)*(POWER(1+E6,C6)-1)/(POWER(1+E6,A6)-1),3)),0,ROUND(POWER(1+E6,A6-C6)*(POWER(1+E6,C6)-1)/(POWER(1+E6,A6)-1),4))</f>
        <v>0.89139999999999997</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f>B6</f>
        <v>58510</v>
      </c>
      <c r="C7" s="2766">
        <f>ROUNDDOWN(MIN((B7-B3)/365,A7),2)</f>
        <v>37.03</v>
      </c>
      <c r="D7" s="2768">
        <f>IF(ISERROR(ROUND(POWER(1+E7,A7-C7)*(POWER(1+E7,C7)-1)/(POWER(1+E7,A7)-1),3)),0,ROUND(POWER(1+E7,A7-C7)*(POWER(1+E7,C7)-1)/(POWER(1+E7,A7)-1),4))</f>
        <v>0.81850000000000001</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50</v>
      </c>
      <c r="C11" s="2766" t="s">
        <v>2512</v>
      </c>
      <c r="D11" s="3145">
        <v>4.4999999999999998E-2</v>
      </c>
      <c r="E11" s="2766" t="s">
        <v>2513</v>
      </c>
      <c r="F11" s="2772">
        <f>ROUND(1-(1/(POWER(1+D11,B11))),4)</f>
        <v>0.88929999999999998</v>
      </c>
    </row>
    <row r="12" spans="1:18">
      <c r="A12" s="2763" t="s">
        <v>2514</v>
      </c>
      <c r="B12" s="2771">
        <v>20</v>
      </c>
      <c r="C12" s="2766" t="s">
        <v>2515</v>
      </c>
      <c r="D12" s="3145">
        <v>4.4999999999999998E-2</v>
      </c>
      <c r="E12" s="2766" t="s">
        <v>2516</v>
      </c>
      <c r="F12" s="2772">
        <f>ROUND(1-(1/(POWER(1+D12,B12))),4)</f>
        <v>0.58540000000000003</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3291.35</v>
      </c>
      <c r="C15" s="2766">
        <f>ROUND(F12/F11,4)</f>
        <v>0.6583</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7307.03</v>
      </c>
      <c r="C18" s="2774">
        <f>ROUND(F11/F12,4)</f>
        <v>1.5190999999999999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2" sqref="G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44993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3378</v>
      </c>
      <c r="C8" s="2201"/>
      <c r="D8" s="3203" t="s">
        <v>2176</v>
      </c>
      <c r="E8" s="2202" t="s">
        <v>3379</v>
      </c>
      <c r="F8" s="2203"/>
      <c r="G8" s="2442"/>
      <c r="H8" s="2442"/>
      <c r="I8" s="2442"/>
      <c r="J8" s="2245"/>
      <c r="K8" s="2400"/>
      <c r="L8" s="2399"/>
      <c r="M8" s="2399"/>
      <c r="N8" s="2245"/>
      <c r="O8" s="1670"/>
      <c r="P8" s="2245"/>
      <c r="Q8" s="2245"/>
      <c r="R8" s="2245"/>
    </row>
    <row r="9" spans="1:30" ht="13.5" thickBot="1">
      <c r="A9" s="2204" t="s">
        <v>2177</v>
      </c>
      <c r="B9" s="2205" t="s">
        <v>3379</v>
      </c>
      <c r="C9" s="2206"/>
      <c r="D9" s="3204"/>
      <c r="E9" s="2205"/>
      <c r="F9" s="2207"/>
      <c r="G9" s="2443"/>
      <c r="H9" s="2443"/>
      <c r="I9" s="2443"/>
      <c r="J9" s="2245"/>
      <c r="K9" s="2402"/>
      <c r="L9" s="2399"/>
      <c r="M9" s="2399"/>
      <c r="N9" s="2245"/>
      <c r="O9" s="1670"/>
      <c r="P9" s="2245"/>
      <c r="Q9" s="2245"/>
      <c r="R9" s="2245"/>
    </row>
    <row r="10" spans="1:30" ht="13.5" thickTop="1">
      <c r="A10" s="2208" t="s">
        <v>2178</v>
      </c>
      <c r="B10" s="2209" t="s">
        <v>3380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3381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2578</v>
      </c>
      <c r="J12" s="2803"/>
      <c r="K12" s="2399"/>
      <c r="L12" s="2399"/>
      <c r="M12" s="2245"/>
      <c r="N12" s="1670"/>
      <c r="O12" s="2245"/>
      <c r="P12" s="2245"/>
      <c r="Q12" s="2245"/>
      <c r="AD12" s="1618"/>
    </row>
    <row r="13" spans="1:30">
      <c r="A13" s="3122" t="s">
        <v>3338</v>
      </c>
      <c r="B13" s="2218" t="s">
        <v>2189</v>
      </c>
      <c r="C13" s="803"/>
      <c r="D13" s="803"/>
      <c r="E13" s="803"/>
      <c r="F13" s="803"/>
      <c r="G13" s="803"/>
      <c r="H13" s="803">
        <v>58510</v>
      </c>
      <c r="I13" s="803"/>
      <c r="J13" s="2803"/>
      <c r="K13" s="2399"/>
      <c r="L13" s="2399"/>
      <c r="M13" s="2245"/>
      <c r="N13" s="1670"/>
      <c r="O13" s="2245"/>
      <c r="P13" s="2245"/>
      <c r="Q13" s="2245"/>
      <c r="AD13" s="1618"/>
    </row>
    <row r="14" spans="1:30">
      <c r="A14" s="1018"/>
      <c r="B14" s="2218" t="s">
        <v>2190</v>
      </c>
      <c r="C14" s="2219"/>
      <c r="D14" s="2219"/>
      <c r="E14" s="2219"/>
      <c r="F14" s="2219"/>
      <c r="G14" s="2219"/>
      <c r="H14" s="2219">
        <v>50</v>
      </c>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37.03</v>
      </c>
      <c r="I15" s="2221" t="str">
        <f>IF(A13="出让",IF(I13="","",ROUNDDOWN(MIN((I13-$D$3)/365,I14),2)),I14)</f>
        <v/>
      </c>
      <c r="J15" s="2805"/>
      <c r="K15" s="1670"/>
      <c r="L15" s="1670"/>
      <c r="M15" s="2245"/>
      <c r="N15" s="1670"/>
      <c r="O15" s="2245"/>
      <c r="P15" s="2245"/>
      <c r="Q15" s="2245"/>
      <c r="AD15" s="1618"/>
    </row>
    <row r="16" spans="1:30">
      <c r="A16" s="2211" t="s">
        <v>2192</v>
      </c>
      <c r="B16" s="3210"/>
      <c r="C16" s="3211"/>
      <c r="D16" s="3212"/>
      <c r="E16" s="2222" t="s">
        <v>2193</v>
      </c>
      <c r="F16" s="3213"/>
      <c r="G16" s="3214"/>
      <c r="H16" s="3214"/>
      <c r="I16" s="3215"/>
      <c r="J16" s="2245"/>
      <c r="K16" s="2403"/>
      <c r="L16" s="1670"/>
      <c r="M16" s="1670"/>
      <c r="N16" s="2245"/>
      <c r="O16" s="1670"/>
      <c r="P16" s="2245"/>
      <c r="Q16" s="2245"/>
      <c r="R16" s="2245"/>
    </row>
    <row r="17" spans="1:28">
      <c r="A17" s="305" t="s">
        <v>2194</v>
      </c>
      <c r="B17" s="294" t="s">
        <v>2195</v>
      </c>
      <c r="C17" s="8">
        <f>'数据-汇总表'!E3</f>
        <v>6998.6</v>
      </c>
      <c r="D17" s="1256" t="s">
        <v>2196</v>
      </c>
      <c r="E17" s="3216" t="s">
        <v>2197</v>
      </c>
      <c r="F17" s="3217"/>
      <c r="G17" s="3217"/>
      <c r="H17" s="3217"/>
      <c r="I17" s="3218"/>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14034</v>
      </c>
      <c r="D18" s="1029" t="s">
        <v>2200</v>
      </c>
      <c r="E18" s="3219" t="s">
        <v>2201</v>
      </c>
      <c r="F18" s="3220"/>
      <c r="G18" s="3220"/>
      <c r="H18" s="3220"/>
      <c r="I18" s="3221"/>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6" t="s">
        <v>2205</v>
      </c>
      <c r="C20" s="3207"/>
      <c r="D20" s="3208" t="s">
        <v>2206</v>
      </c>
      <c r="E20" s="3209"/>
      <c r="F20" s="2430" t="s">
        <v>1056</v>
      </c>
      <c r="G20" s="2442"/>
      <c r="H20" s="2442"/>
      <c r="I20" s="2442"/>
      <c r="J20" s="2245"/>
      <c r="K20" s="320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2217</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2" t="s">
        <v>2227</v>
      </c>
      <c r="T34" s="315" t="str">
        <f>NUMBERSTRING(7-K34,1)&amp;"通"</f>
        <v>七通</v>
      </c>
      <c r="U34" s="2245"/>
      <c r="V34" s="2245"/>
    </row>
    <row r="35" spans="1:30">
      <c r="A35" s="2236"/>
      <c r="B35" s="3222" t="s">
        <v>2228</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2581</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t="s">
        <v>305</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3156" t="s">
        <v>2949</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14034</v>
      </c>
      <c r="B3" s="11">
        <f>IF(C3="否",G5-AT5,G5)</f>
        <v>6998.6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6998.6</v>
      </c>
      <c r="H5" s="13">
        <f t="shared" ref="H5:AT5" si="0">SUM(H13:H656)</f>
        <v>6998.6</v>
      </c>
      <c r="I5" s="13">
        <f t="shared" si="0"/>
        <v>6998.6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6998.6</v>
      </c>
      <c r="BA5" s="15">
        <f t="shared" si="1"/>
        <v>6998.6</v>
      </c>
      <c r="BB5" s="15">
        <f t="shared" si="1"/>
        <v>6998.6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14034</v>
      </c>
      <c r="F6" s="13" t="s">
        <v>0</v>
      </c>
      <c r="G6" s="13" t="s">
        <v>1</v>
      </c>
      <c r="H6" s="17">
        <f>SUMIF(I$12:AB$12,"总值",I6:AB6)</f>
        <v>14034</v>
      </c>
      <c r="I6" s="13">
        <f t="shared" ref="I6:AB6" si="2">ROUND($A$3*I5/$B$3,2)</f>
        <v>14034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14034</v>
      </c>
      <c r="AZ6" s="13" t="s">
        <v>2</v>
      </c>
      <c r="BA6" s="13">
        <f>ROUND($AY$6*BA5/$AZ$5,2)</f>
        <v>14034</v>
      </c>
      <c r="BB6" s="13">
        <f>ROUND($AY$6*BB5/$AZ$5,2)</f>
        <v>14034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3382</v>
      </c>
      <c r="E13" s="13">
        <f>IF($C$3="是",ROUND($A$3*G13/$B$3,2),ROUND($A$3*(G13-AT13)/$B$3,2))</f>
        <v>14034</v>
      </c>
      <c r="F13" s="29"/>
      <c r="G13" s="30">
        <f>H13+AC13+AT13</f>
        <v>6998.6</v>
      </c>
      <c r="H13" s="17">
        <f>SUMIF(I$12:AB$12,"总值",I13:AB13)</f>
        <v>6998.6</v>
      </c>
      <c r="I13" s="1514">
        <v>6998.6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14034</v>
      </c>
      <c r="AZ13" s="13">
        <f>BA13+BL13</f>
        <v>6998.6</v>
      </c>
      <c r="BA13" s="13">
        <f>SUM(BB13:BK13)</f>
        <v>6998.6</v>
      </c>
      <c r="BB13" s="13">
        <f>IF($D13="是",I13-J13,0)</f>
        <v>6998.6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36" sqref="F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14034</v>
      </c>
      <c r="E3" s="41">
        <f>'数据-基础表'!AZ5</f>
        <v>6998.6</v>
      </c>
      <c r="F3" s="2439"/>
      <c r="G3" s="42"/>
      <c r="H3" s="43" t="s">
        <v>1106</v>
      </c>
      <c r="I3" s="802">
        <f>ROUND('数据-基础表'!B3/'数据-基础表'!A3,2)</f>
        <v>0.5</v>
      </c>
      <c r="J3" s="2439"/>
      <c r="K3" s="2439"/>
      <c r="L3" s="2439"/>
      <c r="M3" s="2439"/>
      <c r="N3" s="2440"/>
      <c r="O3" s="2439"/>
      <c r="P3" s="2439"/>
    </row>
    <row r="4" spans="1:16" ht="15">
      <c r="A4" s="3240"/>
      <c r="B4" s="3241"/>
      <c r="C4" s="3242"/>
      <c r="D4" s="1524" t="s">
        <v>1107</v>
      </c>
      <c r="E4" s="1525" t="s">
        <v>1108</v>
      </c>
      <c r="F4" s="2439"/>
      <c r="G4" s="2434" t="s">
        <v>1133</v>
      </c>
      <c r="H4" s="43" t="s">
        <v>1113</v>
      </c>
      <c r="I4" s="802">
        <f>ROUND(SUMIF('数据-基础表'!I9:AS9,"地上",'数据-基础表'!I5:AS5)/'数据-基础表'!A3,2)</f>
        <v>0.5</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f>ROUND(E31/D31,2)</f>
        <v>0.5</v>
      </c>
      <c r="J5" s="2439"/>
      <c r="K5" s="2439"/>
      <c r="L5" s="2439"/>
      <c r="M5" s="2439"/>
      <c r="N5" s="2439"/>
      <c r="O5" s="2439"/>
      <c r="P5" s="2439"/>
    </row>
    <row r="6" spans="1:16" ht="15" thickBot="1">
      <c r="A6" s="1527"/>
      <c r="B6" s="3243" t="s">
        <v>1111</v>
      </c>
      <c r="C6" s="3243"/>
      <c r="D6" s="43">
        <f>ROUND($D$3*E6/$E$3,2)</f>
        <v>14034</v>
      </c>
      <c r="E6" s="44">
        <f>E3-E5</f>
        <v>6998.6</v>
      </c>
      <c r="F6" s="2439"/>
      <c r="G6" s="1529" t="s">
        <v>1112</v>
      </c>
      <c r="H6" s="45" t="s">
        <v>1113</v>
      </c>
      <c r="I6" s="2435">
        <f>ROUND(F31/D31,2)</f>
        <v>0.5</v>
      </c>
      <c r="J6" s="2439"/>
      <c r="K6" s="2439"/>
      <c r="L6" s="2439"/>
      <c r="M6" s="2439"/>
      <c r="N6" s="2439"/>
      <c r="O6" s="2439"/>
      <c r="P6" s="2439"/>
    </row>
    <row r="7" spans="1:16" ht="15.75" thickBot="1">
      <c r="A7" s="3235"/>
      <c r="B7" s="3236"/>
      <c r="C7" s="3237"/>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14034</v>
      </c>
      <c r="E8" s="46">
        <f>SUMIF('数据-基础表'!BB10:BK10,"地上",'数据-基础表'!BB5:BK5)</f>
        <v>6998.6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14034</v>
      </c>
      <c r="E16" s="48">
        <f>SUM(E8:E15)</f>
        <v>6998.6</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3385</v>
      </c>
      <c r="D19" s="43">
        <f>ROUND($D$3*E19/$E$3,2)</f>
        <v>14034</v>
      </c>
      <c r="E19" s="51">
        <f t="shared" ref="E19:E26" si="1">SUM(F19:G19)</f>
        <v>6998.6</v>
      </c>
      <c r="F19" s="2558">
        <f>'数据-基础表'!I13</f>
        <v>6998.6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14034</v>
      </c>
      <c r="S19" s="51">
        <f t="shared" si="5"/>
        <v>6998.6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14034</v>
      </c>
      <c r="E27" s="1073">
        <f>IF(SUM(E19:E26)='数据-基础表'!BA5,SUM(E19:E26),IF(F27="地上面积有误","面积有误","地下面积有误"))</f>
        <v>6998.6</v>
      </c>
      <c r="F27" s="1072">
        <f>IF(SUM(F19:F26)=E8,SUM(F19:F26),"地上面积有误")</f>
        <v>6998.6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14034</v>
      </c>
      <c r="S27" s="43">
        <f>IF(SUM(S19:S26)=$E$3,SUM(S19:S26),SUM(S19:S26)&amp;"误差"&amp;ROUND(SUM(S19:S26)-E3,2))</f>
        <v>6998.6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14034</v>
      </c>
      <c r="E31" s="643">
        <f>E27+E30</f>
        <v>6998.6</v>
      </c>
      <c r="F31" s="644">
        <f>F27+F30</f>
        <v>6998.6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4" sqref="H34"/>
    </sheetView>
  </sheetViews>
  <sheetFormatPr defaultColWidth="13.75" defaultRowHeight="12.75"/>
  <cols>
    <col min="1" max="1" width="21.12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厂房</v>
      </c>
      <c r="B6" s="1587" t="str">
        <f>IF(A6=0,"","经营性")</f>
        <v>经营性</v>
      </c>
      <c r="C6" s="1588" t="s">
        <v>3</v>
      </c>
      <c r="D6" s="805">
        <f>SUMIF(项目基本情况!C$12:I$12,C6,项目基本情况!C$14:I$14)</f>
        <v>50</v>
      </c>
      <c r="E6" s="804">
        <f>IF(B6="","",SUMIF(项目基本情况!C$12:I$12,C6,项目基本情况!C$13:I$13))</f>
        <v>58510</v>
      </c>
      <c r="F6" s="61">
        <f>SUMIF(项目基本情况!C$12:I$12,C6,项目基本情况!C$15:I$15)</f>
        <v>37.03</v>
      </c>
      <c r="G6" s="62">
        <f>IF(ISERROR(ROUND(POWER(1+H6,D6-F6)*(POWER(1+H6,F6)-1)/(POWER(1+H6,D6)-1),3)),0,ROUND(POWER(1+H6,D6-F6)*(POWER(1+H6,F6)-1)/(POWER(1+H6,D6)-1),3))</f>
        <v>0.90400000000000003</v>
      </c>
      <c r="H6" s="691">
        <v>4.4999999999999998E-2</v>
      </c>
      <c r="I6" s="691">
        <v>0.05</v>
      </c>
      <c r="J6" s="63">
        <v>7.4999999999999997E-2</v>
      </c>
      <c r="K6" s="970">
        <f>SUMIF('数据-汇总表'!C$19:C$33,A6,'数据-汇总表'!E$19:E$33)</f>
        <v>6998.6</v>
      </c>
      <c r="L6" s="692">
        <v>2500</v>
      </c>
      <c r="M6" s="64">
        <f t="shared" ref="M6:M14" si="0">ROUND(K6*L6/10000,0)</f>
        <v>1750</v>
      </c>
      <c r="N6" s="690">
        <f>N19</f>
        <v>0.91</v>
      </c>
      <c r="O6" s="64" t="str">
        <f>IF($N$5="成新度","——",ROUND(M6*N6,0))</f>
        <v>——</v>
      </c>
      <c r="P6" s="65" t="str">
        <f>IF($N$5="成新度","——",M6-O6)</f>
        <v>——</v>
      </c>
      <c r="Q6" s="3152">
        <v>0.1</v>
      </c>
      <c r="R6" s="66">
        <f ca="1">SUMIF('数据-汇总表'!C$19:C$33,A6,'数据-汇总表'!R$19:R$27)</f>
        <v>14034</v>
      </c>
      <c r="S6" s="49">
        <f>IF('数据-汇总表'!$I$17="按面积比例",SUMIF('数据-汇总表'!C$19:C$33,A6,'数据-汇总表'!K$19:K$33),SUMIF('数据-汇总表'!C$19:C$33,A6,'数据-汇总表'!N$19:N$33))</f>
        <v>0</v>
      </c>
      <c r="T6" s="1092">
        <f>ROUND($L$14*S6/10000,0)</f>
        <v>0</v>
      </c>
      <c r="U6" s="3153">
        <v>1</v>
      </c>
      <c r="V6" s="67">
        <v>0.02</v>
      </c>
      <c r="W6" s="67">
        <v>0.15</v>
      </c>
      <c r="X6" s="979"/>
      <c r="Y6" s="68">
        <f>N6</f>
        <v>0.91</v>
      </c>
      <c r="Z6" s="69"/>
      <c r="AA6" s="63"/>
      <c r="AB6" s="63"/>
      <c r="AC6" s="979"/>
      <c r="AD6" s="70"/>
      <c r="AE6" s="980">
        <f ca="1">IF(AN6="",0,SUMIF(INDIRECT("'"&amp;AN6&amp;"'"&amp;"!E:E"),$AE$5,INDIRECT("'"&amp;AN6&amp;"'"&amp;"!F:F")))</f>
        <v>37.03</v>
      </c>
      <c r="AF6" s="74"/>
      <c r="AG6" s="130">
        <f>IF(AF6="",0,AE6-AF6)</f>
        <v>0</v>
      </c>
      <c r="AH6" s="71"/>
      <c r="AI6" s="73">
        <v>365</v>
      </c>
      <c r="AJ6" s="74"/>
      <c r="AK6" s="3154">
        <v>0.01</v>
      </c>
      <c r="AL6" s="76">
        <v>1E-3</v>
      </c>
      <c r="AM6" s="77">
        <v>0.01</v>
      </c>
      <c r="AN6" s="1589" t="s">
        <v>3395</v>
      </c>
      <c r="AO6" s="50">
        <f ca="1">SUMIF(INDIRECT("'"&amp;AN6&amp;"'"&amp;"!A:A"),"总价",INDIRECT("'"&amp;AN6&amp;"'"&amp;"!B:B"))</f>
        <v>3356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0.90400000000000003</v>
      </c>
      <c r="H16" s="84">
        <f>ROUND(SUMPRODUCT(H6:H13,K6:K13)/SUMPRODUCT((H6:H13&gt;0)*(K6:K13)),3)</f>
        <v>4.4999999999999998E-2</v>
      </c>
      <c r="I16" s="85"/>
      <c r="J16" s="85"/>
      <c r="K16" s="86">
        <f>SUM(K6:K15)</f>
        <v>6998.6</v>
      </c>
      <c r="L16" s="87">
        <f>ROUND(M16*10000/SUM(K6:K14),0)</f>
        <v>2501</v>
      </c>
      <c r="M16" s="87">
        <f>SUM(M6:M14)</f>
        <v>1750</v>
      </c>
      <c r="N16" s="88">
        <f>ROUND(SUMPRODUCT(M6:M14,N6:N14)/M16,3)</f>
        <v>0.91</v>
      </c>
      <c r="O16" s="87">
        <f>SUM(O6:O14)</f>
        <v>0</v>
      </c>
      <c r="P16" s="87">
        <f>SUM(P6:P14)</f>
        <v>0</v>
      </c>
      <c r="Q16" s="89">
        <f>ROUND(SUMPRODUCT(Q6:Q13,K6:K13)/SUMPRODUCT((Q6:Q13&gt;0)*(K6:K13)),2)</f>
        <v>0.1</v>
      </c>
      <c r="R16" s="974">
        <f ca="1">SUM(R6:R13)</f>
        <v>14034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2304</v>
      </c>
      <c r="D19" s="2452"/>
      <c r="E19" s="2439"/>
      <c r="F19" s="2439"/>
      <c r="G19" s="2439"/>
      <c r="H19" s="2439"/>
      <c r="I19" s="2439"/>
      <c r="J19" s="2439"/>
      <c r="K19" s="2450"/>
      <c r="L19" s="2450"/>
      <c r="M19" s="2449"/>
      <c r="N19" s="2449">
        <f>ROUND(1-(2023-N18)/80*0.98,2)</f>
        <v>0.91</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2306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133</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3387</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2285</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2" sqref="D32"/>
    </sheetView>
  </sheetViews>
  <sheetFormatPr defaultColWidth="9" defaultRowHeight="13.5"/>
  <cols>
    <col min="1" max="1" width="25" style="2301" customWidth="1"/>
    <col min="2" max="9" width="15.75" style="2301" customWidth="1"/>
    <col min="10" max="16384" width="9" style="2301"/>
  </cols>
  <sheetData>
    <row r="1" spans="1:11">
      <c r="A1" s="2300" t="s">
        <v>665</v>
      </c>
      <c r="B1" s="2300">
        <f>SUM(B14:B23)</f>
        <v>6998.6</v>
      </c>
      <c r="C1" s="2462"/>
      <c r="D1" s="2462"/>
      <c r="E1" s="2462"/>
      <c r="F1" s="2462"/>
      <c r="G1" s="2463"/>
      <c r="H1" s="2463"/>
      <c r="I1" s="2463"/>
      <c r="J1" s="2463"/>
      <c r="K1" s="2463"/>
    </row>
    <row r="2" spans="1:11">
      <c r="A2" s="2300" t="s">
        <v>653</v>
      </c>
      <c r="B2" s="2300">
        <f>SUM(C14:C23)</f>
        <v>14034</v>
      </c>
      <c r="C2" s="2462"/>
      <c r="D2" s="2462"/>
      <c r="E2" s="2462"/>
      <c r="F2" s="2462"/>
      <c r="G2" s="2463"/>
      <c r="H2" s="2463"/>
      <c r="I2" s="2463"/>
      <c r="J2" s="2463"/>
      <c r="K2" s="2463"/>
    </row>
    <row r="3" spans="1:11">
      <c r="A3" s="2300" t="s">
        <v>662</v>
      </c>
      <c r="B3" s="2302">
        <f>项目基本情况!D3</f>
        <v>44993</v>
      </c>
      <c r="C3" s="2462"/>
      <c r="D3" s="2462"/>
      <c r="E3" s="2462"/>
      <c r="F3" s="2462"/>
      <c r="G3" s="2463"/>
      <c r="H3" s="2463"/>
      <c r="I3" s="2463"/>
      <c r="J3" s="2463"/>
      <c r="K3" s="2463"/>
    </row>
    <row r="4" spans="1:11" ht="27">
      <c r="A4" s="2300" t="s">
        <v>661</v>
      </c>
      <c r="B4" s="2300" t="s">
        <v>660</v>
      </c>
      <c r="C4" s="2300" t="s">
        <v>659</v>
      </c>
      <c r="D4" s="2300" t="s">
        <v>658</v>
      </c>
      <c r="E4" s="2462"/>
      <c r="F4" s="2463"/>
      <c r="G4" s="2463"/>
      <c r="H4" s="2463"/>
      <c r="I4" s="2463"/>
      <c r="J4" s="2463"/>
      <c r="K4" s="2463"/>
    </row>
    <row r="5" spans="1:11">
      <c r="A5" s="2300" t="s">
        <v>657</v>
      </c>
      <c r="B5" s="2300">
        <f ca="1">SUM(D14:D23)</f>
        <v>4116</v>
      </c>
      <c r="C5" s="2300">
        <f ca="1">IF(B5=D14,结果表!H102,ROUND(B5*10000/$B$1,0))</f>
        <v>5881</v>
      </c>
      <c r="D5" s="2300">
        <f ca="1">ROUND(B5*10000/$B$2,0)</f>
        <v>2933</v>
      </c>
      <c r="E5" s="2462"/>
      <c r="F5" s="2463"/>
      <c r="G5" s="2463"/>
      <c r="H5" s="2463"/>
      <c r="I5" s="2463"/>
      <c r="J5" s="2463"/>
      <c r="K5" s="2463"/>
    </row>
    <row r="6" spans="1:11">
      <c r="A6" s="2300" t="s">
        <v>656</v>
      </c>
      <c r="B6" s="2300">
        <f ca="1">SUM(G14:G23)</f>
        <v>4116</v>
      </c>
      <c r="C6" s="2300">
        <f ca="1">IF(B6=G14,结果表!H108,ROUND(B6*10000/$B$1,0))</f>
        <v>5881</v>
      </c>
      <c r="D6" s="2300">
        <f ca="1">ROUND(B6*10000/$B$2,0)</f>
        <v>2933</v>
      </c>
      <c r="E6" s="2462"/>
      <c r="F6" s="2463"/>
      <c r="G6" s="2463"/>
      <c r="H6" s="2463"/>
      <c r="I6" s="2463"/>
      <c r="J6" s="2463"/>
      <c r="K6" s="2463"/>
    </row>
    <row r="7" spans="1:11">
      <c r="A7" s="2300" t="s">
        <v>664</v>
      </c>
      <c r="B7" s="2300">
        <f>SUM(H14:H23)</f>
        <v>0</v>
      </c>
      <c r="C7" s="2300" t="str">
        <f>IF(B7=H14,结果表!H110,ROUND(B7*10000/$B$1,0))</f>
        <v>——</v>
      </c>
      <c r="D7" s="2300">
        <f>ROUND(B7*10000/$B$2,0)</f>
        <v>0</v>
      </c>
      <c r="E7" s="2462"/>
      <c r="F7" s="2463"/>
      <c r="G7" s="2463"/>
      <c r="H7" s="2463"/>
      <c r="I7" s="2463"/>
      <c r="J7" s="2463"/>
      <c r="K7" s="2463"/>
    </row>
    <row r="8" spans="1:11">
      <c r="A8" s="2300" t="s">
        <v>587</v>
      </c>
      <c r="B8" s="2300">
        <f>SUM(I14:I23)</f>
        <v>0</v>
      </c>
      <c r="C8" s="2300" t="str">
        <f>IF(B8=I14,结果表!H112,ROUND(B8*10000/$B$1,0))</f>
        <v>——</v>
      </c>
      <c r="D8" s="2300">
        <f>ROUND(B8*10000/$B$2,0)</f>
        <v>0</v>
      </c>
      <c r="E8" s="2462"/>
      <c r="F8" s="2463"/>
      <c r="G8" s="2463"/>
      <c r="H8" s="2463"/>
      <c r="I8" s="2463"/>
      <c r="J8" s="2463"/>
      <c r="K8" s="2463"/>
    </row>
    <row r="9" spans="1:11">
      <c r="A9" s="2300" t="s">
        <v>655</v>
      </c>
      <c r="B9" s="1244"/>
      <c r="C9" s="2462"/>
      <c r="D9" s="2462"/>
      <c r="E9" s="2462"/>
      <c r="F9" s="2463"/>
      <c r="G9" s="2463"/>
      <c r="H9" s="2463"/>
      <c r="I9" s="2463"/>
      <c r="J9" s="2463"/>
      <c r="K9" s="2463"/>
    </row>
    <row r="10" spans="1:11">
      <c r="A10" s="2300" t="s">
        <v>654</v>
      </c>
      <c r="B10" s="2300">
        <f>IF(E10="",0,ROUND(B1*(E10*365/G10)/10000,0))</f>
        <v>0</v>
      </c>
      <c r="C10" s="2300" t="s">
        <v>3362</v>
      </c>
      <c r="D10" s="2300" t="s">
        <v>3363</v>
      </c>
      <c r="E10" s="3137"/>
      <c r="F10" s="3141" t="s">
        <v>3364</v>
      </c>
      <c r="G10" s="3138"/>
      <c r="H10" s="2463"/>
      <c r="I10" s="2463"/>
      <c r="J10" s="2463"/>
      <c r="K10" s="2463"/>
    </row>
    <row r="11" spans="1:11">
      <c r="A11" s="2300" t="s">
        <v>670</v>
      </c>
      <c r="B11" s="1244"/>
      <c r="C11" s="2462"/>
      <c r="D11" s="2462"/>
      <c r="E11" s="2462"/>
      <c r="F11" s="2463"/>
      <c r="G11" s="2463"/>
      <c r="H11" s="2463"/>
      <c r="I11" s="2463"/>
      <c r="J11" s="2463"/>
      <c r="K11" s="2463"/>
    </row>
    <row r="12" spans="1:11">
      <c r="A12" s="2462"/>
      <c r="B12" s="2462"/>
      <c r="C12" s="2462"/>
      <c r="D12" s="2462"/>
      <c r="E12" s="2462"/>
      <c r="F12" s="2463"/>
      <c r="G12" s="2463"/>
      <c r="H12" s="2463"/>
      <c r="I12" s="2463"/>
      <c r="J12" s="2463"/>
      <c r="K12" s="2463"/>
    </row>
    <row r="13" spans="1:11" ht="27">
      <c r="A13" s="2303" t="s">
        <v>669</v>
      </c>
      <c r="B13" s="2304" t="s">
        <v>666</v>
      </c>
      <c r="C13" s="2304" t="s">
        <v>668</v>
      </c>
      <c r="D13" s="2304" t="s">
        <v>667</v>
      </c>
      <c r="E13" s="2300" t="s">
        <v>659</v>
      </c>
      <c r="F13" s="2300" t="s">
        <v>658</v>
      </c>
      <c r="G13" s="2304" t="s">
        <v>652</v>
      </c>
      <c r="H13" s="2304" t="s">
        <v>663</v>
      </c>
      <c r="I13" s="2304" t="s">
        <v>651</v>
      </c>
      <c r="J13" s="2463"/>
      <c r="K13" s="2463"/>
    </row>
    <row r="14" spans="1:11">
      <c r="A14" s="2305" t="s">
        <v>650</v>
      </c>
      <c r="B14" s="2306">
        <f>'数据-基础表'!I13</f>
        <v>6998.6</v>
      </c>
      <c r="C14" s="2306">
        <f>'数据-基础表'!A3</f>
        <v>14034</v>
      </c>
      <c r="D14" s="2306">
        <f ca="1">结果表!G19</f>
        <v>4116</v>
      </c>
      <c r="E14" s="2306">
        <f ca="1">ROUND(D14*10000/B14,0)</f>
        <v>5881</v>
      </c>
      <c r="F14" s="2306">
        <f ca="1">ROUND(D14*10000/C14,0)</f>
        <v>2933</v>
      </c>
      <c r="G14" s="2306">
        <f ca="1">D14</f>
        <v>4116</v>
      </c>
      <c r="H14" s="2306"/>
      <c r="I14" s="2306"/>
      <c r="J14" s="2463"/>
      <c r="K14" s="2463"/>
    </row>
    <row r="15" spans="1:11">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c r="A16" s="2305" t="s">
        <v>648</v>
      </c>
      <c r="B16" s="2307"/>
      <c r="C16" s="2307"/>
      <c r="D16" s="2307"/>
      <c r="E16" s="2306" t="e">
        <f t="shared" si="0"/>
        <v>#DIV/0!</v>
      </c>
      <c r="F16" s="2306" t="e">
        <f t="shared" si="1"/>
        <v>#DIV/0!</v>
      </c>
      <c r="G16" s="1244"/>
      <c r="H16" s="1244"/>
      <c r="I16" s="2307"/>
      <c r="J16" s="2463"/>
      <c r="K16" s="2463"/>
    </row>
    <row r="17" spans="1:11">
      <c r="A17" s="2305" t="s">
        <v>647</v>
      </c>
      <c r="B17" s="2307"/>
      <c r="C17" s="2307"/>
      <c r="D17" s="2307"/>
      <c r="E17" s="2306" t="e">
        <f t="shared" si="0"/>
        <v>#DIV/0!</v>
      </c>
      <c r="F17" s="2306" t="e">
        <f t="shared" si="1"/>
        <v>#DIV/0!</v>
      </c>
      <c r="G17" s="1244"/>
      <c r="H17" s="1244"/>
      <c r="I17" s="2307"/>
      <c r="J17" s="2463"/>
      <c r="K17" s="2463"/>
    </row>
    <row r="18" spans="1:11">
      <c r="A18" s="2305" t="s">
        <v>646</v>
      </c>
      <c r="B18" s="2307"/>
      <c r="C18" s="2307"/>
      <c r="D18" s="2307"/>
      <c r="E18" s="2306" t="e">
        <f t="shared" si="0"/>
        <v>#DIV/0!</v>
      </c>
      <c r="F18" s="2306" t="e">
        <f t="shared" si="1"/>
        <v>#DIV/0!</v>
      </c>
      <c r="G18" s="2307"/>
      <c r="H18" s="2307"/>
      <c r="I18" s="2307"/>
      <c r="J18" s="2463"/>
      <c r="K18" s="2463"/>
    </row>
    <row r="19" spans="1:11">
      <c r="A19" s="2305" t="s">
        <v>645</v>
      </c>
      <c r="B19" s="2307"/>
      <c r="C19" s="2307"/>
      <c r="D19" s="2307"/>
      <c r="E19" s="2306" t="e">
        <f t="shared" si="0"/>
        <v>#DIV/0!</v>
      </c>
      <c r="F19" s="2306" t="e">
        <f t="shared" si="1"/>
        <v>#DIV/0!</v>
      </c>
      <c r="G19" s="2307"/>
      <c r="H19" s="2307"/>
      <c r="I19" s="2307"/>
      <c r="J19" s="2463"/>
      <c r="K19" s="2463"/>
    </row>
    <row r="20" spans="1:11">
      <c r="A20" s="2305" t="s">
        <v>644</v>
      </c>
      <c r="B20" s="2307"/>
      <c r="C20" s="2307"/>
      <c r="D20" s="2307"/>
      <c r="E20" s="2306" t="e">
        <f t="shared" si="0"/>
        <v>#DIV/0!</v>
      </c>
      <c r="F20" s="2306" t="e">
        <f t="shared" si="1"/>
        <v>#DIV/0!</v>
      </c>
      <c r="G20" s="2307"/>
      <c r="H20" s="2307"/>
      <c r="I20" s="2307"/>
      <c r="J20" s="2463"/>
      <c r="K20" s="2463"/>
    </row>
    <row r="21" spans="1:11">
      <c r="A21" s="2305" t="s">
        <v>643</v>
      </c>
      <c r="B21" s="2307"/>
      <c r="C21" s="2307"/>
      <c r="D21" s="2307"/>
      <c r="E21" s="2306" t="e">
        <f t="shared" si="0"/>
        <v>#DIV/0!</v>
      </c>
      <c r="F21" s="2306" t="e">
        <f t="shared" si="1"/>
        <v>#DIV/0!</v>
      </c>
      <c r="G21" s="2307"/>
      <c r="H21" s="2307"/>
      <c r="I21" s="2307"/>
      <c r="J21" s="2463"/>
      <c r="K21" s="2463"/>
    </row>
    <row r="22" spans="1:11">
      <c r="A22" s="2305" t="s">
        <v>642</v>
      </c>
      <c r="B22" s="2307"/>
      <c r="C22" s="2307"/>
      <c r="D22" s="2307"/>
      <c r="E22" s="2306" t="e">
        <f t="shared" si="0"/>
        <v>#DIV/0!</v>
      </c>
      <c r="F22" s="2306" t="e">
        <f t="shared" si="1"/>
        <v>#DIV/0!</v>
      </c>
      <c r="G22" s="2307"/>
      <c r="H22" s="2307"/>
      <c r="I22" s="2307"/>
      <c r="J22" s="2463"/>
      <c r="K22" s="2463"/>
    </row>
    <row r="23" spans="1:11">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118" sqref="J1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3410</v>
      </c>
      <c r="D4" s="1626" t="s">
        <v>3395</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7"/>
      <c r="G5" s="1627"/>
      <c r="H5" s="1627"/>
      <c r="I5" s="1281"/>
    </row>
    <row r="6" spans="1:12" ht="12.75">
      <c r="A6" s="3261"/>
      <c r="B6" s="3316"/>
      <c r="C6" s="3321"/>
      <c r="D6" s="3307"/>
      <c r="E6" s="123" t="s">
        <v>1270</v>
      </c>
      <c r="F6" s="1627"/>
      <c r="G6" s="1627"/>
      <c r="H6" s="1627"/>
      <c r="I6" s="1281"/>
    </row>
    <row r="7" spans="1:12" ht="12.75">
      <c r="A7" s="3261"/>
      <c r="B7" s="3316"/>
      <c r="C7" s="3320"/>
      <c r="D7" s="3307"/>
      <c r="E7" s="123" t="s">
        <v>1271</v>
      </c>
      <c r="F7" s="1627"/>
      <c r="G7" s="1627"/>
      <c r="H7" s="1627"/>
      <c r="I7" s="1281"/>
    </row>
    <row r="8" spans="1:12" ht="12.75">
      <c r="A8" s="3261" t="s">
        <v>1272</v>
      </c>
      <c r="B8" s="3316">
        <v>15</v>
      </c>
      <c r="C8" s="3319"/>
      <c r="D8" s="3307"/>
      <c r="E8" s="123" t="s">
        <v>1273</v>
      </c>
      <c r="F8" s="1627"/>
      <c r="G8" s="1627"/>
      <c r="H8" s="1627"/>
      <c r="I8" s="1281"/>
    </row>
    <row r="9" spans="1:12" ht="12.75">
      <c r="A9" s="3261"/>
      <c r="B9" s="3316"/>
      <c r="C9" s="3320"/>
      <c r="D9" s="3307"/>
      <c r="E9" s="123" t="s">
        <v>1274</v>
      </c>
      <c r="F9" s="1627"/>
      <c r="G9" s="1627"/>
      <c r="H9" s="1627"/>
      <c r="I9" s="1281"/>
    </row>
    <row r="10" spans="1:12" ht="12.75">
      <c r="A10" s="3261" t="s">
        <v>1275</v>
      </c>
      <c r="B10" s="3316">
        <v>15</v>
      </c>
      <c r="C10" s="3319"/>
      <c r="D10" s="3307"/>
      <c r="E10" s="123" t="s">
        <v>1276</v>
      </c>
      <c r="F10" s="1627"/>
      <c r="G10" s="1627"/>
      <c r="H10" s="1627"/>
      <c r="I10" s="1281"/>
    </row>
    <row r="11" spans="1:12" ht="12.75">
      <c r="A11" s="3261"/>
      <c r="B11" s="3316"/>
      <c r="C11" s="3320"/>
      <c r="D11" s="3307"/>
      <c r="E11" s="123" t="s">
        <v>1277</v>
      </c>
      <c r="F11" s="1627"/>
      <c r="G11" s="1627"/>
      <c r="H11" s="1627"/>
      <c r="I11" s="1281"/>
    </row>
    <row r="12" spans="1:12" ht="12.75">
      <c r="A12" s="3261" t="s">
        <v>1278</v>
      </c>
      <c r="B12" s="3316">
        <v>15</v>
      </c>
      <c r="C12" s="3319"/>
      <c r="D12" s="3307"/>
      <c r="E12" s="123" t="s">
        <v>1279</v>
      </c>
      <c r="F12" s="1627"/>
      <c r="G12" s="1627"/>
      <c r="H12" s="1627"/>
      <c r="I12" s="1281"/>
    </row>
    <row r="13" spans="1:12" ht="12.75">
      <c r="A13" s="3261"/>
      <c r="B13" s="3316"/>
      <c r="C13" s="3320"/>
      <c r="D13" s="3307"/>
      <c r="E13" s="123" t="s">
        <v>1280</v>
      </c>
      <c r="F13" s="1627"/>
      <c r="G13" s="1627"/>
      <c r="H13" s="1627"/>
      <c r="I13" s="1281"/>
    </row>
    <row r="14" spans="1:12" ht="12.75">
      <c r="A14" s="3261" t="s">
        <v>1281</v>
      </c>
      <c r="B14" s="3316">
        <v>30</v>
      </c>
      <c r="C14" s="3319">
        <v>6</v>
      </c>
      <c r="D14" s="3307">
        <v>4</v>
      </c>
      <c r="E14" s="123" t="s">
        <v>1282</v>
      </c>
      <c r="F14" s="1627"/>
      <c r="G14" s="1627"/>
      <c r="H14" s="1627"/>
      <c r="I14" s="1281"/>
    </row>
    <row r="15" spans="1:12" ht="12.75">
      <c r="A15" s="3261"/>
      <c r="B15" s="3316"/>
      <c r="C15" s="3321"/>
      <c r="D15" s="3307"/>
      <c r="E15" s="123" t="s">
        <v>1283</v>
      </c>
      <c r="F15" s="1627"/>
      <c r="G15" s="1627"/>
      <c r="H15" s="1627"/>
      <c r="I15" s="1281"/>
    </row>
    <row r="16" spans="1:12" ht="12.75">
      <c r="A16" s="3261"/>
      <c r="B16" s="3316"/>
      <c r="C16" s="3320"/>
      <c r="D16" s="3307"/>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8" t="s">
        <v>2130</v>
      </c>
      <c r="F18" s="3339"/>
      <c r="G18" s="3339"/>
      <c r="H18" s="3339"/>
      <c r="I18" s="3339"/>
      <c r="K18" s="294" t="s">
        <v>1289</v>
      </c>
      <c r="L18" s="294">
        <f>IF(C1="",'数据-汇总表'!E3,SUMIF(项目类型,C1,'数据-汇总表'!E17:E26)+SUMIF(项目类型,C1,'数据-汇总表'!I17:I26))</f>
        <v>6998.6</v>
      </c>
      <c r="M18" s="294">
        <f>IF(C1="",'数据-汇总表'!E3,SUMIF(项目类型,C1,'数据-汇总表'!E17:E26))</f>
        <v>6998.6</v>
      </c>
    </row>
    <row r="19" spans="1:36" ht="15">
      <c r="A19" s="1630" t="s">
        <v>1290</v>
      </c>
      <c r="B19" s="1631" t="s">
        <v>1291</v>
      </c>
      <c r="C19" s="126">
        <f ca="1">SUMIF(INDIRECT("'"&amp;C4&amp;"'"&amp;"!A:A"),结果表!B19,INDIRECT("'"&amp;C4&amp;"'"&amp;"!B:B"))</f>
        <v>4622</v>
      </c>
      <c r="D19" s="127">
        <f ca="1">SUMIF(INDIRECT("'"&amp;D4&amp;"'"&amp;"!A:A"),结果表!B19,INDIRECT("'"&amp;D4&amp;"'"&amp;"!B:B"))</f>
        <v>3356</v>
      </c>
      <c r="E19" s="1630" t="s">
        <v>1292</v>
      </c>
      <c r="F19" s="1631" t="s">
        <v>1291</v>
      </c>
      <c r="G19" s="128">
        <f ca="1">ROUND(C19*$C$18+D19*$D$18,0)</f>
        <v>4116</v>
      </c>
      <c r="H19" s="1632" t="s">
        <v>1293</v>
      </c>
      <c r="I19" s="121"/>
      <c r="K19" s="294" t="s">
        <v>1294</v>
      </c>
      <c r="L19" s="294">
        <f>IF(C1="",'数据-汇总表'!D3,SUMIF(项目类型,C1,'数据-汇总表'!D17:D26)+SUMIF(项目类型,C1,'数据-汇总表'!H17:H27))</f>
        <v>14034</v>
      </c>
      <c r="M19" s="294">
        <f>IF(C1="",'数据-汇总表'!D3,SUMIF(项目类型,C1,'数据-汇总表'!D17:D26))</f>
        <v>14034</v>
      </c>
    </row>
    <row r="20" spans="1:36" ht="15">
      <c r="A20" s="1633"/>
      <c r="B20" s="43" t="s">
        <v>1295</v>
      </c>
      <c r="C20" s="129">
        <f ca="1">SUMIF(INDIRECT("'"&amp;C4&amp;"'"&amp;"!A:A"),结果表!B20,INDIRECT("'"&amp;C4&amp;"'"&amp;"!B:B"))</f>
        <v>6604</v>
      </c>
      <c r="D20" s="130">
        <f ca="1">SUMIF(INDIRECT("'"&amp;D4&amp;"'"&amp;"!A:A"),结果表!B20,INDIRECT("'"&amp;D4&amp;"'"&amp;"!B:B"))</f>
        <v>4795</v>
      </c>
      <c r="E20" s="1633"/>
      <c r="F20" s="43" t="s">
        <v>1295</v>
      </c>
      <c r="G20" s="131">
        <f ca="1">ROUND(C20*$C$18+D20*$D$18,0)</f>
        <v>5880</v>
      </c>
      <c r="H20" s="760" t="s">
        <v>1296</v>
      </c>
      <c r="I20" s="121"/>
    </row>
    <row r="21" spans="1:36" ht="15" customHeight="1" thickBot="1">
      <c r="A21" s="449"/>
      <c r="B21" s="93" t="s">
        <v>1297</v>
      </c>
      <c r="C21" s="678">
        <f ca="1">ROUND(C19*10000/L19,0)</f>
        <v>3293</v>
      </c>
      <c r="D21" s="679">
        <f ca="1">ROUND(D19*10000/L19,0)</f>
        <v>2391</v>
      </c>
      <c r="E21" s="449"/>
      <c r="F21" s="93" t="s">
        <v>1297</v>
      </c>
      <c r="G21" s="132">
        <f ca="1">ROUND(G19*10000/L19,0)</f>
        <v>2933</v>
      </c>
      <c r="H21" s="1634" t="s">
        <v>1296</v>
      </c>
      <c r="I21" s="121"/>
    </row>
    <row r="22" spans="1:36" ht="15" thickBot="1">
      <c r="A22" s="1564" t="s">
        <v>1298</v>
      </c>
      <c r="B22" s="1635"/>
      <c r="C22" s="1636"/>
      <c r="D22" s="680">
        <f ca="1">IF(C19&lt;D19,D19/C19-1,C19/D19-1)</f>
        <v>0.3772348033373063</v>
      </c>
      <c r="E22" s="121"/>
      <c r="F22" s="121"/>
      <c r="G22" s="121"/>
      <c r="H22" s="121"/>
      <c r="I22" s="121"/>
    </row>
    <row r="23" spans="1:36" ht="13.5" thickBot="1">
      <c r="A23" s="646"/>
      <c r="B23" s="646"/>
      <c r="C23" s="646"/>
      <c r="D23" s="646"/>
      <c r="E23" s="121"/>
      <c r="F23" s="121"/>
      <c r="G23" s="121"/>
      <c r="H23" s="121"/>
      <c r="I23" s="121"/>
    </row>
    <row r="24" spans="1:36" ht="14.25">
      <c r="A24" s="3331" t="s">
        <v>1299</v>
      </c>
      <c r="B24" s="1631" t="s">
        <v>1291</v>
      </c>
      <c r="C24" s="128">
        <f>IF(B30=0,0,D30)</f>
        <v>0</v>
      </c>
      <c r="D24" s="1637"/>
      <c r="E24" s="121"/>
      <c r="F24" s="121"/>
      <c r="G24" s="121"/>
      <c r="H24" s="121"/>
      <c r="I24" s="121"/>
    </row>
    <row r="25" spans="1:36" ht="14.25">
      <c r="A25" s="333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4116</v>
      </c>
      <c r="D32" s="1641" t="s">
        <v>3411</v>
      </c>
      <c r="E32" s="121"/>
      <c r="F32" s="121"/>
      <c r="G32" s="121"/>
      <c r="H32" s="121"/>
      <c r="I32" s="121"/>
    </row>
    <row r="33" spans="1:15" ht="15">
      <c r="A33" s="740" t="s">
        <v>1306</v>
      </c>
      <c r="B33" s="123"/>
      <c r="C33" s="1642" t="s">
        <v>3412</v>
      </c>
      <c r="D33" s="1643" t="s">
        <v>3410</v>
      </c>
      <c r="E33" s="1644" t="s">
        <v>1307</v>
      </c>
      <c r="F33" s="1645" t="str">
        <f>IF(D32="楼面单价","取值（单价）","取值（总价）")</f>
        <v>取值（总价）</v>
      </c>
      <c r="G33" s="121"/>
      <c r="H33" s="121"/>
      <c r="I33" s="121"/>
    </row>
    <row r="34" spans="1:15" ht="15">
      <c r="A34" s="1646"/>
      <c r="B34" s="1647" t="s">
        <v>1308</v>
      </c>
      <c r="C34" s="140">
        <f ca="1">IF(C33="自定义",F34,C32-C35)</f>
        <v>2144</v>
      </c>
      <c r="D34" s="808">
        <f ca="1">IF(C33="自定义",ROUND(C34/C32,3),IF(C33="收益比率",SUMIF(INDIRECT("'"&amp;D33&amp;"'"&amp;"!b:b"),"土地收益比率",INDIRECT("'"&amp;D33&amp;"'"&amp;"!c:c")),SUMIF(INDIRECT("'"&amp;D33&amp;"'"&amp;"!b:b"),"土地成本比率",INDIRECT("'"&amp;D33&amp;"'"&amp;"!c:c"))))</f>
        <v>0.52100000000000002</v>
      </c>
      <c r="E34" s="1648" t="s">
        <v>1309</v>
      </c>
      <c r="F34" s="1243"/>
      <c r="G34" s="121"/>
      <c r="H34" s="121"/>
      <c r="I34" s="121"/>
    </row>
    <row r="35" spans="1:15" ht="15.75" thickBot="1">
      <c r="A35" s="1649"/>
      <c r="B35" s="1650" t="s">
        <v>1310</v>
      </c>
      <c r="C35" s="1090">
        <f ca="1">IF(C33="自定义",F35,ROUND(C32*D35,0))</f>
        <v>1972</v>
      </c>
      <c r="D35" s="1091">
        <f ca="1">IF(C33="自定义",ROUND(C35/C32,3),IF(C33="收益比率",SUMIF(INDIRECT("'"&amp;D33&amp;"'"&amp;"!b:b"),"建筑物收益比率",INDIRECT("'"&amp;D33&amp;"'"&amp;"!c:c")),SUMIF(INDIRECT("'"&amp;D33&amp;"'"&amp;"!b:b"),"建筑物成本比率",INDIRECT("'"&amp;D33&amp;"'"&amp;"!c:c"))))</f>
        <v>0.47899999999999998</v>
      </c>
      <c r="E35" s="1651" t="s">
        <v>1311</v>
      </c>
      <c r="F35" s="146"/>
      <c r="G35" s="121"/>
      <c r="H35" s="121"/>
      <c r="I35" s="121"/>
    </row>
    <row r="36" spans="1:15" ht="15.75" thickBot="1">
      <c r="A36" s="3308" t="s">
        <v>1312</v>
      </c>
      <c r="B36" s="1652" t="s">
        <v>1313</v>
      </c>
      <c r="C36" s="137"/>
      <c r="D36" s="1653"/>
      <c r="E36" s="1567"/>
      <c r="F36" s="1654"/>
      <c r="G36" s="121"/>
      <c r="H36" s="121"/>
      <c r="I36" s="121"/>
    </row>
    <row r="37" spans="1:15" ht="15.75" thickBot="1">
      <c r="A37" s="3309"/>
      <c r="B37" s="1555" t="s">
        <v>1314</v>
      </c>
      <c r="C37" s="139"/>
      <c r="D37" s="1071"/>
      <c r="E37" s="1071"/>
      <c r="F37" s="1654"/>
      <c r="G37" s="121"/>
      <c r="H37" s="121"/>
      <c r="I37" s="121"/>
    </row>
    <row r="38" spans="1:15" ht="15.75" thickBot="1">
      <c r="A38" s="331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8" t="s">
        <v>1326</v>
      </c>
      <c r="B45" s="3329"/>
      <c r="C45" s="3330"/>
      <c r="D45" s="147">
        <f ca="1">ROUND(H101*F45,0)</f>
        <v>4116</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8"/>
      <c r="I46" s="151"/>
      <c r="J46" s="2310">
        <v>1</v>
      </c>
      <c r="K46" s="3249" t="s">
        <v>1331</v>
      </c>
      <c r="L46" s="3249"/>
      <c r="M46" s="3250"/>
      <c r="N46" s="3250"/>
      <c r="O46" s="3250"/>
    </row>
    <row r="47" spans="1:15" ht="12" customHeight="1">
      <c r="A47" s="152" t="s">
        <v>1332</v>
      </c>
      <c r="B47" s="153"/>
      <c r="C47" s="154"/>
      <c r="D47" s="1024" t="s">
        <v>1333</v>
      </c>
      <c r="E47" s="294" t="s">
        <v>1334</v>
      </c>
      <c r="F47" s="155" t="s">
        <v>1335</v>
      </c>
      <c r="G47" s="2333" t="s">
        <v>1336</v>
      </c>
      <c r="H47" s="2334"/>
      <c r="I47" s="151"/>
      <c r="J47" s="2310">
        <v>2</v>
      </c>
      <c r="K47" s="3249" t="s">
        <v>1337</v>
      </c>
      <c r="L47" s="3249"/>
      <c r="M47" s="3251">
        <f>'数据-取费表'!B2</f>
        <v>44993</v>
      </c>
      <c r="N47" s="3251"/>
      <c r="O47" s="3251"/>
    </row>
    <row r="48" spans="1:15" ht="25.5">
      <c r="A48" s="3311" t="s">
        <v>1338</v>
      </c>
      <c r="B48" s="3312"/>
      <c r="C48" s="331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49" t="s">
        <v>1340</v>
      </c>
      <c r="L48" s="3249"/>
      <c r="M48" s="3252">
        <f ca="1">H101</f>
        <v>4116</v>
      </c>
      <c r="N48" s="3252"/>
      <c r="O48" s="3252"/>
    </row>
    <row r="49" spans="1:35" ht="25.5" customHeight="1">
      <c r="A49" s="2152" t="s">
        <v>1341</v>
      </c>
      <c r="B49" s="3297" t="s">
        <v>1342</v>
      </c>
      <c r="C49" s="3297"/>
      <c r="D49" s="1478">
        <v>0</v>
      </c>
      <c r="E49" s="316" t="s">
        <v>1343</v>
      </c>
      <c r="F49" s="2233" t="s">
        <v>28</v>
      </c>
      <c r="G49" s="3280"/>
      <c r="H49" s="2134" t="s">
        <v>2133</v>
      </c>
      <c r="I49" s="2135"/>
      <c r="J49" s="2310">
        <v>4</v>
      </c>
      <c r="K49" s="3249" t="str">
        <f>IF(项目基本情况!E8="房地产抵押价值","房地产抵押价值","抵押担保权已注销时的房地产抵押价值")</f>
        <v>房地产抵押价值</v>
      </c>
      <c r="L49" s="3249"/>
      <c r="M49" s="3252">
        <f ca="1">IF(项目基本情况!E8="房地产抵押价值",H107,H109)</f>
        <v>4116</v>
      </c>
      <c r="N49" s="3252"/>
      <c r="O49" s="3252"/>
    </row>
    <row r="50" spans="1:35" ht="25.5" customHeight="1">
      <c r="A50" s="2338"/>
      <c r="B50" s="3297" t="s">
        <v>1344</v>
      </c>
      <c r="C50" s="3297"/>
      <c r="D50" s="2189"/>
      <c r="E50" s="323"/>
      <c r="F50" s="2233"/>
      <c r="G50" s="3281"/>
      <c r="H50" s="2136" t="s">
        <v>2134</v>
      </c>
      <c r="I50" s="2135"/>
      <c r="J50" s="3248" t="s">
        <v>1345</v>
      </c>
      <c r="K50" s="3248"/>
      <c r="L50" s="3248"/>
      <c r="M50" s="3248"/>
      <c r="N50" s="3248"/>
      <c r="O50" s="3248"/>
    </row>
    <row r="51" spans="1:35" ht="20.45" customHeight="1">
      <c r="A51" s="2339"/>
      <c r="B51" s="3297" t="s">
        <v>1346</v>
      </c>
      <c r="C51" s="3297"/>
      <c r="D51" s="1024"/>
      <c r="E51" s="319"/>
      <c r="F51" s="2233"/>
      <c r="G51" s="3282"/>
      <c r="H51" s="2136" t="s">
        <v>2135</v>
      </c>
      <c r="I51" s="2135"/>
      <c r="J51" s="2311" t="s">
        <v>1347</v>
      </c>
      <c r="K51" s="3249" t="s">
        <v>1348</v>
      </c>
      <c r="L51" s="3249"/>
      <c r="M51" s="2311" t="s">
        <v>1349</v>
      </c>
      <c r="N51" s="2311" t="s">
        <v>1350</v>
      </c>
      <c r="O51" s="2311" t="s">
        <v>1351</v>
      </c>
    </row>
    <row r="52" spans="1:35" ht="24" customHeight="1">
      <c r="A52" s="2153" t="s">
        <v>1352</v>
      </c>
      <c r="B52" s="3297" t="s">
        <v>1353</v>
      </c>
      <c r="C52" s="3297"/>
      <c r="D52" s="1024">
        <f ca="1">ROUND(D45*'数据-取费表'!B41/(1+'数据-取费表'!C42),0)</f>
        <v>216</v>
      </c>
      <c r="E52" s="1256" t="s">
        <v>1354</v>
      </c>
      <c r="F52" s="2340">
        <f>'数据-取费表'!B41</f>
        <v>5.5000000000000007E-2</v>
      </c>
      <c r="G52" s="2341"/>
      <c r="H52" s="2331"/>
      <c r="I52" s="1669"/>
      <c r="J52" s="2310">
        <v>1</v>
      </c>
      <c r="K52" s="3274" t="s">
        <v>1355</v>
      </c>
      <c r="L52" s="3274"/>
      <c r="M52" s="2312" t="b">
        <f>D48</f>
        <v>0</v>
      </c>
      <c r="N52" s="2310" t="str">
        <f>E48</f>
        <v>销售额×税（费）率</v>
      </c>
      <c r="O52" s="2313">
        <f>F48</f>
        <v>5.5000000000000007E-2</v>
      </c>
    </row>
    <row r="53" spans="1:35" ht="12" customHeight="1">
      <c r="A53" s="2153" t="s">
        <v>1356</v>
      </c>
      <c r="B53" s="3298" t="s">
        <v>2290</v>
      </c>
      <c r="C53" s="3299"/>
      <c r="D53" s="1024">
        <f ca="1">ROUND(D45*'数据-取费表'!B41/(1+'数据-取费表'!C42),0)</f>
        <v>216</v>
      </c>
      <c r="E53" s="1256" t="s">
        <v>1354</v>
      </c>
      <c r="F53" s="2340">
        <f>'数据-取费表'!B41</f>
        <v>5.5000000000000007E-2</v>
      </c>
      <c r="G53" s="2341"/>
      <c r="H53" s="2331"/>
      <c r="I53" s="1669"/>
      <c r="J53" s="2310">
        <v>2</v>
      </c>
      <c r="K53" s="3274" t="s">
        <v>1357</v>
      </c>
      <c r="L53" s="3274"/>
      <c r="M53" s="2312">
        <f t="shared" ref="M53:O54" ca="1" si="0">D55</f>
        <v>2</v>
      </c>
      <c r="N53" s="2310" t="str">
        <f t="shared" si="0"/>
        <v>销售额×税（费）率</v>
      </c>
      <c r="O53" s="2313" t="str">
        <f t="shared" si="0"/>
        <v>免征</v>
      </c>
    </row>
    <row r="54" spans="1:35" ht="12" customHeight="1">
      <c r="A54" s="2153" t="s">
        <v>1358</v>
      </c>
      <c r="B54" s="3298" t="s">
        <v>2291</v>
      </c>
      <c r="C54" s="3299"/>
      <c r="D54" s="1024">
        <f ca="1">C68</f>
        <v>216</v>
      </c>
      <c r="E54" s="319" t="s">
        <v>1359</v>
      </c>
      <c r="F54" s="2340">
        <f>'数据-取费表'!B41</f>
        <v>5.5000000000000007E-2</v>
      </c>
      <c r="G54" s="2341"/>
      <c r="H54" s="2342"/>
      <c r="I54" s="1669"/>
      <c r="J54" s="2310">
        <v>3</v>
      </c>
      <c r="K54" s="3274" t="s">
        <v>1360</v>
      </c>
      <c r="L54" s="3274"/>
      <c r="M54" s="2312">
        <f t="shared" ca="1" si="0"/>
        <v>2333</v>
      </c>
      <c r="N54" s="2310" t="str">
        <f t="shared" si="0"/>
        <v>增值额×税（费）率</v>
      </c>
      <c r="O54" s="2314" t="str">
        <f t="shared" si="0"/>
        <v>免征</v>
      </c>
    </row>
    <row r="55" spans="1:35" ht="24" customHeight="1">
      <c r="A55" s="3334" t="s">
        <v>1361</v>
      </c>
      <c r="B55" s="3312"/>
      <c r="C55" s="3312"/>
      <c r="D55" s="12">
        <f ca="1">IF(H55="个人住宅",0,ROUND(D45*I55,0))</f>
        <v>2</v>
      </c>
      <c r="E55" s="1256" t="s">
        <v>1362</v>
      </c>
      <c r="F55" s="2340" t="str">
        <f>IF(H55="正常",I55,"免征")</f>
        <v>免征</v>
      </c>
      <c r="G55" s="2341"/>
      <c r="H55" s="2337"/>
      <c r="I55" s="157">
        <f>'数据-取费表'!B49</f>
        <v>5.0000000000000001E-4</v>
      </c>
      <c r="J55" s="2310">
        <f>IF(H59="非个人房产","",4)</f>
        <v>4</v>
      </c>
      <c r="K55" s="3274" t="str">
        <f>IF(H59="非个人房产","——","个人所得税")</f>
        <v>个人所得税</v>
      </c>
      <c r="L55" s="3274"/>
      <c r="M55" s="2315">
        <f ca="1">D59</f>
        <v>39</v>
      </c>
      <c r="N55" s="1883" t="str">
        <f>E59</f>
        <v>差额计税</v>
      </c>
      <c r="O55" s="2316">
        <f>F59</f>
        <v>0.01</v>
      </c>
    </row>
    <row r="56" spans="1:35" ht="24.75">
      <c r="A56" s="3334" t="s">
        <v>1363</v>
      </c>
      <c r="B56" s="3312"/>
      <c r="C56" s="3312"/>
      <c r="D56" s="12">
        <f ca="1">IF(H56="个人住宅",D57,D58)</f>
        <v>2333</v>
      </c>
      <c r="E56" s="1256" t="s">
        <v>1364</v>
      </c>
      <c r="F56" s="2340" t="str">
        <f>IF(H56="正常",F58,"免征")</f>
        <v>免征</v>
      </c>
      <c r="G56" s="2343" t="s">
        <v>1365</v>
      </c>
      <c r="H56" s="2344"/>
      <c r="I56" s="1670"/>
      <c r="J56" s="2310" t="str">
        <f>IF(项目基本情况!K6="上海银行",IF(J55="",4,J55+1),"")</f>
        <v/>
      </c>
      <c r="K56" s="3255" t="str">
        <f>IF(项目基本情况!K6="上海银行","其他处置费用","")</f>
        <v/>
      </c>
      <c r="L56" s="3256"/>
      <c r="M56" s="2312" t="str">
        <f>IF(项目基本情况!K6="上海银行",M69,"")</f>
        <v/>
      </c>
      <c r="N56" s="3255" t="str">
        <f>IF(项目基本情况!K6="上海银行","包含处置中涉及的律师、诉讼、拍卖、评估等费用","")</f>
        <v/>
      </c>
      <c r="O56" s="3258"/>
    </row>
    <row r="57" spans="1:35" ht="12.75">
      <c r="A57" s="2153" t="s">
        <v>1341</v>
      </c>
      <c r="B57" s="3298" t="s">
        <v>1366</v>
      </c>
      <c r="C57" s="3299"/>
      <c r="D57" s="1478">
        <v>0</v>
      </c>
      <c r="E57" s="316" t="s">
        <v>1343</v>
      </c>
      <c r="F57" s="294"/>
      <c r="G57" s="2341"/>
      <c r="H57" s="2345"/>
      <c r="I57" s="1670"/>
      <c r="J57" s="3274">
        <f>IF(AND(J55="",J56=""),4,IF(项目基本情况!K6="上海银行",结果表!J56+1,结果表!J55+1))</f>
        <v>5</v>
      </c>
      <c r="K57" s="3274" t="s">
        <v>1367</v>
      </c>
      <c r="L57" s="2317" t="s">
        <v>1368</v>
      </c>
      <c r="M57" s="2318"/>
      <c r="N57" s="2319">
        <f ca="1">SUMIF(M52:M56,"&lt;9e307")</f>
        <v>2374</v>
      </c>
      <c r="O57" s="2320"/>
      <c r="P57" s="2465">
        <f ca="1">N57/M49</f>
        <v>0.57677356656948497</v>
      </c>
    </row>
    <row r="58" spans="1:35" ht="24.75">
      <c r="A58" s="2153" t="s">
        <v>1352</v>
      </c>
      <c r="B58" s="3298" t="s">
        <v>1369</v>
      </c>
      <c r="C58" s="3297"/>
      <c r="D58" s="12">
        <f ca="1">IF(H58="转让取得",C81,C97)</f>
        <v>2333</v>
      </c>
      <c r="E58" s="1256" t="s">
        <v>1364</v>
      </c>
      <c r="F58" s="294" t="s">
        <v>28</v>
      </c>
      <c r="G58" s="2341"/>
      <c r="H58" s="2344"/>
      <c r="I58" s="1670"/>
      <c r="J58" s="3274"/>
      <c r="K58" s="3274"/>
      <c r="L58" s="2317" t="s">
        <v>1370</v>
      </c>
      <c r="M58" s="2321"/>
      <c r="N58" s="2322" t="str">
        <f ca="1">NUMBERSTRING(INT(N57*10000),2)&amp;"元整"</f>
        <v>贰仟叁佰柒拾肆万元整</v>
      </c>
      <c r="O58" s="2323"/>
    </row>
    <row r="59" spans="1:35" ht="24.75" thickBot="1">
      <c r="A59" s="3278" t="s">
        <v>1371</v>
      </c>
      <c r="B59" s="3279"/>
      <c r="C59" s="3279"/>
      <c r="D59" s="2346">
        <f ca="1">IF(H59="非个人房产","——",IF(H59="个人住宅（满五唯一有凭证）",0,IF(H59="个人其他（无凭证）",ROUND(D45*F59,0),ROUND(C67*F59,0))))</f>
        <v>39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76">
        <f>J57+1</f>
        <v>6</v>
      </c>
      <c r="K59" s="3274" t="s">
        <v>1372</v>
      </c>
      <c r="L59" s="2310" t="s">
        <v>1368</v>
      </c>
      <c r="M59" s="2324"/>
      <c r="N59" s="2325">
        <f ca="1">M49-N57</f>
        <v>1742</v>
      </c>
      <c r="O59" s="2326"/>
    </row>
    <row r="60" spans="1:35" ht="12" customHeight="1">
      <c r="A60" s="1671"/>
      <c r="B60" s="646"/>
      <c r="C60" s="646"/>
      <c r="D60" s="646"/>
      <c r="E60" s="1466"/>
      <c r="F60" s="1670"/>
      <c r="G60" s="1670"/>
      <c r="H60" s="151"/>
      <c r="I60" s="121"/>
      <c r="J60" s="3277"/>
      <c r="K60" s="3274"/>
      <c r="L60" s="2317" t="s">
        <v>1370</v>
      </c>
      <c r="M60" s="2321"/>
      <c r="N60" s="2322" t="str">
        <f ca="1">NUMBERSTRING(INT(N59*10000),2)&amp;"元整"</f>
        <v>壹仟柒佰肆拾贰万元整</v>
      </c>
      <c r="O60" s="2323"/>
    </row>
    <row r="61" spans="1:35" ht="13.5" thickBot="1">
      <c r="A61" s="3333" t="s">
        <v>1373</v>
      </c>
      <c r="B61" s="3333"/>
      <c r="C61" s="3333"/>
      <c r="D61" s="3333"/>
      <c r="E61" s="3333"/>
      <c r="F61" s="1670"/>
      <c r="G61" s="1670"/>
      <c r="H61" s="151"/>
      <c r="I61" s="121"/>
      <c r="J61" s="2310">
        <f>J59+1</f>
        <v>7</v>
      </c>
      <c r="K61" s="3274" t="s">
        <v>1374</v>
      </c>
      <c r="L61" s="3274"/>
      <c r="M61" s="2327"/>
      <c r="N61" s="2328">
        <f ca="1">ROUND(N59*10000/'数据-汇总表'!E3,0)</f>
        <v>2489</v>
      </c>
      <c r="O61" s="2329"/>
    </row>
    <row r="62" spans="1:35" ht="12.75">
      <c r="A62" s="3293" t="s">
        <v>1375</v>
      </c>
      <c r="B62" s="3294"/>
      <c r="C62" s="1865"/>
      <c r="D62" s="1865" t="s">
        <v>1376</v>
      </c>
      <c r="E62" s="158" t="s">
        <v>1377</v>
      </c>
      <c r="F62" s="1670"/>
      <c r="G62" s="1670"/>
      <c r="H62" s="151"/>
      <c r="I62" s="121"/>
    </row>
    <row r="63" spans="1:35" ht="12.75">
      <c r="A63" s="165" t="s">
        <v>330</v>
      </c>
      <c r="B63" s="159" t="s">
        <v>1378</v>
      </c>
      <c r="C63" s="2350">
        <f ca="1">ROUND((C64+C65)/(1+'数据-取费表'!C42),0)</f>
        <v>3920</v>
      </c>
      <c r="D63" s="159"/>
      <c r="E63" s="160"/>
      <c r="F63" s="1670"/>
      <c r="G63" s="1670"/>
      <c r="H63" s="151"/>
      <c r="I63" s="121"/>
      <c r="J63" s="3257" t="s">
        <v>1379</v>
      </c>
      <c r="K63" s="1245" t="s">
        <v>1380</v>
      </c>
      <c r="L63" s="1245">
        <f ca="1">IF(M49&gt;10000,M49*0.5%,IF(AND(M49&gt;1000,M49&lt;=10000),M49*1%,IF(AND(M49&gt;100,M49&lt;=1000),M49*3%,IF(AND(M49&gt;10,M49&lt;=100),M49*5%,M49*8%))))</f>
        <v>41.160000000000004</v>
      </c>
      <c r="M63" s="294">
        <f ca="1">ROUND(L63,1)</f>
        <v>41.2</v>
      </c>
      <c r="N63" s="2330"/>
      <c r="Z63" s="1623"/>
      <c r="AI63" s="1561"/>
    </row>
    <row r="64" spans="1:35" ht="14.25" customHeight="1">
      <c r="A64" s="161" t="s">
        <v>325</v>
      </c>
      <c r="B64" s="162" t="s">
        <v>1381</v>
      </c>
      <c r="C64" s="2351">
        <f ca="1">D45</f>
        <v>4116</v>
      </c>
      <c r="D64" s="162" t="s">
        <v>26</v>
      </c>
      <c r="E64" s="164"/>
      <c r="F64" s="1670"/>
      <c r="G64" s="1670"/>
      <c r="H64" s="151"/>
      <c r="I64" s="121"/>
      <c r="J64" s="3257"/>
      <c r="K64" s="1245" t="s">
        <v>1382</v>
      </c>
      <c r="L64" s="1245">
        <f ca="1">IF(M49&gt;2000,M49*0.5%,IF(AND(M49&gt;1000,M49&lt;=2000),M49*0.6%,IF(AND(M49&gt;500,M49&lt;=1000),M49*0.7%,IF(AND(M49&gt;200,M49&lt;=500),M49*0.8%,IF(AND(M49&gt;100,M49&lt;=200),M49*0.9%,IF(AND(M49&gt;50,M49&lt;=100),M49*1%,IF(AND(M49&gt;20,M49&lt;=50),M49*1.5%,IF(AND(M49&gt;10,M49&lt;=20),M49*2%,IF(AND(M49&gt;1,M49&lt;=10),M49*2.5%)))))))))</f>
        <v>20.580000000000002</v>
      </c>
      <c r="M64" s="294">
        <f t="shared" ref="M64:M65" ca="1" si="1">ROUND(L64,1)</f>
        <v>20.6</v>
      </c>
      <c r="N64" s="2331" t="s">
        <v>1383</v>
      </c>
      <c r="Z64" s="1623"/>
      <c r="AI64" s="1561"/>
    </row>
    <row r="65" spans="1:35" ht="14.25" customHeight="1">
      <c r="A65" s="161" t="s">
        <v>326</v>
      </c>
      <c r="B65" s="162" t="s">
        <v>1384</v>
      </c>
      <c r="C65" s="2352"/>
      <c r="D65" s="162"/>
      <c r="E65" s="164"/>
      <c r="F65" s="1670"/>
      <c r="G65" s="1670"/>
      <c r="H65" s="151"/>
      <c r="I65" s="121"/>
      <c r="J65" s="3257"/>
      <c r="K65" s="1245" t="s">
        <v>1385</v>
      </c>
      <c r="L65" s="1245">
        <f ca="1">IF(M49&gt;1000,M49*0.1%,IF(AND(M49&gt;500,M49&lt;=1000),M49*0.5%,IF(AND(M49&gt;50,M49&lt;=500),M49*1%,IF(AND(M49&gt;1,M49&lt;=50),M49*1.5%))))</f>
        <v>4.1159999999999997</v>
      </c>
      <c r="M65" s="294">
        <f t="shared" ca="1" si="1"/>
        <v>4.0999999999999996</v>
      </c>
      <c r="N65" s="2331" t="s">
        <v>1383</v>
      </c>
      <c r="Z65" s="1623"/>
      <c r="AI65" s="1561"/>
    </row>
    <row r="66" spans="1:35" ht="14.25" customHeight="1">
      <c r="A66" s="165" t="s">
        <v>327</v>
      </c>
      <c r="B66" s="166" t="s">
        <v>1386</v>
      </c>
      <c r="C66" s="2353"/>
      <c r="D66" s="166" t="s">
        <v>26</v>
      </c>
      <c r="E66" s="1251" t="s">
        <v>671</v>
      </c>
      <c r="F66" s="1670"/>
      <c r="G66" s="1670"/>
      <c r="H66" s="151"/>
      <c r="I66" s="121"/>
      <c r="J66" s="3257"/>
      <c r="K66" s="1245" t="s">
        <v>1387</v>
      </c>
      <c r="L66" s="1245">
        <f ca="1">M49*0.5%</f>
        <v>20.580000000000002</v>
      </c>
      <c r="M66" s="294">
        <f ca="1">IF(L66&gt;0.5,0.5,ROUND(L66,0))</f>
        <v>0.5</v>
      </c>
      <c r="N66" s="2331" t="s">
        <v>1388</v>
      </c>
      <c r="Z66" s="1623"/>
      <c r="AI66" s="1561"/>
    </row>
    <row r="67" spans="1:35" ht="14.25" customHeight="1">
      <c r="A67" s="165" t="s">
        <v>328</v>
      </c>
      <c r="B67" s="166" t="s">
        <v>1389</v>
      </c>
      <c r="C67" s="2354">
        <f ca="1">C63-C66</f>
        <v>3920</v>
      </c>
      <c r="D67" s="162" t="s">
        <v>26</v>
      </c>
      <c r="E67" s="164"/>
      <c r="F67" s="1670"/>
      <c r="G67" s="1670"/>
      <c r="H67" s="151"/>
      <c r="I67" s="121"/>
      <c r="J67" s="3257"/>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216</v>
      </c>
      <c r="D68" s="2356">
        <f>'数据-取费表'!B41</f>
        <v>5.5000000000000007E-2</v>
      </c>
      <c r="E68" s="170"/>
      <c r="F68" s="1670"/>
      <c r="G68" s="1670"/>
      <c r="H68" s="151"/>
      <c r="I68" s="121"/>
      <c r="J68" s="3257"/>
      <c r="K68" s="1245" t="s">
        <v>1392</v>
      </c>
      <c r="L68" s="1245">
        <f ca="1">IF(M49&gt;10000,M49*0.5%,IF(AND(M49&gt;5000,M49&lt;=10000),M49*1%,IF(AND(M49&gt;1000,M49&lt;=5000),M49*2%,IF(AND(M49&gt;200,M49&lt;=1000),M49*3%,M49*5%))))</f>
        <v>82.320000000000007</v>
      </c>
      <c r="M68" s="294">
        <f ca="1">ROUND(L68,1)</f>
        <v>82.3</v>
      </c>
      <c r="N68" s="2330"/>
      <c r="Z68" s="1623"/>
      <c r="AI68" s="1561"/>
    </row>
    <row r="69" spans="1:35" ht="16.5" customHeight="1">
      <c r="A69" s="1672"/>
      <c r="B69" s="1673"/>
      <c r="C69" s="1674"/>
      <c r="D69" s="1675"/>
      <c r="E69" s="1676"/>
      <c r="F69" s="1466"/>
      <c r="G69" s="1466"/>
      <c r="H69" s="1467"/>
      <c r="I69" s="646"/>
      <c r="J69" s="3257"/>
      <c r="K69" s="1245" t="s">
        <v>1393</v>
      </c>
      <c r="L69" s="1245"/>
      <c r="M69" s="294">
        <f ca="1">ROUND(SUM(M63:M68),0)</f>
        <v>151</v>
      </c>
      <c r="N69" s="2332">
        <f ca="1">M69/M49</f>
        <v>3.6686103012633628E-2</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3920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8" t="s">
        <v>1402</v>
      </c>
      <c r="F76" s="3297"/>
      <c r="G76" s="3297"/>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20</v>
      </c>
      <c r="D78" s="2363">
        <f>'数据-取费表'!B43</f>
        <v>5.000000000000001E-3</v>
      </c>
      <c r="E78" s="3290" t="s">
        <v>1406</v>
      </c>
      <c r="F78" s="3291"/>
      <c r="G78" s="3291"/>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3900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2333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3920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9" t="s">
        <v>2128</v>
      </c>
      <c r="H90" s="3260"/>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0" t="s">
        <v>1419</v>
      </c>
      <c r="F91" s="3291"/>
      <c r="G91" s="329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0" t="s">
        <v>1422</v>
      </c>
      <c r="F92" s="3291"/>
      <c r="G92" s="3291"/>
      <c r="H92" s="3292"/>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20</v>
      </c>
      <c r="D93" s="2363">
        <f>'数据-取费表'!B43</f>
        <v>5.000000000000001E-3</v>
      </c>
      <c r="E93" s="3290" t="s">
        <v>1406</v>
      </c>
      <c r="F93" s="3291"/>
      <c r="G93" s="3291"/>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5" t="s">
        <v>1426</v>
      </c>
      <c r="F94" s="3336"/>
      <c r="G94" s="3336"/>
      <c r="H94" s="333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3900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2333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71" t="str">
        <f>C4</f>
        <v>成本法</v>
      </c>
      <c r="D101" s="2372" t="str">
        <f>D4</f>
        <v>收益法</v>
      </c>
      <c r="E101" s="3253" t="s">
        <v>1431</v>
      </c>
      <c r="F101" s="3254"/>
      <c r="G101" s="1687" t="s">
        <v>1432</v>
      </c>
      <c r="H101" s="2381">
        <f ca="1">H118</f>
        <v>4116</v>
      </c>
      <c r="I101" s="121"/>
    </row>
    <row r="102" spans="1:35" ht="18.75" customHeight="1">
      <c r="A102" s="3285" t="s">
        <v>1433</v>
      </c>
      <c r="B102" s="2370" t="s">
        <v>1432</v>
      </c>
      <c r="C102" s="2371">
        <f ca="1">IF(D32="楼面单价",ROUND(C19,0),C19)</f>
        <v>4622</v>
      </c>
      <c r="D102" s="2372">
        <f ca="1">IF(D32="楼面单价",ROUND(D19,0),D19)</f>
        <v>3356</v>
      </c>
      <c r="E102" s="3253"/>
      <c r="F102" s="3254"/>
      <c r="G102" s="1687" t="s">
        <v>1434</v>
      </c>
      <c r="H102" s="2341">
        <f ca="1">I118</f>
        <v>5881</v>
      </c>
      <c r="I102" s="121"/>
    </row>
    <row r="103" spans="1:35" ht="42.75" customHeight="1">
      <c r="A103" s="3285"/>
      <c r="B103" s="2370" t="s">
        <v>1434</v>
      </c>
      <c r="C103" s="2373">
        <f ca="1">C20</f>
        <v>6604</v>
      </c>
      <c r="D103" s="2374">
        <f ca="1">D20</f>
        <v>4795</v>
      </c>
      <c r="E103" s="3246" t="s">
        <v>1435</v>
      </c>
      <c r="F103" s="3247"/>
      <c r="G103" s="1688" t="s">
        <v>1436</v>
      </c>
      <c r="H103" s="2381">
        <f>IF(D36="正常操作",H104+H105+H106,H105+H106)</f>
        <v>0</v>
      </c>
      <c r="I103" s="121"/>
    </row>
    <row r="104" spans="1:35" ht="18.75" customHeight="1">
      <c r="A104" s="3285" t="s">
        <v>1437</v>
      </c>
      <c r="B104" s="2375" t="s">
        <v>1432</v>
      </c>
      <c r="C104" s="2376">
        <f ca="1">H118</f>
        <v>4116</v>
      </c>
      <c r="D104" s="2377"/>
      <c r="E104" s="1555" t="s">
        <v>1438</v>
      </c>
      <c r="F104" s="1548"/>
      <c r="G104" s="1688" t="s">
        <v>1436</v>
      </c>
      <c r="H104" s="2382">
        <f>IF(D36="同一抵押权人同一抵押物续贷",C36&amp;"（续贷，未扣减，详见特别提示）",C36)</f>
        <v>0</v>
      </c>
      <c r="I104" s="121"/>
    </row>
    <row r="105" spans="1:35" ht="18.75" customHeight="1" thickBot="1">
      <c r="A105" s="3295"/>
      <c r="B105" s="2378" t="s">
        <v>1434</v>
      </c>
      <c r="C105" s="2379">
        <f ca="1">I118</f>
        <v>5881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6" t="str">
        <f>IF(项目基本情况!E8="已注销","——","3.房地产抵押价值")</f>
        <v>3.房地产抵押价值</v>
      </c>
      <c r="F107" s="3254"/>
      <c r="G107" s="1687" t="s">
        <v>1432</v>
      </c>
      <c r="H107" s="2381">
        <f ca="1">IF(E107="——","——",H101-H103)</f>
        <v>4116</v>
      </c>
      <c r="I107" s="121"/>
    </row>
    <row r="108" spans="1:35" ht="18.75" customHeight="1">
      <c r="A108" s="121"/>
      <c r="B108" s="121"/>
      <c r="C108" s="121"/>
      <c r="D108" s="121"/>
      <c r="E108" s="3286"/>
      <c r="F108" s="3254"/>
      <c r="G108" s="1687" t="s">
        <v>1434</v>
      </c>
      <c r="H108" s="2341">
        <f ca="1">IF(H107=H101,H102,ROUND(H107*10000/'数据-汇总表'!E3,0))</f>
        <v>5881</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7" t="s">
        <v>1432</v>
      </c>
      <c r="H109" s="2384" t="str">
        <f>IF(E109="——","——",H101-H105-H106)</f>
        <v>——</v>
      </c>
      <c r="I109" s="121"/>
    </row>
    <row r="110" spans="1:35" ht="18.75" customHeight="1">
      <c r="A110" s="121"/>
      <c r="B110" s="121"/>
      <c r="C110" s="121"/>
      <c r="D110" s="121"/>
      <c r="E110" s="3286"/>
      <c r="F110" s="3254"/>
      <c r="G110" s="1687" t="s">
        <v>1434</v>
      </c>
      <c r="H110" s="2341"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v>
      </c>
      <c r="F111" s="3273"/>
      <c r="G111" s="1687" t="s">
        <v>1432</v>
      </c>
      <c r="H111" s="2381" t="str">
        <f>IF(E111="——","——",N59)</f>
        <v>——</v>
      </c>
      <c r="I111" s="121"/>
    </row>
    <row r="112" spans="1:35" ht="18.75" customHeight="1" thickBot="1">
      <c r="A112" s="121"/>
      <c r="B112" s="121"/>
      <c r="C112" s="121"/>
      <c r="D112" s="121"/>
      <c r="E112" s="3288"/>
      <c r="F112" s="3289"/>
      <c r="G112" s="1690" t="s">
        <v>1434</v>
      </c>
      <c r="H112" s="2385"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6998.6</v>
      </c>
      <c r="C118" s="2150">
        <f>M19</f>
        <v>14034</v>
      </c>
      <c r="D118" s="2150">
        <f ca="1">ROUND(IF(D32="总价",C34,E118*B118/10000),0)</f>
        <v>2144</v>
      </c>
      <c r="E118" s="2150">
        <f ca="1">ROUND(IF(C33="自定义",IF(D32="楼面单价",C34,D118*10000/B118),I118-G118),0)</f>
        <v>3063</v>
      </c>
      <c r="F118" s="2150">
        <f ca="1">ROUND(IF(D32="总价",C35,G118*B118/10000),0)</f>
        <v>1972</v>
      </c>
      <c r="G118" s="2150">
        <f ca="1">ROUND(IF(D32="楼面单价",C35,F118*10000/B118),0)</f>
        <v>2818</v>
      </c>
      <c r="H118" s="2150">
        <f ca="1">ROUND(IF(D32="总价",C32,I118*B118/10000),0)</f>
        <v>4116</v>
      </c>
      <c r="I118" s="2150">
        <f ca="1">ROUND(IF(D32="楼面单价",C32,H118*10000/B118),0)</f>
        <v>5881</v>
      </c>
      <c r="J118" s="684">
        <f ca="1">D118/C118*666.67</f>
        <v>101.84840245118995</v>
      </c>
    </row>
    <row r="119" spans="1:27" ht="18.75" customHeight="1">
      <c r="A119" s="3261" t="s">
        <v>1452</v>
      </c>
      <c r="B119" s="3261"/>
      <c r="C119" s="3261"/>
      <c r="D119" s="3267" t="str">
        <f ca="1">NUMBERSTRING(INT(D118*10000),2)&amp;"元整"</f>
        <v>贰仟壹佰肆拾肆万元整</v>
      </c>
      <c r="E119" s="3268"/>
      <c r="F119" s="3267" t="str">
        <f ca="1">NUMBERSTRING(INT(F118*10000),2)&amp;"元整"</f>
        <v>壹仟玖佰柒拾贰万元整</v>
      </c>
      <c r="G119" s="3268"/>
      <c r="H119" s="3267" t="str">
        <f ca="1">NUMBERSTRING(INT(H118*10000),2)&amp;"元整"</f>
        <v>肆仟壹佰壹拾陆万元整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7" t="s">
        <v>1452</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房地产抵押价值</v>
      </c>
      <c r="B122" s="3273"/>
      <c r="C122" s="3273"/>
      <c r="D122" s="3262">
        <f ca="1">H107</f>
        <v>4116</v>
      </c>
      <c r="E122" s="3263"/>
      <c r="F122" s="3263"/>
      <c r="G122" s="3263"/>
      <c r="H122" s="3263"/>
      <c r="I122" s="3264"/>
      <c r="AA122" s="684"/>
    </row>
    <row r="123" spans="1:27" ht="18.75" customHeight="1">
      <c r="A123" s="3261" t="s">
        <v>1452</v>
      </c>
      <c r="B123" s="3261"/>
      <c r="C123" s="3261"/>
      <c r="D123" s="3267" t="str">
        <f ca="1">NUMBERSTRING(INT(D122*10000),2)&amp;"元整"</f>
        <v>肆仟壹佰壹拾陆万元整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1452</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
      </c>
      <c r="B126" s="3273"/>
      <c r="C126" s="3273"/>
      <c r="D126" s="3262" t="str">
        <f>H111</f>
        <v>——</v>
      </c>
      <c r="E126" s="3263"/>
      <c r="F126" s="3263"/>
      <c r="G126" s="3263"/>
      <c r="H126" s="3263"/>
      <c r="I126" s="3264"/>
      <c r="AA126" s="684"/>
    </row>
    <row r="127" spans="1:27" ht="18.75" customHeight="1">
      <c r="A127" s="3261" t="s">
        <v>1452</v>
      </c>
      <c r="B127" s="3261"/>
      <c r="C127" s="3261"/>
      <c r="D127" s="3267" t="e">
        <f>NUMBERSTRING(INT(D126*10000),2)&amp;"元整"</f>
        <v>#VALUE!</v>
      </c>
      <c r="E127" s="3269"/>
      <c r="F127" s="3269"/>
      <c r="G127" s="3269"/>
      <c r="H127" s="3269"/>
      <c r="I127" s="3268"/>
      <c r="AA127" s="684"/>
    </row>
    <row r="128" spans="1:27" ht="21.75" customHeight="1">
      <c r="A128" s="3270" t="s">
        <v>1453</v>
      </c>
      <c r="B128" s="3270"/>
      <c r="C128" s="3270"/>
      <c r="D128" s="3270"/>
      <c r="E128" s="3270"/>
      <c r="F128" s="3270"/>
      <c r="G128" s="3270"/>
      <c r="H128" s="3270"/>
      <c r="I128" s="327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3384</v>
      </c>
      <c r="C1" s="190"/>
      <c r="D1" s="190"/>
      <c r="E1" s="190"/>
      <c r="F1" s="190"/>
      <c r="G1" s="1062">
        <f>MATCH(B1,'数据-取费表'!A6:A16,0)+5</f>
        <v>6</v>
      </c>
    </row>
    <row r="2" spans="1:9" s="192" customFormat="1" ht="18" customHeight="1">
      <c r="A2" s="193" t="s">
        <v>1462</v>
      </c>
      <c r="B2" s="194">
        <f ca="1">IF(D2="——",C52,C52-E2)</f>
        <v>4622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6604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1915</v>
      </c>
      <c r="D5" s="203" t="s">
        <v>1469</v>
      </c>
      <c r="E5" s="204" t="s">
        <v>1470</v>
      </c>
      <c r="F5" s="204" t="s">
        <v>1471</v>
      </c>
      <c r="G5" s="205"/>
    </row>
    <row r="6" spans="1:9" s="206" customFormat="1" ht="13.5" customHeight="1">
      <c r="A6" s="732" t="s">
        <v>1472</v>
      </c>
      <c r="B6" s="207" t="s">
        <v>1473</v>
      </c>
      <c r="C6" s="208">
        <f>基准地价修正!E33</f>
        <v>1729</v>
      </c>
      <c r="D6" s="209"/>
      <c r="E6" s="210"/>
      <c r="F6" s="210"/>
      <c r="G6" s="211"/>
    </row>
    <row r="7" spans="1:9" s="206" customFormat="1" ht="13.5" customHeight="1">
      <c r="A7" s="732" t="s">
        <v>1474</v>
      </c>
      <c r="B7" s="207" t="s">
        <v>1475</v>
      </c>
      <c r="C7" s="212">
        <f>ROUND(C6*F7,0)</f>
        <v>53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133</v>
      </c>
      <c r="D8" s="214"/>
      <c r="E8" s="212"/>
      <c r="F8" s="213"/>
      <c r="G8" s="1714" t="s">
        <v>3388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3389</v>
      </c>
      <c r="H9" s="1070"/>
      <c r="I9" s="1716" t="s">
        <v>1479</v>
      </c>
    </row>
    <row r="10" spans="1:9" s="206" customFormat="1" ht="13.5" customHeight="1">
      <c r="A10" s="733" t="s">
        <v>356</v>
      </c>
      <c r="B10" s="216" t="s">
        <v>1480</v>
      </c>
      <c r="C10" s="217">
        <f ca="1">ROUND(D10*E10/10000,0)</f>
        <v>133</v>
      </c>
      <c r="D10" s="795">
        <f ca="1">IF(B1="",'数据-汇总表'!E6,IF(INDIRECT("'数据-取费表'!c"&amp;$G$1)="住宅",INDIRECT("'数据-取费表'!s"&amp;$G$1),INDIRECT("'数据-取费表'!k"&amp;$G$1)+INDIRECT("'数据-取费表'!s"&amp;$G$1)))</f>
        <v>6998.6</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6998.6</v>
      </c>
      <c r="E19" s="203">
        <f>'数据-取费表'!B31</f>
        <v>200</v>
      </c>
      <c r="F19" s="223"/>
      <c r="G19" s="1714" t="s">
        <v>3390</v>
      </c>
    </row>
    <row r="20" spans="1:7" s="206" customFormat="1" ht="13.5" customHeight="1">
      <c r="A20" s="247" t="s">
        <v>1493</v>
      </c>
      <c r="B20" s="202" t="s">
        <v>1494</v>
      </c>
      <c r="C20" s="224">
        <f ca="1">ROUND((C5+C19)*F20,0)</f>
        <v>38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80</v>
      </c>
      <c r="D22" s="227">
        <f ca="1">C26</f>
        <v>4.0000000000000002E-4</v>
      </c>
      <c r="E22" s="228" t="s">
        <v>1498</v>
      </c>
      <c r="F22" s="229">
        <f ca="1">'数据-取费表'!B40</f>
        <v>4.1499999999999995E-2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79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195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195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2408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1969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1750</v>
      </c>
      <c r="D34" s="209"/>
      <c r="E34" s="212"/>
      <c r="F34" s="249">
        <f ca="1">IF('数据-取费表'!B24=0,1,IF(B1="",'数据-取费表'!N16,INDIRECT("'数据-取费表'!n"&amp;$G$1)))</f>
        <v>1</v>
      </c>
      <c r="G34" s="211" t="s">
        <v>1526</v>
      </c>
    </row>
    <row r="35" spans="1:7" ht="13.5" customHeight="1">
      <c r="A35" s="734" t="s">
        <v>351</v>
      </c>
      <c r="B35" s="207" t="s">
        <v>1527</v>
      </c>
      <c r="C35" s="212">
        <f ca="1">ROUND(C34*F35,0)</f>
        <v>53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140</v>
      </c>
      <c r="D37" s="209">
        <f ca="1">D19</f>
        <v>6998.6</v>
      </c>
      <c r="E37" s="241">
        <f>'数据-取费表'!B35</f>
        <v>200</v>
      </c>
      <c r="F37" s="251"/>
      <c r="G37" s="253" t="s">
        <v>1532</v>
      </c>
    </row>
    <row r="38" spans="1:7" ht="13.5" customHeight="1">
      <c r="A38" s="734" t="s">
        <v>354</v>
      </c>
      <c r="B38" s="207" t="s">
        <v>1533</v>
      </c>
      <c r="C38" s="212">
        <f ca="1">ROUND(C34*F38,0)</f>
        <v>26</v>
      </c>
      <c r="D38" s="212"/>
      <c r="E38" s="212"/>
      <c r="F38" s="251">
        <f>'数据-取费表'!B36</f>
        <v>1.4999999999999999E-2</v>
      </c>
      <c r="G38" s="211" t="s">
        <v>1528</v>
      </c>
    </row>
    <row r="39" spans="1:7" s="206" customFormat="1" ht="13.5" customHeight="1">
      <c r="A39" s="247" t="s">
        <v>1534</v>
      </c>
      <c r="B39" s="202" t="s">
        <v>1535</v>
      </c>
      <c r="C39" s="224">
        <f ca="1">ROUND(C33*F20,0)</f>
        <v>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v>
      </c>
      <c r="D41" s="227">
        <f ca="1">C44</f>
        <v>4.0000000000000002E-4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41</v>
      </c>
      <c r="D42" s="230"/>
      <c r="E42" s="230"/>
      <c r="F42" s="231"/>
      <c r="G42" s="3340" t="s">
        <v>1544</v>
      </c>
    </row>
    <row r="43" spans="1:7" ht="13.5" customHeight="1">
      <c r="A43" s="734" t="s">
        <v>347</v>
      </c>
      <c r="B43" s="207" t="s">
        <v>1545</v>
      </c>
      <c r="C43" s="230">
        <f ca="1">ROUND(IF('数据-取费表'!B22&lt;=1,C39*F22*'数据-取费表'!B21/2,C39*(POWER((1+F22),'数据-取费表'!B21/2)-1)),0)</f>
        <v>1</v>
      </c>
      <c r="D43" s="230"/>
      <c r="E43" s="230"/>
      <c r="F43" s="231"/>
      <c r="G43" s="3341"/>
    </row>
    <row r="44" spans="1:7" ht="13.5" customHeight="1">
      <c r="A44" s="734" t="s">
        <v>348</v>
      </c>
      <c r="B44" s="207" t="s">
        <v>1546</v>
      </c>
      <c r="C44" s="230">
        <f ca="1">ROUND(IF('数据-取费表'!B22&lt;=1,C40*F22*'数据-取费表'!B21/2,C40*(POWER((1+F22),'数据-取费表'!B21/2)-1)),4)</f>
        <v>4.0000000000000002E-4</v>
      </c>
      <c r="D44" s="230"/>
      <c r="E44" s="230"/>
      <c r="F44" s="231"/>
      <c r="G44" s="3342"/>
    </row>
    <row r="45" spans="1:7" s="206" customFormat="1" ht="13.5" customHeight="1">
      <c r="A45" s="247" t="s">
        <v>1547</v>
      </c>
      <c r="B45" s="236" t="s">
        <v>1513</v>
      </c>
      <c r="C45" s="237">
        <f ca="1">C46</f>
        <v>201</v>
      </c>
      <c r="D45" s="227">
        <f ca="1">C47</f>
        <v>2E-3</v>
      </c>
      <c r="E45" s="228" t="s">
        <v>1539</v>
      </c>
      <c r="F45" s="238">
        <f ca="1">F27</f>
        <v>0.1</v>
      </c>
      <c r="G45" s="239" t="s">
        <v>1548</v>
      </c>
    </row>
    <row r="46" spans="1:7" s="206" customFormat="1" ht="13.5" customHeight="1">
      <c r="A46" s="734" t="s">
        <v>346</v>
      </c>
      <c r="B46" s="240" t="s">
        <v>1549</v>
      </c>
      <c r="C46" s="241">
        <f ca="1">ROUND((C33+C39)*F27,0)</f>
        <v>201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2433</v>
      </c>
      <c r="D49" s="224"/>
      <c r="E49" s="224"/>
      <c r="F49" s="256"/>
      <c r="G49" s="226" t="s">
        <v>1554</v>
      </c>
    </row>
    <row r="50" spans="1:7" s="250" customFormat="1" ht="24">
      <c r="A50" s="247" t="s">
        <v>1555</v>
      </c>
      <c r="B50" s="202" t="s">
        <v>1556</v>
      </c>
      <c r="C50" s="224"/>
      <c r="D50" s="224"/>
      <c r="E50" s="224"/>
      <c r="F50" s="256">
        <f>IF('数据-取费表'!B24=0,'数据-取费表'!N16,1)</f>
        <v>0.91</v>
      </c>
      <c r="G50" s="239" t="s">
        <v>1557</v>
      </c>
    </row>
    <row r="51" spans="1:7" ht="16.5" customHeight="1">
      <c r="A51" s="247" t="s">
        <v>1558</v>
      </c>
      <c r="B51" s="202" t="s">
        <v>1559</v>
      </c>
      <c r="C51" s="224">
        <f ca="1">ROUND(C49*F50,0)</f>
        <v>2214</v>
      </c>
      <c r="D51" s="224"/>
      <c r="E51" s="224"/>
      <c r="F51" s="256"/>
      <c r="G51" s="226" t="s">
        <v>1560</v>
      </c>
    </row>
    <row r="52" spans="1:7" s="200" customFormat="1" ht="16.5" thickBot="1">
      <c r="A52" s="257" t="s">
        <v>1561</v>
      </c>
      <c r="B52" s="258"/>
      <c r="C52" s="259">
        <f ca="1">C31+C51</f>
        <v>4622</v>
      </c>
      <c r="D52" s="258"/>
      <c r="E52" s="258"/>
      <c r="F52" s="258"/>
      <c r="G52" s="260"/>
    </row>
    <row r="55" spans="1:7" ht="15">
      <c r="B55" s="262" t="s">
        <v>1562</v>
      </c>
      <c r="C55" s="263"/>
    </row>
    <row r="56" spans="1:7">
      <c r="B56" s="265" t="s">
        <v>802</v>
      </c>
      <c r="C56" s="267">
        <f ca="1">1-C57</f>
        <v>0.52100000000000002</v>
      </c>
    </row>
    <row r="57" spans="1:7">
      <c r="B57" s="265" t="s">
        <v>803</v>
      </c>
      <c r="C57" s="266">
        <f ca="1">ROUND(C51/C52,3)</f>
        <v>0.47899999999999998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2556.5576000000001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3653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1329734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1329734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1329734</v>
      </c>
      <c r="D10" s="795">
        <f ca="1">IF(B1="",'数据-汇总表'!E6,IF(INDIRECT("'数据-取费表'!c"&amp;$G$1)="住宅",INDIRECT("'数据-取费表'!s"&amp;$G$1),INDIRECT("'数据-取费表'!k"&amp;$G$1)+INDIRECT("'数据-取费表'!s"&amp;$G$1)))</f>
        <v>6998.6</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1399720</v>
      </c>
      <c r="D19" s="204">
        <f ca="1">D9+D10</f>
        <v>6998.6</v>
      </c>
      <c r="E19" s="203">
        <f>'数据-取费表'!B31</f>
        <v>200</v>
      </c>
      <c r="F19" s="223"/>
      <c r="G19" s="1714"/>
    </row>
    <row r="20" spans="1:7" s="206" customFormat="1" ht="13.5" customHeight="1">
      <c r="A20" s="247" t="s">
        <v>1574</v>
      </c>
      <c r="B20" s="202" t="s">
        <v>1575</v>
      </c>
      <c r="C20" s="224">
        <f ca="1">ROUND((C5+C19)*F20,0)</f>
        <v>54589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114405</v>
      </c>
      <c r="D22" s="227">
        <f ca="1">C26</f>
        <v>4.0000000000000002E-4</v>
      </c>
      <c r="E22" s="228" t="s">
        <v>1579</v>
      </c>
      <c r="F22" s="229">
        <f ca="1">'数据-取费表'!B40</f>
        <v>4.1499999999999995E-2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55184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58088</v>
      </c>
      <c r="D24" s="230"/>
      <c r="E24" s="230"/>
      <c r="F24" s="231"/>
      <c r="G24" s="232" t="s">
        <v>1586</v>
      </c>
    </row>
    <row r="25" spans="1:7" s="206" customFormat="1" ht="24">
      <c r="A25" s="734" t="s">
        <v>1476</v>
      </c>
      <c r="B25" s="207" t="s">
        <v>1587</v>
      </c>
      <c r="C25" s="230">
        <f ca="1">ROUND(IF('数据-取费表'!B22&lt;=1,C20*F22*'数据-取费表'!B22/2,C20*(POWER((1+F22),'数据-取费表'!B22/2)-1)),0)</f>
        <v>1133</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278404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278404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3433692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19683563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17496500</v>
      </c>
      <c r="D34" s="209"/>
      <c r="E34" s="212"/>
      <c r="F34" s="249"/>
      <c r="G34" s="211"/>
    </row>
    <row r="35" spans="1:7" ht="13.5" customHeight="1">
      <c r="A35" s="734" t="s">
        <v>351</v>
      </c>
      <c r="B35" s="207" t="s">
        <v>1527</v>
      </c>
      <c r="C35" s="212">
        <f ca="1">ROUND(C34*F35,0)</f>
        <v>524895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1399720</v>
      </c>
      <c r="D37" s="209">
        <f ca="1">D19</f>
        <v>6998.6</v>
      </c>
      <c r="E37" s="241">
        <f>'数据-取费表'!B35</f>
        <v>200</v>
      </c>
      <c r="F37" s="251"/>
      <c r="G37" s="253"/>
    </row>
    <row r="38" spans="1:7" ht="13.5" customHeight="1">
      <c r="A38" s="734" t="s">
        <v>354</v>
      </c>
      <c r="B38" s="207" t="s">
        <v>1533</v>
      </c>
      <c r="C38" s="212">
        <f ca="1">ROUND(C34*F38,0)</f>
        <v>262448</v>
      </c>
      <c r="D38" s="212"/>
      <c r="E38" s="212"/>
      <c r="F38" s="251">
        <f>'数据-取费表'!B36</f>
        <v>1.4999999999999999E-2</v>
      </c>
      <c r="G38" s="211" t="s">
        <v>1528</v>
      </c>
    </row>
    <row r="39" spans="1:7" s="206" customFormat="1" ht="13.5" customHeight="1">
      <c r="A39" s="247" t="s">
        <v>1534</v>
      </c>
      <c r="B39" s="202" t="s">
        <v>1535</v>
      </c>
      <c r="C39" s="224">
        <f ca="1">ROUND(C33*F20,0)</f>
        <v>393671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416603</v>
      </c>
      <c r="D41" s="227">
        <f ca="1">C44</f>
        <v>4.0000000000000002E-4</v>
      </c>
      <c r="E41" s="228" t="s">
        <v>1539</v>
      </c>
      <c r="F41" s="229">
        <f ca="1">F22</f>
        <v>4.1499999999999995E-2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408434</v>
      </c>
      <c r="D42" s="230"/>
      <c r="E42" s="230"/>
      <c r="F42" s="231"/>
      <c r="G42" s="3340" t="s">
        <v>1591</v>
      </c>
    </row>
    <row r="43" spans="1:7" ht="13.5" customHeight="1">
      <c r="A43" s="734" t="s">
        <v>347</v>
      </c>
      <c r="B43" s="207" t="s">
        <v>1545</v>
      </c>
      <c r="C43" s="230">
        <f ca="1">ROUND(IF('数据-取费表'!B22&lt;=1,C39*F22*'数据-取费表'!B20/2,C39*(POWER((1+F22),'数据-取费表'!B20/2)-1)),0)</f>
        <v>8169</v>
      </c>
      <c r="D43" s="230"/>
      <c r="E43" s="230"/>
      <c r="F43" s="231"/>
      <c r="G43" s="3341"/>
    </row>
    <row r="44" spans="1:7" ht="13.5" customHeight="1">
      <c r="A44" s="734" t="s">
        <v>348</v>
      </c>
      <c r="B44" s="207" t="s">
        <v>1546</v>
      </c>
      <c r="C44" s="230">
        <f ca="1">ROUND(IF('数据-取费表'!B22&lt;=1,C40*F22*'数据-取费表'!B20/2,C40*(POWER((1+F22),'数据-取费表'!B20/2)-1)),4)</f>
        <v>4.0000000000000002E-4</v>
      </c>
      <c r="D44" s="230"/>
      <c r="E44" s="230"/>
      <c r="F44" s="231"/>
      <c r="G44" s="3342"/>
    </row>
    <row r="45" spans="1:7" s="206" customFormat="1" ht="13.5" customHeight="1">
      <c r="A45" s="247" t="s">
        <v>1547</v>
      </c>
      <c r="B45" s="236" t="s">
        <v>1513</v>
      </c>
      <c r="C45" s="237">
        <f ca="1">C46</f>
        <v>2007723</v>
      </c>
      <c r="D45" s="227">
        <f ca="1">C47</f>
        <v>2E-3</v>
      </c>
      <c r="E45" s="228" t="s">
        <v>1539</v>
      </c>
      <c r="F45" s="238">
        <f ca="1">F27</f>
        <v>0.1</v>
      </c>
      <c r="G45" s="239" t="s">
        <v>1548</v>
      </c>
    </row>
    <row r="46" spans="1:7" s="206" customFormat="1" ht="13.5" customHeight="1">
      <c r="A46" s="734" t="s">
        <v>346</v>
      </c>
      <c r="B46" s="240" t="s">
        <v>1549</v>
      </c>
      <c r="C46" s="241">
        <f ca="1">ROUND((C33+C39)*F27,0)</f>
        <v>2007723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24320752</v>
      </c>
      <c r="D49" s="224"/>
      <c r="E49" s="224"/>
      <c r="F49" s="256"/>
      <c r="G49" s="226" t="s">
        <v>1554</v>
      </c>
    </row>
    <row r="50" spans="1:7" s="250" customFormat="1">
      <c r="A50" s="247" t="s">
        <v>1555</v>
      </c>
      <c r="B50" s="202" t="s">
        <v>1556</v>
      </c>
      <c r="C50" s="224"/>
      <c r="D50" s="224"/>
      <c r="E50" s="224"/>
      <c r="F50" s="256">
        <f>IF('数据-取费表'!B24=0,'数据-取费表'!N16,1)</f>
        <v>0.91</v>
      </c>
      <c r="G50" s="239"/>
    </row>
    <row r="51" spans="1:7" ht="16.5" customHeight="1">
      <c r="A51" s="247" t="s">
        <v>1558</v>
      </c>
      <c r="B51" s="202" t="s">
        <v>1593</v>
      </c>
      <c r="C51" s="224">
        <f ca="1">ROUND(C49*F50,0)</f>
        <v>22131884</v>
      </c>
      <c r="D51" s="224"/>
      <c r="E51" s="224"/>
      <c r="F51" s="256"/>
      <c r="G51" s="226" t="s">
        <v>1560</v>
      </c>
    </row>
    <row r="52" spans="1:7" s="200" customFormat="1" ht="16.5" thickBot="1">
      <c r="A52" s="257" t="s">
        <v>1561</v>
      </c>
      <c r="B52" s="258"/>
      <c r="C52" s="259">
        <f ca="1">C31+C51</f>
        <v>25565576</v>
      </c>
      <c r="D52" s="258"/>
      <c r="E52" s="258"/>
      <c r="F52" s="258"/>
      <c r="G52" s="260"/>
    </row>
    <row r="55" spans="1:7" ht="15">
      <c r="B55" s="262" t="s">
        <v>1562</v>
      </c>
      <c r="C55" s="263"/>
    </row>
    <row r="56" spans="1:7">
      <c r="B56" s="265" t="s">
        <v>802</v>
      </c>
      <c r="C56" s="267">
        <f ca="1">1-C57</f>
        <v>0.13400000000000001</v>
      </c>
    </row>
    <row r="57" spans="1:7">
      <c r="B57" s="265" t="s">
        <v>803</v>
      </c>
      <c r="C57" s="266">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6998.6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6998.6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133</v>
      </c>
      <c r="D20" s="796">
        <f ca="1">IF(C1="",'数据-汇总表'!E6,IF(INDIRECT("'数据-取费表'!c"&amp;$K$1)="住宅",INDIRECT("'数据-取费表'!s"&amp;$K$1),INDIRECT("'数据-取费表'!k"&amp;$K$1)+INDIRECT("'数据-取费表'!s"&amp;$K$1)))</f>
        <v>6998.6</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3" sqref="D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3384</v>
      </c>
      <c r="D1" s="1271" t="s">
        <v>43</v>
      </c>
      <c r="E1" s="1272" t="s">
        <v>678</v>
      </c>
      <c r="F1" s="999">
        <f ca="1">J53</f>
        <v>37.03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3356</v>
      </c>
      <c r="C2" s="1289" t="s">
        <v>805</v>
      </c>
      <c r="D2" s="1289"/>
      <c r="E2" s="1295"/>
      <c r="F2" s="1296"/>
      <c r="G2" s="2479"/>
      <c r="H2" s="2469"/>
      <c r="I2" s="2469"/>
      <c r="J2" s="2469"/>
      <c r="K2" s="2470"/>
      <c r="L2" s="2469"/>
      <c r="M2" s="2469"/>
    </row>
    <row r="3" spans="1:37" ht="18" customHeight="1" thickBot="1">
      <c r="A3" s="1297" t="s">
        <v>806</v>
      </c>
      <c r="B3" s="1298">
        <f ca="1">IF(ISERROR(B2*10000/F43),0,ROUND(B2*10000/F43,0))</f>
        <v>4795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217</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217</v>
      </c>
      <c r="D6" s="147" t="s">
        <v>2108</v>
      </c>
      <c r="E6" s="294" t="s">
        <v>696</v>
      </c>
      <c r="F6" s="295">
        <f ca="1">INDIRECT("'数据-取费表'!u"&amp;$G$1)</f>
        <v>1</v>
      </c>
      <c r="G6" s="1292"/>
      <c r="H6" s="1006" t="s">
        <v>398</v>
      </c>
      <c r="I6" s="3345" t="s">
        <v>694</v>
      </c>
      <c r="J6" s="293">
        <f ca="1">ROUND(M6*M8*M7*(1-M9)/10000,0)</f>
        <v>0</v>
      </c>
      <c r="K6" s="147"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6998.6</v>
      </c>
      <c r="G7" s="1292"/>
      <c r="H7" s="296"/>
      <c r="I7" s="3346"/>
      <c r="J7" s="298"/>
      <c r="K7" s="299"/>
      <c r="L7" s="294" t="s">
        <v>697</v>
      </c>
      <c r="M7" s="295">
        <f ca="1">F7</f>
        <v>6998.6</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0.15</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3391</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2214</v>
      </c>
      <c r="D13" s="1018" t="s">
        <v>705</v>
      </c>
      <c r="E13" s="1018" t="s">
        <v>706</v>
      </c>
      <c r="F13" s="1019">
        <f ca="1">INDIRECT("'数据-取费表'!y"&amp;$G$1)</f>
        <v>0.91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1750</v>
      </c>
      <c r="D14" s="1257" t="s">
        <v>708</v>
      </c>
      <c r="E14" s="1255"/>
      <c r="F14" s="311"/>
      <c r="G14" s="1292"/>
      <c r="H14" s="928" t="s">
        <v>398</v>
      </c>
      <c r="I14" s="294" t="s">
        <v>709</v>
      </c>
      <c r="J14" s="21">
        <f ca="1">C29</f>
        <v>2433</v>
      </c>
      <c r="K14" s="12"/>
      <c r="L14" s="759"/>
      <c r="M14" s="760"/>
    </row>
    <row r="15" spans="1:37" s="1304" customFormat="1" ht="18" customHeight="1" thickBot="1">
      <c r="A15" s="928" t="s">
        <v>399</v>
      </c>
      <c r="B15" s="294" t="s">
        <v>710</v>
      </c>
      <c r="C15" s="21">
        <f ca="1">ROUND(C14*F15,0)</f>
        <v>53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26</v>
      </c>
      <c r="K16" s="1024" t="s">
        <v>715</v>
      </c>
      <c r="L16" s="1025"/>
      <c r="M16" s="1009"/>
    </row>
    <row r="17" spans="1:37" s="1304" customFormat="1" ht="18" customHeight="1">
      <c r="A17" s="928" t="s">
        <v>681</v>
      </c>
      <c r="B17" s="294" t="s">
        <v>716</v>
      </c>
      <c r="C17" s="21">
        <f ca="1">ROUND(F17*(F43+INDIRECT("'数据-取费表'!S"&amp;$G$1))/10000,0)</f>
        <v>140</v>
      </c>
      <c r="D17" s="294" t="s">
        <v>717</v>
      </c>
      <c r="E17" s="294" t="s">
        <v>718</v>
      </c>
      <c r="F17" s="23">
        <f>'数据-取费表'!B35</f>
        <v>200</v>
      </c>
      <c r="G17" s="1303"/>
      <c r="H17" s="928" t="s">
        <v>398</v>
      </c>
      <c r="I17" s="294" t="s">
        <v>719</v>
      </c>
      <c r="J17" s="2140">
        <f ca="1">ROUND(IF(AND(项目基本情况!B11="自然人",项目基本情况!B10="北京市"),J6*M17/(1+'数据-取费表'!C42),J18+J19+J20),2)</f>
        <v>2.11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1969</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39</v>
      </c>
      <c r="D20" s="315" t="s">
        <v>729</v>
      </c>
      <c r="E20" s="294" t="s">
        <v>712</v>
      </c>
      <c r="F20" s="314">
        <f>'数据-取费表'!B37</f>
        <v>0.02</v>
      </c>
      <c r="G20" s="1303"/>
      <c r="H20" s="928" t="s">
        <v>680</v>
      </c>
      <c r="I20" s="147" t="s">
        <v>730</v>
      </c>
      <c r="J20" s="22">
        <f ca="1">ROUND(M20*M21/10000,2)</f>
        <v>2.11</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14034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24.33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-26</v>
      </c>
      <c r="K25" s="1032" t="s">
        <v>753</v>
      </c>
      <c r="L25" s="1033"/>
      <c r="M25" s="1034"/>
    </row>
    <row r="26" spans="1:37">
      <c r="A26" s="928" t="s">
        <v>397</v>
      </c>
      <c r="B26" s="294" t="s">
        <v>754</v>
      </c>
      <c r="C26" s="21">
        <f ca="1">ROUND((C19+C20)*F26,0)</f>
        <v>201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2433</v>
      </c>
      <c r="D29" s="1029"/>
      <c r="E29" s="1027"/>
      <c r="F29" s="1030"/>
      <c r="G29" s="1303"/>
      <c r="H29" s="325" t="s">
        <v>396</v>
      </c>
      <c r="I29" s="326" t="s">
        <v>768</v>
      </c>
      <c r="J29" s="327">
        <f ca="1">ROUND(J26/(1+F40)^F41,0)</f>
        <v>0</v>
      </c>
      <c r="K29" s="328" t="s">
        <v>769</v>
      </c>
      <c r="L29" s="329"/>
      <c r="M29" s="330">
        <f ca="1">INDIRECT("'数据-取费表'!k"&amp;$G$1)</f>
        <v>6998.6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38.28</v>
      </c>
      <c r="D31" s="1257" t="s">
        <v>720</v>
      </c>
      <c r="E31" s="1256" t="s">
        <v>770</v>
      </c>
      <c r="F31" s="2139" t="str">
        <f>IF(项目基本情况!B11="企业","——",IF(M47="住宅",IF(F6*F7*F8/12/(1+'数据-取费表'!F30)&gt;100000,4%,2.5%),IF(F6*F7*F8/12/(1+'数据-取费表'!F30)&gt;100000,12%,7%)))</f>
        <v>——</v>
      </c>
      <c r="G31" s="1292"/>
      <c r="H31" s="2570" t="s">
        <v>2309</v>
      </c>
      <c r="I31" s="1305"/>
      <c r="J31" s="1306"/>
      <c r="K31" s="121"/>
      <c r="L31" s="2472"/>
      <c r="M31" s="2473"/>
    </row>
    <row r="32" spans="1:37" ht="18" customHeight="1">
      <c r="A32" s="928" t="s">
        <v>397</v>
      </c>
      <c r="B32" s="294" t="s">
        <v>723</v>
      </c>
      <c r="C32" s="21">
        <f ca="1">IF(项目基本情况!B11="自然人","——",ROUND(C6*F32/(1+'数据-取费表'!C42),2))</f>
        <v>11.37</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24.8</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2.11</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14034</v>
      </c>
      <c r="G35" s="1292"/>
      <c r="H35" s="2471"/>
      <c r="I35" s="1305"/>
      <c r="J35" s="1306"/>
      <c r="K35" s="2475"/>
      <c r="L35" s="2474"/>
      <c r="M35" s="2474"/>
    </row>
    <row r="36" spans="1:18" ht="18" customHeight="1">
      <c r="A36" s="1039" t="s">
        <v>402</v>
      </c>
      <c r="B36" s="294" t="s">
        <v>738</v>
      </c>
      <c r="C36" s="21">
        <f ca="1">ROUND(C29*F36,2)</f>
        <v>24.33</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2.21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2.17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150</v>
      </c>
      <c r="D39" s="1032" t="s">
        <v>773</v>
      </c>
      <c r="E39" s="1033"/>
      <c r="F39" s="1034"/>
      <c r="G39" s="1292"/>
      <c r="H39" s="2474"/>
      <c r="I39" s="1305"/>
      <c r="J39" s="1306"/>
      <c r="K39" s="2472"/>
      <c r="L39" s="2474"/>
      <c r="M39" s="2474"/>
    </row>
    <row r="40" spans="1:18" ht="18" customHeight="1">
      <c r="A40" s="291" t="s">
        <v>395</v>
      </c>
      <c r="B40" s="292" t="s">
        <v>774</v>
      </c>
      <c r="C40" s="293">
        <f ca="1">ROUND(C39*(1-((1+F42)/(1+F40))^F41)/(F40-F42),0)</f>
        <v>3291</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37.03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4702</v>
      </c>
      <c r="D43" s="328" t="s">
        <v>777</v>
      </c>
      <c r="E43" s="329" t="s">
        <v>778</v>
      </c>
      <c r="F43" s="330">
        <f ca="1">INDIRECT("'数据-取费表'!k"&amp;$G$1)</f>
        <v>6998.6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-3776</v>
      </c>
      <c r="D46" s="1313" t="str">
        <f>C2</f>
        <v>万元</v>
      </c>
      <c r="E46" s="1307"/>
      <c r="F46" s="1307"/>
      <c r="I46" s="1314" t="s">
        <v>810</v>
      </c>
      <c r="J46" s="1315"/>
      <c r="K46" s="1316"/>
      <c r="L46" s="1317">
        <f ca="1">IF(M47="住宅",0,IF(L48&gt;J51,L60,J60))</f>
        <v>65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3392</v>
      </c>
      <c r="K47" s="1323" t="s">
        <v>816</v>
      </c>
      <c r="L47" s="1324">
        <f ca="1">INDIRECT("'数据-取费表'!d"&amp;$G$1)</f>
        <v>50</v>
      </c>
      <c r="M47" s="1288" t="str">
        <f>IF(ISNUMBER(FIND("住宅",C1)),"住宅","非住宅")</f>
        <v>非住宅</v>
      </c>
      <c r="O47" s="1325" t="s">
        <v>403</v>
      </c>
      <c r="P47" s="1326" t="s">
        <v>817</v>
      </c>
      <c r="Q47" s="1327">
        <f ca="1">C40+J29</f>
        <v>3291</v>
      </c>
      <c r="R47" s="1327" t="s">
        <v>818</v>
      </c>
    </row>
    <row r="48" spans="1:18" s="1292" customFormat="1" ht="28.5" thickBot="1">
      <c r="A48" s="1047" t="s">
        <v>438</v>
      </c>
      <c r="B48" s="292" t="s">
        <v>692</v>
      </c>
      <c r="C48" s="1268">
        <f ca="1">C49+C53+C55</f>
        <v>0</v>
      </c>
      <c r="D48" s="1049"/>
      <c r="E48" s="1050"/>
      <c r="F48" s="908"/>
      <c r="G48" s="681"/>
      <c r="H48" s="682"/>
      <c r="I48" s="1328" t="s">
        <v>819</v>
      </c>
      <c r="J48" s="1329" t="s">
        <v>3393</v>
      </c>
      <c r="K48" s="1330" t="s">
        <v>820</v>
      </c>
      <c r="L48" s="1331">
        <f ca="1">INDIRECT("'数据-取费表'!f"&amp;$G$1)</f>
        <v>37.03</v>
      </c>
      <c r="O48" s="1325" t="s">
        <v>404</v>
      </c>
      <c r="P48" s="1326" t="s">
        <v>821</v>
      </c>
      <c r="Q48" s="1327">
        <f ca="1">J60</f>
        <v>65</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3157">
        <f>'数据-取费表'!N18</f>
        <v>2016</v>
      </c>
      <c r="K49" s="1330" t="s">
        <v>824</v>
      </c>
      <c r="L49" s="1333"/>
      <c r="O49" s="1334" t="s">
        <v>405</v>
      </c>
      <c r="P49" s="1326" t="s">
        <v>825</v>
      </c>
      <c r="Q49" s="1327">
        <f ca="1">C29</f>
        <v>2433</v>
      </c>
      <c r="R49" s="1327" t="s">
        <v>818</v>
      </c>
    </row>
    <row r="50" spans="1:18" s="1292" customFormat="1" ht="13.5" thickBot="1">
      <c r="A50" s="922"/>
      <c r="B50" s="925"/>
      <c r="C50" s="1055"/>
      <c r="D50" s="899"/>
      <c r="E50" s="993" t="s">
        <v>697</v>
      </c>
      <c r="F50" s="994">
        <f ca="1">F7</f>
        <v>6998.6</v>
      </c>
      <c r="H50" s="682"/>
      <c r="I50" s="1328" t="s">
        <v>826</v>
      </c>
      <c r="J50" s="1335">
        <f>SUMPRODUCT((I63:I65=J47)*(J62:L62=J48)*(J63:L65))</f>
        <v>80</v>
      </c>
      <c r="K50" s="1330" t="s">
        <v>827</v>
      </c>
      <c r="L50" s="1333"/>
      <c r="M50" s="1336"/>
      <c r="O50" s="1334" t="s">
        <v>406</v>
      </c>
      <c r="P50" s="1326" t="s">
        <v>828</v>
      </c>
      <c r="Q50" s="1337">
        <f ca="1">J58</f>
        <v>0.46100000000000002</v>
      </c>
      <c r="R50" s="1327"/>
    </row>
    <row r="51" spans="1:18" s="1292" customFormat="1" ht="13.5" thickBot="1">
      <c r="A51" s="923"/>
      <c r="B51" s="925"/>
      <c r="C51" s="926"/>
      <c r="D51" s="899"/>
      <c r="E51" s="927" t="s">
        <v>698</v>
      </c>
      <c r="F51" s="295">
        <f ca="1">F8</f>
        <v>365</v>
      </c>
      <c r="I51" s="1338" t="s">
        <v>829</v>
      </c>
      <c r="J51" s="1331">
        <f>IF(J49="",J50,J49+J50-YEAR('数据-取费表'!B2))</f>
        <v>73</v>
      </c>
      <c r="K51" s="1339" t="s">
        <v>830</v>
      </c>
      <c r="L51" s="1340">
        <f ca="1">ROUND(-PV(INDIRECT("'数据-取费表'!h"&amp;$G$1),J51,(C39-C13*C76),0),0)</f>
        <v>-342</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37.03</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37.03</v>
      </c>
      <c r="K53" s="3343" t="s">
        <v>837</v>
      </c>
      <c r="L53" s="3344"/>
      <c r="O53" s="1325" t="s">
        <v>409</v>
      </c>
      <c r="P53" s="1326" t="s">
        <v>838</v>
      </c>
      <c r="Q53" s="1327">
        <f ca="1">Q47+Q48</f>
        <v>3356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0.46100000000000002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2214</v>
      </c>
      <c r="D56" s="1352"/>
      <c r="E56" s="1353"/>
      <c r="F56" s="1345"/>
      <c r="I56" s="1354" t="s">
        <v>842</v>
      </c>
      <c r="J56" s="1355" t="s">
        <v>3394</v>
      </c>
      <c r="K56" s="1328" t="s">
        <v>843</v>
      </c>
      <c r="L56" s="1331" t="str">
        <f ca="1">IF(L48&lt;J51,"——",L48-J53)</f>
        <v>——</v>
      </c>
      <c r="O56" s="1325" t="s">
        <v>403</v>
      </c>
      <c r="P56" s="1326" t="s">
        <v>817</v>
      </c>
      <c r="Q56" s="1327">
        <f ca="1">C40+J29</f>
        <v>3291</v>
      </c>
      <c r="R56" s="1327" t="s">
        <v>818</v>
      </c>
    </row>
    <row r="57" spans="1:18" s="1292" customFormat="1" ht="24.75" thickBot="1">
      <c r="A57" s="1356"/>
      <c r="B57" s="896" t="s">
        <v>767</v>
      </c>
      <c r="C57" s="230">
        <f ca="1">C29</f>
        <v>2433</v>
      </c>
      <c r="D57" s="1357"/>
      <c r="E57" s="1358"/>
      <c r="F57" s="1359"/>
      <c r="I57" s="1360" t="s">
        <v>844</v>
      </c>
      <c r="J57" s="1361">
        <f ca="1">IF(OR(M47="住宅",J51&lt;L48,J56="是"),"——",J51-L48)</f>
        <v>35.97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29</v>
      </c>
      <c r="D58" s="906" t="s">
        <v>715</v>
      </c>
      <c r="E58" s="907"/>
      <c r="F58" s="908"/>
      <c r="I58" s="1360" t="s">
        <v>848</v>
      </c>
      <c r="J58" s="1362">
        <f ca="1">IF(J55&lt;0.4,0.4,J55)</f>
        <v>0.46100000000000002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65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2.11</v>
      </c>
      <c r="D62" s="911" t="s">
        <v>786</v>
      </c>
      <c r="E62" s="896" t="s">
        <v>787</v>
      </c>
      <c r="F62" s="317">
        <f t="shared" si="0"/>
        <v>1.5</v>
      </c>
      <c r="I62" s="1367" t="s">
        <v>858</v>
      </c>
      <c r="J62" s="610" t="s">
        <v>859</v>
      </c>
      <c r="K62" s="610" t="s">
        <v>860</v>
      </c>
      <c r="L62" s="610" t="s">
        <v>861</v>
      </c>
      <c r="M62" s="1368" t="s">
        <v>862</v>
      </c>
      <c r="O62" s="1325" t="s">
        <v>409</v>
      </c>
      <c r="P62" s="1326" t="s">
        <v>863</v>
      </c>
      <c r="Q62" s="1327">
        <f ca="1">Q56+Q57</f>
        <v>3291</v>
      </c>
      <c r="R62" s="1327" t="s">
        <v>410</v>
      </c>
    </row>
    <row r="63" spans="1:18" s="1292" customFormat="1" ht="13.5" thickBot="1">
      <c r="A63" s="318"/>
      <c r="B63" s="902"/>
      <c r="C63" s="26"/>
      <c r="D63" s="912"/>
      <c r="E63" s="896" t="s">
        <v>788</v>
      </c>
      <c r="F63" s="295">
        <f t="shared" ca="1" si="0"/>
        <v>14034</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24.33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2.21</v>
      </c>
      <c r="D65" s="910" t="s">
        <v>743</v>
      </c>
      <c r="E65" s="896" t="s">
        <v>744</v>
      </c>
      <c r="F65" s="321">
        <f t="shared" ca="1" si="0"/>
        <v>1E-3</v>
      </c>
      <c r="I65" s="1367" t="s">
        <v>867</v>
      </c>
      <c r="J65" s="610">
        <v>40</v>
      </c>
      <c r="K65" s="610">
        <v>30</v>
      </c>
      <c r="L65" s="610">
        <v>50</v>
      </c>
      <c r="M65" s="1369">
        <v>0.02</v>
      </c>
      <c r="O65" s="1325" t="s">
        <v>403</v>
      </c>
      <c r="P65" s="1326" t="s">
        <v>868</v>
      </c>
      <c r="Q65" s="1327">
        <f ca="1">C40+J29</f>
        <v>3291</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-29</v>
      </c>
      <c r="D67" s="909" t="s">
        <v>753</v>
      </c>
      <c r="E67" s="914"/>
      <c r="F67" s="915"/>
      <c r="O67" s="1334" t="s">
        <v>405</v>
      </c>
      <c r="P67" s="1326" t="s">
        <v>850</v>
      </c>
      <c r="Q67" s="1370">
        <f ca="1">L51</f>
        <v>-342</v>
      </c>
      <c r="R67" s="1327" t="s">
        <v>870</v>
      </c>
    </row>
    <row r="68" spans="1:18" s="1292" customFormat="1" ht="16.5" thickBot="1">
      <c r="A68" s="893" t="s">
        <v>395</v>
      </c>
      <c r="B68" s="894" t="s">
        <v>774</v>
      </c>
      <c r="C68" s="293">
        <f ca="1">ROUND(C67*(1-((1+F70)/(1+F68))^F69)/(F68-F70),0)</f>
        <v>-485</v>
      </c>
      <c r="D68" s="911" t="s">
        <v>758</v>
      </c>
      <c r="E68" s="896" t="s">
        <v>759</v>
      </c>
      <c r="F68" s="304">
        <f ca="1">F40</f>
        <v>0.05</v>
      </c>
      <c r="O68" s="1334" t="s">
        <v>406</v>
      </c>
      <c r="P68" s="1371" t="s">
        <v>871</v>
      </c>
      <c r="Q68" s="1327">
        <f ca="1">ROUND(Q69-Q70*Q71,0)</f>
        <v>-16</v>
      </c>
      <c r="R68" s="1327" t="s">
        <v>414</v>
      </c>
    </row>
    <row r="69" spans="1:18" s="1292" customFormat="1" ht="13.5" thickBot="1">
      <c r="A69" s="897"/>
      <c r="B69" s="898"/>
      <c r="C69" s="298"/>
      <c r="D69" s="916" t="s">
        <v>762</v>
      </c>
      <c r="E69" s="896" t="s">
        <v>763</v>
      </c>
      <c r="F69" s="324">
        <f ca="1">F41</f>
        <v>37.03</v>
      </c>
      <c r="O69" s="1334" t="s">
        <v>411</v>
      </c>
      <c r="P69" s="1371" t="s">
        <v>872</v>
      </c>
      <c r="Q69" s="1327">
        <f ca="1">C39</f>
        <v>150</v>
      </c>
      <c r="R69" s="1327" t="s">
        <v>818</v>
      </c>
    </row>
    <row r="70" spans="1:18" s="1292" customFormat="1" ht="13.5" thickBot="1">
      <c r="A70" s="900"/>
      <c r="B70" s="901"/>
      <c r="C70" s="302"/>
      <c r="D70" s="912"/>
      <c r="E70" s="896" t="s">
        <v>766</v>
      </c>
      <c r="F70" s="991"/>
      <c r="O70" s="1334" t="s">
        <v>412</v>
      </c>
      <c r="P70" s="1371" t="s">
        <v>873</v>
      </c>
      <c r="Q70" s="1327">
        <f ca="1">C13</f>
        <v>2214</v>
      </c>
      <c r="R70" s="1327" t="s">
        <v>818</v>
      </c>
    </row>
    <row r="71" spans="1:18" s="1292" customFormat="1" ht="13.5" thickBot="1">
      <c r="A71" s="917" t="s">
        <v>396</v>
      </c>
      <c r="B71" s="918" t="s">
        <v>776</v>
      </c>
      <c r="C71" s="327">
        <f ca="1">ROUND(C68*10000/F71,0)</f>
        <v>-693</v>
      </c>
      <c r="D71" s="919" t="s">
        <v>777</v>
      </c>
      <c r="E71" s="920" t="s">
        <v>778</v>
      </c>
      <c r="F71" s="330">
        <f ca="1">F43</f>
        <v>6998.6</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166</v>
      </c>
      <c r="D75" s="1292"/>
      <c r="E75" s="1292"/>
      <c r="F75" s="1292"/>
      <c r="K75" s="1309"/>
      <c r="L75" s="1292"/>
      <c r="O75" s="1325" t="s">
        <v>409</v>
      </c>
      <c r="P75" s="1326" t="s">
        <v>838</v>
      </c>
      <c r="Q75" s="1327">
        <f ca="1">Q65+Q66</f>
        <v>3291</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-0.10699999999999998</v>
      </c>
    </row>
    <row r="80" spans="1:18">
      <c r="B80" s="331" t="s">
        <v>800</v>
      </c>
      <c r="C80" s="266">
        <f ca="1">ROUND(C75/C39,3)</f>
        <v>1.107</v>
      </c>
    </row>
    <row r="81" spans="2:3">
      <c r="B81" s="262" t="s">
        <v>801</v>
      </c>
      <c r="C81" s="230"/>
    </row>
    <row r="82" spans="2:3">
      <c r="B82" s="265" t="s">
        <v>802</v>
      </c>
      <c r="C82" s="267">
        <f ca="1">1-C83</f>
        <v>0.32699999999999996</v>
      </c>
    </row>
    <row r="83" spans="2:3">
      <c r="B83" s="265" t="s">
        <v>803</v>
      </c>
      <c r="C83" s="266">
        <f ca="1">ROUND(C13/C40,3)</f>
        <v>0.67300000000000004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0</v>
      </c>
      <c r="D6" s="147" t="s">
        <v>2105</v>
      </c>
      <c r="E6" s="294" t="s">
        <v>696</v>
      </c>
      <c r="F6" s="295">
        <f ca="1">INDIRECT("'数据-取费表'!u"&amp;$G$1)</f>
        <v>0</v>
      </c>
      <c r="G6" s="1292"/>
      <c r="H6" s="1006" t="s">
        <v>398</v>
      </c>
      <c r="I6" s="3345" t="s">
        <v>694</v>
      </c>
      <c r="J6" s="293">
        <f ca="1">ROUND(M6*M8*M7*(1-M9),0)</f>
        <v>0</v>
      </c>
      <c r="K6" s="1284" t="s">
        <v>2106</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2309</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3358</v>
      </c>
      <c r="B45" s="1307"/>
      <c r="C45" s="1376" t="e">
        <f ca="1">ROUND((C68-C40)/10000,4)</f>
        <v>#DIV/0!</v>
      </c>
      <c r="D45" s="3131" t="s">
        <v>3359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3365</v>
      </c>
      <c r="E2" s="3140"/>
      <c r="F2" s="2598"/>
      <c r="G2" s="2599"/>
      <c r="H2" s="2600"/>
      <c r="I2" s="2601"/>
      <c r="J2" s="3348" t="s">
        <v>2319</v>
      </c>
      <c r="K2" s="3349"/>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50" t="s">
        <v>2329</v>
      </c>
      <c r="K3" s="3351"/>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50" t="s">
        <v>2331</v>
      </c>
      <c r="K4" s="3351"/>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52" t="s">
        <v>2335</v>
      </c>
      <c r="B6" s="3353"/>
      <c r="C6" s="3354"/>
      <c r="D6" s="2622"/>
      <c r="E6" s="2623"/>
      <c r="F6" s="2624"/>
      <c r="G6" s="2625"/>
      <c r="H6" s="2600"/>
      <c r="I6" s="2601"/>
      <c r="J6" s="3355">
        <v>1</v>
      </c>
      <c r="K6" s="3356"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55"/>
      <c r="K7" s="3357"/>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59" t="s">
        <v>2349</v>
      </c>
      <c r="C8" s="3360"/>
      <c r="D8" s="2641" t="s">
        <v>2350</v>
      </c>
      <c r="E8" s="2642" t="s">
        <v>2351</v>
      </c>
      <c r="F8" s="2643" t="s">
        <v>2352</v>
      </c>
      <c r="G8" s="2644"/>
      <c r="H8" s="2600"/>
      <c r="I8" s="2601"/>
      <c r="J8" s="3355"/>
      <c r="K8" s="3357"/>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59" t="s">
        <v>2355</v>
      </c>
      <c r="C9" s="3360"/>
      <c r="D9" s="2641">
        <f>ROUND(D6*E9,0)</f>
        <v>0</v>
      </c>
      <c r="E9" s="2645"/>
      <c r="F9" s="2646" t="s">
        <v>2356</v>
      </c>
      <c r="G9" s="2625"/>
      <c r="H9" s="2600"/>
      <c r="I9" s="2601"/>
      <c r="J9" s="3355"/>
      <c r="K9" s="3357"/>
      <c r="L9" s="2635" t="s">
        <v>2357</v>
      </c>
      <c r="M9" s="2636"/>
      <c r="N9" s="2612"/>
      <c r="O9" s="2637"/>
      <c r="P9" s="2637"/>
      <c r="Q9" s="2638">
        <v>365</v>
      </c>
      <c r="R9" s="2639">
        <f t="shared" si="0"/>
        <v>0</v>
      </c>
      <c r="S9" s="2593"/>
      <c r="T9" s="2593"/>
      <c r="U9" s="2593"/>
      <c r="V9" s="2601"/>
    </row>
    <row r="10" spans="1:22" s="2605" customFormat="1" ht="13.15" customHeight="1">
      <c r="A10" s="2640">
        <v>2</v>
      </c>
      <c r="B10" s="3359" t="s">
        <v>2358</v>
      </c>
      <c r="C10" s="3360"/>
      <c r="D10" s="2641">
        <f>ROUND(D6*E10,0)</f>
        <v>0</v>
      </c>
      <c r="E10" s="2645"/>
      <c r="F10" s="2646" t="s">
        <v>2359</v>
      </c>
      <c r="G10" s="2625"/>
      <c r="H10" s="2600"/>
      <c r="I10" s="2601"/>
      <c r="J10" s="3355"/>
      <c r="K10" s="3357"/>
      <c r="L10" s="2635" t="s">
        <v>2360</v>
      </c>
      <c r="M10" s="2636"/>
      <c r="N10" s="2612"/>
      <c r="O10" s="2637"/>
      <c r="P10" s="2637"/>
      <c r="Q10" s="2638">
        <v>365</v>
      </c>
      <c r="R10" s="2639">
        <f t="shared" si="0"/>
        <v>0</v>
      </c>
      <c r="S10" s="2593"/>
      <c r="T10" s="2593"/>
      <c r="U10" s="2593"/>
      <c r="V10" s="2601"/>
    </row>
    <row r="11" spans="1:22" s="2605" customFormat="1" ht="13.15" customHeight="1">
      <c r="A11" s="2640">
        <v>3</v>
      </c>
      <c r="B11" s="3359" t="s">
        <v>2361</v>
      </c>
      <c r="C11" s="3360"/>
      <c r="D11" s="2641">
        <f>D12+D14+D15+D16</f>
        <v>0</v>
      </c>
      <c r="E11" s="2647" t="e">
        <f>D11/D6</f>
        <v>#DIV/0!</v>
      </c>
      <c r="F11" s="2643"/>
      <c r="G11" s="2644"/>
      <c r="H11" s="2600"/>
      <c r="I11" s="2601"/>
      <c r="J11" s="3355"/>
      <c r="K11" s="3357"/>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61" t="s">
        <v>2364</v>
      </c>
      <c r="C12" s="3362"/>
      <c r="D12" s="2649">
        <f>ROUND(D13*1.2%*(1-30%),0)</f>
        <v>0</v>
      </c>
      <c r="E12" s="2650">
        <v>1.2E-2</v>
      </c>
      <c r="F12" s="2643" t="s">
        <v>2365</v>
      </c>
      <c r="G12" s="2644"/>
      <c r="H12" s="2600"/>
      <c r="I12" s="2601"/>
      <c r="J12" s="3355"/>
      <c r="K12" s="3357"/>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55"/>
      <c r="K13" s="3357"/>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61" t="s">
        <v>2370</v>
      </c>
      <c r="C14" s="3362"/>
      <c r="D14" s="2649">
        <f>ROUND(E14*B5/10000,0)</f>
        <v>0</v>
      </c>
      <c r="E14" s="2638"/>
      <c r="F14" s="2643" t="s">
        <v>2371</v>
      </c>
      <c r="G14" s="2644"/>
      <c r="H14" s="2600"/>
      <c r="I14" s="2601"/>
      <c r="J14" s="3355"/>
      <c r="K14" s="3358"/>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61" t="s">
        <v>2374</v>
      </c>
      <c r="C15" s="3362"/>
      <c r="D15" s="2649">
        <f>ROUND(D6*E15,0)</f>
        <v>0</v>
      </c>
      <c r="E15" s="2650">
        <v>5.5E-2</v>
      </c>
      <c r="F15" s="2643" t="s">
        <v>2375</v>
      </c>
      <c r="G15" s="2625"/>
      <c r="H15" s="2600"/>
      <c r="I15" s="2601"/>
      <c r="J15" s="3355">
        <v>2</v>
      </c>
      <c r="K15" s="3356"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61" t="s">
        <v>2383</v>
      </c>
      <c r="C16" s="3362"/>
      <c r="D16" s="2660">
        <f>D6*E16</f>
        <v>0</v>
      </c>
      <c r="E16" s="2661"/>
      <c r="F16" s="2646" t="s">
        <v>2384</v>
      </c>
      <c r="G16" s="2625"/>
      <c r="H16" s="2600"/>
      <c r="I16" s="2601"/>
      <c r="J16" s="3355"/>
      <c r="K16" s="3357"/>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3" t="s">
        <v>2386</v>
      </c>
      <c r="C17" s="3364"/>
      <c r="D17" s="2663">
        <f>ROUND(D6*E17,0)</f>
        <v>0</v>
      </c>
      <c r="E17" s="2664"/>
      <c r="F17" s="2665" t="s">
        <v>2387</v>
      </c>
      <c r="G17" s="2625"/>
      <c r="H17" s="2600"/>
      <c r="I17" s="2601"/>
      <c r="J17" s="3355"/>
      <c r="K17" s="3357"/>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55"/>
      <c r="K18" s="3357"/>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55"/>
      <c r="K19" s="3358"/>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5">
        <v>3</v>
      </c>
      <c r="K20" s="3356"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55"/>
      <c r="K21" s="3357"/>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55"/>
      <c r="K22" s="3357"/>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55"/>
      <c r="K23" s="3357"/>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55"/>
      <c r="K24" s="3358"/>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65">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6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48" t="s">
        <v>2319</v>
      </c>
      <c r="K32" s="3349"/>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50" t="s">
        <v>2329</v>
      </c>
      <c r="K33" s="3351"/>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50" t="s">
        <v>2331</v>
      </c>
      <c r="K34" s="335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55">
        <v>1</v>
      </c>
      <c r="K36" s="3356"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55"/>
      <c r="K37" s="3357"/>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5"/>
      <c r="K38" s="3357"/>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55"/>
      <c r="K39" s="3357"/>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55"/>
      <c r="K40" s="3358"/>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5">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6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3356</v>
      </c>
      <c r="C2" s="1729" t="s">
        <v>1651</v>
      </c>
      <c r="D2" s="1730" t="s">
        <v>1652</v>
      </c>
      <c r="E2" s="2393">
        <f>SUM(E6:E13)</f>
        <v>6998.6</v>
      </c>
      <c r="F2" s="2480"/>
      <c r="G2" s="459"/>
      <c r="H2" s="459"/>
      <c r="I2" s="459"/>
      <c r="J2" s="459"/>
      <c r="K2" s="459"/>
      <c r="L2" s="459"/>
      <c r="M2" s="459"/>
      <c r="N2" s="459"/>
      <c r="O2" s="459"/>
      <c r="P2" s="459"/>
      <c r="Q2" s="459"/>
      <c r="R2" s="459"/>
      <c r="S2" s="459"/>
    </row>
    <row r="3" spans="1:22" ht="15.75">
      <c r="A3" s="1728" t="s">
        <v>686</v>
      </c>
      <c r="B3" s="2387">
        <f ca="1">ROUND(B2*10000/E2,0)</f>
        <v>4795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7" t="s">
        <v>1654</v>
      </c>
      <c r="C5" s="3368"/>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3356</v>
      </c>
      <c r="C6" s="1729" t="s">
        <v>1651</v>
      </c>
      <c r="D6" s="2480"/>
      <c r="E6" s="2392">
        <f>IF(OR(A6=0,F6="否"),0,'数据-取费表'!K6+'数据-取费表'!S6)</f>
        <v>6998.6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6998.6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7"/>
      <c r="M4" s="2488"/>
      <c r="N4" s="2488"/>
      <c r="O4" s="2488"/>
      <c r="P4" s="3391" t="s">
        <v>1672</v>
      </c>
      <c r="Q4" s="3392"/>
      <c r="R4" s="3374" t="s">
        <v>1668</v>
      </c>
      <c r="S4" s="3375"/>
      <c r="T4" s="3374" t="s">
        <v>1669</v>
      </c>
      <c r="U4" s="3375"/>
      <c r="V4" s="3399" t="s">
        <v>1670</v>
      </c>
      <c r="W4" s="3399"/>
      <c r="X4" s="1265"/>
      <c r="Y4" s="3374" t="s">
        <v>1672</v>
      </c>
      <c r="Z4" s="3375"/>
      <c r="AA4" s="3369" t="s">
        <v>1668</v>
      </c>
      <c r="AB4" s="3369" t="s">
        <v>1669</v>
      </c>
      <c r="AC4" s="3369" t="s">
        <v>1670</v>
      </c>
    </row>
    <row r="5" spans="1:29" ht="15">
      <c r="A5" s="348"/>
      <c r="B5" s="349"/>
      <c r="C5" s="3380" t="s">
        <v>1673</v>
      </c>
      <c r="D5" s="3381"/>
      <c r="E5" s="3378" t="s">
        <v>1674</v>
      </c>
      <c r="F5" s="3379"/>
      <c r="G5" s="3380" t="s">
        <v>1675</v>
      </c>
      <c r="H5" s="3381"/>
      <c r="I5" s="3380" t="s">
        <v>1676</v>
      </c>
      <c r="J5" s="3381"/>
      <c r="K5" s="1745"/>
      <c r="L5" s="2487"/>
      <c r="M5" s="2488"/>
      <c r="N5" s="2488"/>
      <c r="O5" s="2488"/>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1745" t="s">
        <v>1678</v>
      </c>
      <c r="L6" s="2487"/>
      <c r="M6" s="2488"/>
      <c r="N6" s="2488"/>
      <c r="O6" s="2488"/>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44993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2" t="s">
        <v>1680</v>
      </c>
      <c r="Q7" s="3400"/>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6"/>
      <c r="Q11" s="530" t="str">
        <f t="shared" si="6"/>
        <v>容积率</v>
      </c>
      <c r="R11" s="664" t="s">
        <v>18</v>
      </c>
      <c r="S11" s="665" t="e">
        <f t="shared" si="0"/>
        <v>#N/A</v>
      </c>
      <c r="T11" s="664" t="s">
        <v>18</v>
      </c>
      <c r="U11" s="665" t="e">
        <f t="shared" si="1"/>
        <v>#N/A</v>
      </c>
      <c r="V11" s="664" t="s">
        <v>18</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6"/>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6"/>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6"/>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2"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3"/>
      <c r="Q16" s="1263"/>
      <c r="R16" s="667"/>
      <c r="S16" s="668"/>
      <c r="T16" s="667"/>
      <c r="U16" s="668"/>
      <c r="V16" s="667"/>
      <c r="W16" s="668"/>
      <c r="X16" s="1265"/>
      <c r="Y16" s="340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3"/>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3"/>
      <c r="Q18" s="1263"/>
      <c r="R18" s="667"/>
      <c r="S18" s="668"/>
      <c r="T18" s="667"/>
      <c r="U18" s="668"/>
      <c r="V18" s="667"/>
      <c r="W18" s="668"/>
      <c r="X18" s="1265"/>
      <c r="Y18" s="340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3"/>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3"/>
      <c r="Q20" s="1263"/>
      <c r="R20" s="667"/>
      <c r="S20" s="668"/>
      <c r="T20" s="667"/>
      <c r="U20" s="668"/>
      <c r="V20" s="667"/>
      <c r="W20" s="668"/>
      <c r="X20" s="1265"/>
      <c r="Y20" s="340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3"/>
      <c r="Q22" s="1263"/>
      <c r="R22" s="667"/>
      <c r="S22" s="668"/>
      <c r="T22" s="667"/>
      <c r="U22" s="668"/>
      <c r="V22" s="667"/>
      <c r="W22" s="668"/>
      <c r="X22" s="1265"/>
      <c r="Y22" s="340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3"/>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3"/>
      <c r="Q24" s="1263"/>
      <c r="R24" s="667"/>
      <c r="S24" s="668"/>
      <c r="T24" s="667"/>
      <c r="U24" s="668"/>
      <c r="V24" s="667"/>
      <c r="W24" s="668"/>
      <c r="X24" s="1265"/>
      <c r="Y24" s="340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3"/>
      <c r="Q26" s="1263" t="str">
        <f t="shared" si="11"/>
        <v>朝向</v>
      </c>
      <c r="R26" s="667" t="s">
        <v>18</v>
      </c>
      <c r="S26" s="668">
        <f t="shared" si="12"/>
        <v>100</v>
      </c>
      <c r="T26" s="667" t="s">
        <v>18</v>
      </c>
      <c r="U26" s="668">
        <f t="shared" si="13"/>
        <v>100</v>
      </c>
      <c r="V26" s="667" t="s">
        <v>18</v>
      </c>
      <c r="W26" s="668">
        <f t="shared" si="14"/>
        <v>100</v>
      </c>
      <c r="X26" s="1265"/>
      <c r="Y26" s="340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3"/>
      <c r="Q27" s="530">
        <f t="shared" si="11"/>
        <v>111</v>
      </c>
      <c r="R27" s="664" t="s">
        <v>18</v>
      </c>
      <c r="S27" s="665">
        <f t="shared" si="12"/>
        <v>100</v>
      </c>
      <c r="T27" s="664" t="s">
        <v>18</v>
      </c>
      <c r="U27" s="665">
        <f t="shared" si="13"/>
        <v>100</v>
      </c>
      <c r="V27" s="664" t="s">
        <v>18</v>
      </c>
      <c r="W27" s="665">
        <f t="shared" si="14"/>
        <v>100</v>
      </c>
      <c r="X27" s="666"/>
      <c r="Y27" s="340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3"/>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3"/>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3"/>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3"/>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8"/>
      <c r="Q33" s="531" t="str">
        <f t="shared" si="11"/>
        <v>项目建筑规模</v>
      </c>
      <c r="R33" s="669" t="s">
        <v>18</v>
      </c>
      <c r="S33" s="670" t="e">
        <f t="shared" si="12"/>
        <v>#N/A</v>
      </c>
      <c r="T33" s="669" t="s">
        <v>18</v>
      </c>
      <c r="U33" s="670" t="e">
        <f t="shared" si="13"/>
        <v>#N/A</v>
      </c>
      <c r="V33" s="669" t="s">
        <v>18</v>
      </c>
      <c r="W33" s="670" t="e">
        <f t="shared" si="14"/>
        <v>#N/A</v>
      </c>
      <c r="X33" s="671"/>
      <c r="Y33" s="341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8"/>
      <c r="Q37" s="530" t="str">
        <f t="shared" si="11"/>
        <v>成新度</v>
      </c>
      <c r="R37" s="664" t="s">
        <v>18</v>
      </c>
      <c r="S37" s="665" t="e">
        <f t="shared" si="12"/>
        <v>#N/A</v>
      </c>
      <c r="T37" s="664" t="s">
        <v>18</v>
      </c>
      <c r="U37" s="665" t="e">
        <f t="shared" si="13"/>
        <v>#N/A</v>
      </c>
      <c r="V37" s="664" t="s">
        <v>18</v>
      </c>
      <c r="W37" s="665" t="e">
        <f t="shared" si="14"/>
        <v>#N/A</v>
      </c>
      <c r="X37" s="666"/>
      <c r="Y37" s="341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4" t="str">
        <f>A47</f>
        <v>成交单价（元/平方米）</v>
      </c>
      <c r="Q47" s="3404"/>
      <c r="R47" s="3399">
        <f>E47</f>
        <v>0</v>
      </c>
      <c r="S47" s="3399"/>
      <c r="T47" s="3399">
        <f>G47</f>
        <v>0</v>
      </c>
      <c r="U47" s="3399"/>
      <c r="V47" s="3399">
        <f>I47</f>
        <v>0</v>
      </c>
      <c r="W47" s="3399"/>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2023-3</v>
      </c>
      <c r="D58" s="1104">
        <f>EDATE(C58,-1)</f>
        <v>44958</v>
      </c>
      <c r="E58" s="1104">
        <f>EDATE(D58,-1)</f>
        <v>44927</v>
      </c>
      <c r="F58" s="1104">
        <f t="shared" ref="F58:O58" si="19">EDATE(E58,-1)</f>
        <v>44896</v>
      </c>
      <c r="G58" s="1104">
        <f t="shared" si="19"/>
        <v>44866</v>
      </c>
      <c r="H58" s="1104">
        <f t="shared" si="19"/>
        <v>44835</v>
      </c>
      <c r="I58" s="1104">
        <f t="shared" si="19"/>
        <v>44805</v>
      </c>
      <c r="J58" s="1104">
        <f t="shared" si="19"/>
        <v>44774</v>
      </c>
      <c r="K58" s="1104">
        <f t="shared" si="19"/>
        <v>44743</v>
      </c>
      <c r="L58" s="1104">
        <f t="shared" si="19"/>
        <v>44713</v>
      </c>
      <c r="M58" s="1104">
        <f t="shared" si="19"/>
        <v>44682</v>
      </c>
      <c r="N58" s="1104">
        <f t="shared" si="19"/>
        <v>44652</v>
      </c>
      <c r="O58" s="1104">
        <f t="shared" si="19"/>
        <v>44621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6998.6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4" t="s">
        <v>1771</v>
      </c>
      <c r="S4" s="3375"/>
      <c r="T4" s="3374" t="s">
        <v>1772</v>
      </c>
      <c r="U4" s="3375"/>
      <c r="V4" s="3399" t="s">
        <v>1773</v>
      </c>
      <c r="W4" s="3399"/>
      <c r="X4" s="1265"/>
      <c r="Y4" s="3374" t="s">
        <v>1775</v>
      </c>
      <c r="Z4" s="3375"/>
      <c r="AA4" s="3369" t="s">
        <v>1771</v>
      </c>
      <c r="AB4" s="3399" t="s">
        <v>1772</v>
      </c>
      <c r="AC4" s="3369" t="s">
        <v>1773</v>
      </c>
    </row>
    <row r="5" spans="1:29" ht="15">
      <c r="A5" s="348"/>
      <c r="B5" s="349"/>
      <c r="C5" s="3380" t="s">
        <v>1673</v>
      </c>
      <c r="D5" s="3381"/>
      <c r="E5" s="3378" t="s">
        <v>1674</v>
      </c>
      <c r="F5" s="3379"/>
      <c r="G5" s="3380" t="s">
        <v>1675</v>
      </c>
      <c r="H5" s="3381"/>
      <c r="I5" s="3380" t="s">
        <v>1676</v>
      </c>
      <c r="J5" s="3381"/>
      <c r="K5" s="537"/>
      <c r="L5" s="2487"/>
      <c r="M5" s="2488"/>
      <c r="N5" s="2488"/>
      <c r="O5" s="2488"/>
      <c r="P5" s="3393"/>
      <c r="Q5" s="3394"/>
      <c r="R5" s="3376"/>
      <c r="S5" s="3377"/>
      <c r="T5" s="3376"/>
      <c r="U5" s="3377"/>
      <c r="V5" s="3399"/>
      <c r="W5" s="3399"/>
      <c r="X5" s="1265"/>
      <c r="Y5" s="3376"/>
      <c r="Z5" s="3377"/>
      <c r="AA5" s="3370"/>
      <c r="AB5" s="3399"/>
      <c r="AC5" s="3370"/>
    </row>
    <row r="6" spans="1:29" ht="15.75" thickBot="1">
      <c r="A6" s="350"/>
      <c r="B6" s="351"/>
      <c r="C6" s="3382" t="s">
        <v>1677</v>
      </c>
      <c r="D6" s="3383"/>
      <c r="E6" s="3384" t="s">
        <v>1677</v>
      </c>
      <c r="F6" s="3385"/>
      <c r="G6" s="3382" t="s">
        <v>1677</v>
      </c>
      <c r="H6" s="3383"/>
      <c r="I6" s="3382" t="s">
        <v>1677</v>
      </c>
      <c r="J6" s="3383"/>
      <c r="K6" s="537" t="s">
        <v>1678</v>
      </c>
      <c r="L6" s="2487"/>
      <c r="M6" s="2488"/>
      <c r="N6" s="2488"/>
      <c r="O6" s="2488"/>
      <c r="P6" s="3395"/>
      <c r="Q6" s="3396"/>
      <c r="R6" s="3376"/>
      <c r="S6" s="3377"/>
      <c r="T6" s="3397"/>
      <c r="U6" s="3398"/>
      <c r="V6" s="3399"/>
      <c r="W6" s="3399"/>
      <c r="X6" s="1265"/>
      <c r="Y6" s="3397"/>
      <c r="Z6" s="3398"/>
      <c r="AA6" s="3371"/>
      <c r="AB6" s="3399"/>
      <c r="AC6" s="3371"/>
    </row>
    <row r="7" spans="1:29" s="102" customFormat="1" ht="15.75" thickBot="1">
      <c r="A7" s="352" t="s">
        <v>1679</v>
      </c>
      <c r="B7" s="353"/>
      <c r="C7" s="354">
        <f>'数据-取费表'!B2</f>
        <v>44993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6"/>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2" t="s">
        <v>1691</v>
      </c>
      <c r="Q15" s="1263" t="str">
        <f t="shared" si="6"/>
        <v>商业繁华度</v>
      </c>
      <c r="R15" s="667" t="s">
        <v>14</v>
      </c>
      <c r="S15" s="668">
        <f t="shared" si="0"/>
        <v>100</v>
      </c>
      <c r="T15" s="667" t="s">
        <v>14</v>
      </c>
      <c r="U15" s="668">
        <f t="shared" si="1"/>
        <v>100</v>
      </c>
      <c r="V15" s="667" t="s">
        <v>14</v>
      </c>
      <c r="W15" s="668">
        <f t="shared" si="2"/>
        <v>100</v>
      </c>
      <c r="X15" s="1265"/>
      <c r="Y15" s="340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3"/>
      <c r="Q16" s="1263"/>
      <c r="R16" s="667"/>
      <c r="S16" s="668"/>
      <c r="T16" s="667"/>
      <c r="U16" s="668"/>
      <c r="V16" s="667"/>
      <c r="W16" s="668"/>
      <c r="X16" s="1265"/>
      <c r="Y16" s="340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3"/>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3"/>
      <c r="Q18" s="1263"/>
      <c r="R18" s="667"/>
      <c r="S18" s="668"/>
      <c r="T18" s="667"/>
      <c r="U18" s="668"/>
      <c r="V18" s="667"/>
      <c r="W18" s="668"/>
      <c r="X18" s="1265"/>
      <c r="Y18" s="340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3"/>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3"/>
      <c r="Q20" s="1263"/>
      <c r="R20" s="667"/>
      <c r="S20" s="668"/>
      <c r="T20" s="667"/>
      <c r="U20" s="668"/>
      <c r="V20" s="667"/>
      <c r="W20" s="668"/>
      <c r="X20" s="1265"/>
      <c r="Y20" s="340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3"/>
      <c r="Q22" s="1263"/>
      <c r="R22" s="667"/>
      <c r="S22" s="668"/>
      <c r="T22" s="667"/>
      <c r="U22" s="668"/>
      <c r="V22" s="667"/>
      <c r="W22" s="668"/>
      <c r="X22" s="1265"/>
      <c r="Y22" s="340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3"/>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3"/>
      <c r="Q24" s="1263"/>
      <c r="R24" s="667"/>
      <c r="S24" s="668"/>
      <c r="T24" s="667"/>
      <c r="U24" s="668"/>
      <c r="V24" s="667"/>
      <c r="W24" s="668"/>
      <c r="X24" s="1265"/>
      <c r="Y24" s="340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3"/>
      <c r="Q25" s="1263" t="str">
        <f t="shared" ref="Q25:Q46" si="11">B25</f>
        <v>临街状况</v>
      </c>
      <c r="R25" s="667" t="s">
        <v>14</v>
      </c>
      <c r="S25" s="668">
        <f>F25</f>
        <v>100</v>
      </c>
      <c r="T25" s="667" t="s">
        <v>14</v>
      </c>
      <c r="U25" s="668">
        <f>H25</f>
        <v>100</v>
      </c>
      <c r="V25" s="667" t="s">
        <v>14</v>
      </c>
      <c r="W25" s="668">
        <f>J25</f>
        <v>100</v>
      </c>
      <c r="X25" s="1265"/>
      <c r="Y25" s="340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3"/>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3"/>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3"/>
      <c r="Q29" s="1263">
        <f t="shared" si="11"/>
        <v>111</v>
      </c>
      <c r="R29" s="667" t="s">
        <v>14</v>
      </c>
      <c r="S29" s="668">
        <f t="shared" si="12"/>
        <v>100</v>
      </c>
      <c r="T29" s="667" t="s">
        <v>14</v>
      </c>
      <c r="U29" s="668">
        <f t="shared" si="13"/>
        <v>100</v>
      </c>
      <c r="V29" s="667" t="s">
        <v>14</v>
      </c>
      <c r="W29" s="668">
        <f t="shared" si="14"/>
        <v>100</v>
      </c>
      <c r="X29" s="1265"/>
      <c r="Y29" s="340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3"/>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3"/>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8"/>
      <c r="Q36" s="1263" t="str">
        <f t="shared" si="11"/>
        <v>成新度</v>
      </c>
      <c r="R36" s="667" t="s">
        <v>14</v>
      </c>
      <c r="S36" s="668" t="e">
        <f t="shared" si="12"/>
        <v>#N/A</v>
      </c>
      <c r="T36" s="667" t="s">
        <v>14</v>
      </c>
      <c r="U36" s="668" t="e">
        <f t="shared" si="13"/>
        <v>#N/A</v>
      </c>
      <c r="V36" s="667" t="s">
        <v>14</v>
      </c>
      <c r="W36" s="668" t="e">
        <f t="shared" si="14"/>
        <v>#N/A</v>
      </c>
      <c r="X36" s="1265"/>
      <c r="Y36" s="341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8"/>
      <c r="Q42" s="1263" t="str">
        <f t="shared" si="11"/>
        <v>内部装修</v>
      </c>
      <c r="R42" s="667" t="s">
        <v>14</v>
      </c>
      <c r="S42" s="668">
        <f t="shared" si="12"/>
        <v>100</v>
      </c>
      <c r="T42" s="667" t="s">
        <v>14</v>
      </c>
      <c r="U42" s="668">
        <f t="shared" si="13"/>
        <v>100</v>
      </c>
      <c r="V42" s="667" t="s">
        <v>14</v>
      </c>
      <c r="W42" s="668">
        <f t="shared" si="14"/>
        <v>100</v>
      </c>
      <c r="X42" s="1265"/>
      <c r="Y42" s="341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4" t="str">
        <f>A47</f>
        <v>成交单价（元/平方米）</v>
      </c>
      <c r="Q47" s="3404"/>
      <c r="R47" s="3399">
        <f>E47</f>
        <v>0</v>
      </c>
      <c r="S47" s="3399"/>
      <c r="T47" s="3399">
        <f>G47</f>
        <v>0</v>
      </c>
      <c r="U47" s="3399"/>
      <c r="V47" s="3399">
        <f>I47</f>
        <v>0</v>
      </c>
      <c r="W47" s="3399"/>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6998.6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420" t="s">
        <v>1775</v>
      </c>
      <c r="Q4" s="3421"/>
      <c r="R4" s="3415" t="s">
        <v>1771</v>
      </c>
      <c r="S4" s="3416"/>
      <c r="T4" s="3415" t="s">
        <v>1772</v>
      </c>
      <c r="U4" s="3416"/>
      <c r="V4" s="3424" t="s">
        <v>1773</v>
      </c>
      <c r="W4" s="3424"/>
      <c r="X4" s="1809"/>
      <c r="Y4" s="3415" t="s">
        <v>1775</v>
      </c>
      <c r="Z4" s="3416"/>
      <c r="AA4" s="3414" t="s">
        <v>1771</v>
      </c>
      <c r="AB4" s="3414" t="s">
        <v>1772</v>
      </c>
      <c r="AC4" s="3417" t="s">
        <v>1773</v>
      </c>
    </row>
    <row r="5" spans="1:29" ht="15">
      <c r="A5" s="348"/>
      <c r="B5" s="349"/>
      <c r="C5" s="3380" t="s">
        <v>1673</v>
      </c>
      <c r="D5" s="3381"/>
      <c r="E5" s="3378" t="s">
        <v>1674</v>
      </c>
      <c r="F5" s="3379"/>
      <c r="G5" s="3380" t="s">
        <v>1675</v>
      </c>
      <c r="H5" s="3381"/>
      <c r="I5" s="3380" t="s">
        <v>1676</v>
      </c>
      <c r="J5" s="3381"/>
      <c r="K5" s="537"/>
      <c r="L5" s="2487"/>
      <c r="M5" s="2488"/>
      <c r="N5" s="2488"/>
      <c r="O5" s="2488"/>
      <c r="P5" s="3422"/>
      <c r="Q5" s="3394"/>
      <c r="R5" s="3376"/>
      <c r="S5" s="3377"/>
      <c r="T5" s="3376"/>
      <c r="U5" s="3377"/>
      <c r="V5" s="3399"/>
      <c r="W5" s="3399"/>
      <c r="X5" s="1265"/>
      <c r="Y5" s="3376"/>
      <c r="Z5" s="3377"/>
      <c r="AA5" s="3370"/>
      <c r="AB5" s="3370"/>
      <c r="AC5" s="3418"/>
    </row>
    <row r="6" spans="1:29" ht="15.75" thickBot="1">
      <c r="A6" s="350"/>
      <c r="B6" s="351"/>
      <c r="C6" s="3382" t="s">
        <v>1677</v>
      </c>
      <c r="D6" s="3383"/>
      <c r="E6" s="3384" t="s">
        <v>1677</v>
      </c>
      <c r="F6" s="3385"/>
      <c r="G6" s="3382" t="s">
        <v>1677</v>
      </c>
      <c r="H6" s="3383"/>
      <c r="I6" s="3382" t="s">
        <v>1677</v>
      </c>
      <c r="J6" s="3383"/>
      <c r="K6" s="537" t="s">
        <v>1678</v>
      </c>
      <c r="L6" s="2487"/>
      <c r="M6" s="2488"/>
      <c r="N6" s="2488"/>
      <c r="O6" s="2488"/>
      <c r="P6" s="3423"/>
      <c r="Q6" s="3396"/>
      <c r="R6" s="3376"/>
      <c r="S6" s="3377"/>
      <c r="T6" s="3397"/>
      <c r="U6" s="3398"/>
      <c r="V6" s="3399"/>
      <c r="W6" s="3399"/>
      <c r="X6" s="1265"/>
      <c r="Y6" s="3397"/>
      <c r="Z6" s="3398"/>
      <c r="AA6" s="3371"/>
      <c r="AB6" s="3371"/>
      <c r="AC6" s="3419"/>
    </row>
    <row r="7" spans="1:29" s="102" customFormat="1" ht="15.75" thickBot="1">
      <c r="A7" s="352" t="s">
        <v>1679</v>
      </c>
      <c r="B7" s="353"/>
      <c r="C7" s="354">
        <f>'数据-取费表'!B2</f>
        <v>44993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5"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5"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6"/>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2" t="s">
        <v>1691</v>
      </c>
      <c r="Q15" s="1263" t="str">
        <f t="shared" si="6"/>
        <v>办公集聚程度</v>
      </c>
      <c r="R15" s="667" t="s">
        <v>14</v>
      </c>
      <c r="S15" s="668">
        <f t="shared" si="0"/>
        <v>100</v>
      </c>
      <c r="T15" s="667" t="s">
        <v>14</v>
      </c>
      <c r="U15" s="668">
        <f t="shared" si="1"/>
        <v>100</v>
      </c>
      <c r="V15" s="667" t="s">
        <v>14</v>
      </c>
      <c r="W15" s="668">
        <f t="shared" si="2"/>
        <v>100</v>
      </c>
      <c r="X15" s="1265"/>
      <c r="Y15" s="340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3"/>
      <c r="Q16" s="1263"/>
      <c r="R16" s="667"/>
      <c r="S16" s="668"/>
      <c r="T16" s="667"/>
      <c r="U16" s="668"/>
      <c r="V16" s="667"/>
      <c r="W16" s="668"/>
      <c r="X16" s="1265"/>
      <c r="Y16" s="340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3"/>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3"/>
      <c r="Q18" s="1263"/>
      <c r="R18" s="667"/>
      <c r="S18" s="668"/>
      <c r="T18" s="667"/>
      <c r="U18" s="668"/>
      <c r="V18" s="667"/>
      <c r="W18" s="668"/>
      <c r="X18" s="1265"/>
      <c r="Y18" s="340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3"/>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3"/>
      <c r="Q20" s="1263"/>
      <c r="R20" s="667"/>
      <c r="S20" s="668"/>
      <c r="T20" s="667"/>
      <c r="U20" s="668"/>
      <c r="V20" s="667"/>
      <c r="W20" s="668"/>
      <c r="X20" s="1265"/>
      <c r="Y20" s="340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3"/>
      <c r="Q22" s="1263"/>
      <c r="R22" s="667"/>
      <c r="S22" s="668"/>
      <c r="T22" s="667"/>
      <c r="U22" s="668"/>
      <c r="V22" s="667"/>
      <c r="W22" s="668"/>
      <c r="X22" s="1265"/>
      <c r="Y22" s="340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3"/>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3"/>
      <c r="Q24" s="1263"/>
      <c r="R24" s="667"/>
      <c r="S24" s="668"/>
      <c r="T24" s="667"/>
      <c r="U24" s="668"/>
      <c r="V24" s="667"/>
      <c r="W24" s="668"/>
      <c r="X24" s="1265"/>
      <c r="Y24" s="340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3"/>
      <c r="Q25" s="1263" t="str">
        <f>B25</f>
        <v>毗邻道路的类型与等级</v>
      </c>
      <c r="R25" s="667" t="s">
        <v>14</v>
      </c>
      <c r="S25" s="668">
        <f>F25</f>
        <v>100</v>
      </c>
      <c r="T25" s="667" t="s">
        <v>14</v>
      </c>
      <c r="U25" s="668">
        <f>H25</f>
        <v>100</v>
      </c>
      <c r="V25" s="667" t="s">
        <v>14</v>
      </c>
      <c r="W25" s="668">
        <f>J25</f>
        <v>100</v>
      </c>
      <c r="X25" s="1265"/>
      <c r="Y25" s="340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3"/>
      <c r="Q26" s="1263"/>
      <c r="R26" s="667"/>
      <c r="S26" s="668"/>
      <c r="T26" s="667"/>
      <c r="U26" s="668"/>
      <c r="V26" s="667"/>
      <c r="W26" s="668"/>
      <c r="X26" s="1265"/>
      <c r="Y26" s="340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3"/>
      <c r="Q27" s="1263" t="str">
        <f t="shared" ref="Q27:Q47" si="11">B27</f>
        <v>楼层</v>
      </c>
      <c r="R27" s="667" t="s">
        <v>14</v>
      </c>
      <c r="S27" s="668">
        <f>F27</f>
        <v>100</v>
      </c>
      <c r="T27" s="667" t="s">
        <v>14</v>
      </c>
      <c r="U27" s="668">
        <f>H27</f>
        <v>100</v>
      </c>
      <c r="V27" s="667" t="s">
        <v>14</v>
      </c>
      <c r="W27" s="668">
        <f>J27</f>
        <v>100</v>
      </c>
      <c r="X27" s="1265"/>
      <c r="Y27" s="340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3"/>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3"/>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3"/>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3"/>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3"/>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8"/>
      <c r="Q34" s="531" t="str">
        <f t="shared" si="11"/>
        <v>项目建筑规模</v>
      </c>
      <c r="R34" s="669" t="s">
        <v>14</v>
      </c>
      <c r="S34" s="670" t="e">
        <f t="shared" si="12"/>
        <v>#N/A</v>
      </c>
      <c r="T34" s="669" t="s">
        <v>14</v>
      </c>
      <c r="U34" s="670" t="e">
        <f t="shared" si="13"/>
        <v>#N/A</v>
      </c>
      <c r="V34" s="669" t="s">
        <v>14</v>
      </c>
      <c r="W34" s="670" t="e">
        <f t="shared" si="14"/>
        <v>#N/A</v>
      </c>
      <c r="X34" s="671"/>
      <c r="Y34" s="341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8"/>
      <c r="Q37" s="1263" t="str">
        <f t="shared" si="11"/>
        <v>成新度</v>
      </c>
      <c r="R37" s="667" t="s">
        <v>14</v>
      </c>
      <c r="S37" s="668" t="e">
        <f t="shared" si="12"/>
        <v>#N/A</v>
      </c>
      <c r="T37" s="667" t="s">
        <v>14</v>
      </c>
      <c r="U37" s="668" t="e">
        <f t="shared" si="13"/>
        <v>#N/A</v>
      </c>
      <c r="V37" s="667" t="s">
        <v>14</v>
      </c>
      <c r="W37" s="668" t="e">
        <f t="shared" si="14"/>
        <v>#N/A</v>
      </c>
      <c r="X37" s="1265"/>
      <c r="Y37" s="341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8"/>
      <c r="Q43" s="1263" t="str">
        <f t="shared" si="11"/>
        <v>内部装修</v>
      </c>
      <c r="R43" s="667" t="s">
        <v>14</v>
      </c>
      <c r="S43" s="668">
        <f t="shared" si="12"/>
        <v>100</v>
      </c>
      <c r="T43" s="667" t="s">
        <v>14</v>
      </c>
      <c r="U43" s="668">
        <f t="shared" si="13"/>
        <v>100</v>
      </c>
      <c r="V43" s="667" t="s">
        <v>14</v>
      </c>
      <c r="W43" s="668">
        <f t="shared" si="14"/>
        <v>100</v>
      </c>
      <c r="X43" s="1265"/>
      <c r="Y43" s="341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6" t="str">
        <f>A48</f>
        <v>成交单价（元/平方米）</v>
      </c>
      <c r="Q48" s="3404"/>
      <c r="R48" s="3399">
        <f>E48</f>
        <v>0</v>
      </c>
      <c r="S48" s="3399"/>
      <c r="T48" s="3399">
        <f>G48</f>
        <v>0</v>
      </c>
      <c r="U48" s="3399"/>
      <c r="V48" s="3399">
        <f>I48</f>
        <v>0</v>
      </c>
      <c r="W48" s="3399"/>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86" t="str">
        <f>A49</f>
        <v>比较价值（元/平方米）</v>
      </c>
      <c r="Q49" s="3404"/>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6998.6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860"/>
      <c r="M5" s="861"/>
      <c r="N5" s="861"/>
      <c r="O5" s="861"/>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860"/>
      <c r="M6" s="861"/>
      <c r="N6" s="861"/>
      <c r="O6" s="861"/>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44993</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4"/>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4" t="str">
        <f>A41</f>
        <v>成交单价（元/平方米）</v>
      </c>
      <c r="Q41" s="3404"/>
      <c r="R41" s="3399">
        <f>E41</f>
        <v>0</v>
      </c>
      <c r="S41" s="3399"/>
      <c r="T41" s="3399">
        <f>G41</f>
        <v>0</v>
      </c>
      <c r="U41" s="3399"/>
      <c r="V41" s="3399">
        <f>I41</f>
        <v>0</v>
      </c>
      <c r="W41" s="3399"/>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4" t="str">
        <f>A42</f>
        <v>比较价值（元/平方米）</v>
      </c>
      <c r="Q42" s="340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2023-3</v>
      </c>
      <c r="D52" s="1104">
        <f>EDATE(C52,-1)</f>
        <v>44958</v>
      </c>
      <c r="E52" s="1104">
        <f t="shared" ref="E52:O52" si="16">EDATE(D52,-1)</f>
        <v>44927</v>
      </c>
      <c r="F52" s="1104">
        <f t="shared" si="16"/>
        <v>44896</v>
      </c>
      <c r="G52" s="1104">
        <f t="shared" si="16"/>
        <v>44866</v>
      </c>
      <c r="H52" s="1104">
        <f t="shared" si="16"/>
        <v>44835</v>
      </c>
      <c r="I52" s="1104">
        <f t="shared" si="16"/>
        <v>44805</v>
      </c>
      <c r="J52" s="1104">
        <f t="shared" si="16"/>
        <v>44774</v>
      </c>
      <c r="K52" s="1104">
        <f t="shared" si="16"/>
        <v>44743</v>
      </c>
      <c r="L52" s="1104">
        <f t="shared" si="16"/>
        <v>44713</v>
      </c>
      <c r="M52" s="1104">
        <f t="shared" si="16"/>
        <v>44682</v>
      </c>
      <c r="N52" s="1104">
        <f t="shared" si="16"/>
        <v>44652</v>
      </c>
      <c r="O52" s="1104">
        <f t="shared" si="16"/>
        <v>44621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估价对象为北京市房地产，为所有。根据《国有土地使用证》[]，估价对象（分摊）出让国有建设用地使用权面积为14034平方米，建筑面积为6998.6平方米。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估价对象为北京市房地产,属开发建设的，该项目尚在开发建设中。根据《国有土地使用证》[]，估价对象（分摊）出让国有建设用地使用权面积为14034平方米，规划建筑面积为6998.6平方米。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2023年3月8日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7"/>
      <c r="M5" s="2488"/>
      <c r="N5" s="2488"/>
      <c r="O5" s="2488"/>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7"/>
      <c r="M6" s="2488"/>
      <c r="N6" s="2488"/>
      <c r="O6" s="2488"/>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44993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4"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4"/>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6"/>
      <c r="Q15" s="1263"/>
      <c r="R15" s="667"/>
      <c r="S15" s="668"/>
      <c r="T15" s="667"/>
      <c r="U15" s="668"/>
      <c r="V15" s="667"/>
      <c r="W15" s="668"/>
      <c r="X15" s="1265"/>
      <c r="Y15" s="340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6"/>
      <c r="Q17" s="1263"/>
      <c r="R17" s="667"/>
      <c r="S17" s="668"/>
      <c r="T17" s="667"/>
      <c r="U17" s="668"/>
      <c r="V17" s="667"/>
      <c r="W17" s="668"/>
      <c r="X17" s="1265"/>
      <c r="Y17" s="340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6"/>
      <c r="Q19" s="1263"/>
      <c r="R19" s="667"/>
      <c r="S19" s="668"/>
      <c r="T19" s="667"/>
      <c r="U19" s="668"/>
      <c r="V19" s="667"/>
      <c r="W19" s="668"/>
      <c r="X19" s="1265"/>
      <c r="Y19" s="340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6"/>
      <c r="Q21" s="1263"/>
      <c r="R21" s="667"/>
      <c r="S21" s="668"/>
      <c r="T21" s="667"/>
      <c r="U21" s="668"/>
      <c r="V21" s="667"/>
      <c r="W21" s="668"/>
      <c r="X21" s="1265"/>
      <c r="Y21" s="340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ht="15">
      <c r="A37" s="416" t="s">
        <v>1844</v>
      </c>
      <c r="B37" s="1821" t="s">
        <v>3360</v>
      </c>
      <c r="C37" s="1081" t="s">
        <v>0</v>
      </c>
      <c r="D37" s="418"/>
      <c r="E37" s="419"/>
      <c r="F37" s="420"/>
      <c r="G37" s="421"/>
      <c r="H37" s="422"/>
      <c r="I37" s="419"/>
      <c r="J37" s="422"/>
      <c r="K37" s="545"/>
      <c r="L37" s="2495"/>
      <c r="M37" s="2488"/>
      <c r="N37" s="2488"/>
      <c r="O37" s="2488"/>
      <c r="P37" s="3404" t="str">
        <f>A37</f>
        <v>成交单价</v>
      </c>
      <c r="Q37" s="3404"/>
      <c r="R37" s="3399">
        <f>E37</f>
        <v>0</v>
      </c>
      <c r="S37" s="3399"/>
      <c r="T37" s="3399">
        <f>G37</f>
        <v>0</v>
      </c>
      <c r="U37" s="3399"/>
      <c r="V37" s="3399">
        <f>I37</f>
        <v>0</v>
      </c>
      <c r="W37" s="3399"/>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4" t="str">
        <f>A38</f>
        <v>比较价值（元/平方米）</v>
      </c>
      <c r="Q38" s="3404"/>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1" t="str">
        <f>A39</f>
        <v>估价对象XX用房的比较价值（楼面单价，元/平方米）</v>
      </c>
      <c r="Q39" s="3402"/>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2023-3</v>
      </c>
      <c r="D48" s="1104">
        <f>EDATE(C48,-1)</f>
        <v>44958</v>
      </c>
      <c r="E48" s="1104">
        <f t="shared" ref="E48:O48" si="16">EDATE(D48,-1)</f>
        <v>44927</v>
      </c>
      <c r="F48" s="1104">
        <f t="shared" si="16"/>
        <v>44896</v>
      </c>
      <c r="G48" s="1104">
        <f t="shared" si="16"/>
        <v>44866</v>
      </c>
      <c r="H48" s="1104">
        <f t="shared" si="16"/>
        <v>44835</v>
      </c>
      <c r="I48" s="1104">
        <f t="shared" si="16"/>
        <v>44805</v>
      </c>
      <c r="J48" s="1104">
        <f t="shared" si="16"/>
        <v>44774</v>
      </c>
      <c r="K48" s="1104">
        <f t="shared" si="16"/>
        <v>44743</v>
      </c>
      <c r="L48" s="1104">
        <f t="shared" si="16"/>
        <v>44713</v>
      </c>
      <c r="M48" s="1104">
        <f t="shared" si="16"/>
        <v>44682</v>
      </c>
      <c r="N48" s="1104">
        <f t="shared" si="16"/>
        <v>44652</v>
      </c>
      <c r="O48" s="1104">
        <f t="shared" si="16"/>
        <v>44621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7"/>
      <c r="M5" s="2488"/>
      <c r="N5" s="2488"/>
      <c r="O5" s="2488"/>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7"/>
      <c r="M6" s="2488"/>
      <c r="N6" s="2488"/>
      <c r="O6" s="2488"/>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44993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4"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4"/>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6"/>
      <c r="Q15" s="1263"/>
      <c r="R15" s="667"/>
      <c r="S15" s="668"/>
      <c r="T15" s="667"/>
      <c r="U15" s="668"/>
      <c r="V15" s="667"/>
      <c r="W15" s="668"/>
      <c r="X15" s="1265"/>
      <c r="Y15" s="340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6"/>
      <c r="Q17" s="1263"/>
      <c r="R17" s="667"/>
      <c r="S17" s="668"/>
      <c r="T17" s="667"/>
      <c r="U17" s="668"/>
      <c r="V17" s="667"/>
      <c r="W17" s="668"/>
      <c r="X17" s="1265"/>
      <c r="Y17" s="340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6"/>
      <c r="Q19" s="1263"/>
      <c r="R19" s="667"/>
      <c r="S19" s="668"/>
      <c r="T19" s="667"/>
      <c r="U19" s="668"/>
      <c r="V19" s="667"/>
      <c r="W19" s="668"/>
      <c r="X19" s="1265"/>
      <c r="Y19" s="340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6"/>
      <c r="Q21" s="1263"/>
      <c r="R21" s="667"/>
      <c r="S21" s="668"/>
      <c r="T21" s="667"/>
      <c r="U21" s="668"/>
      <c r="V21" s="667"/>
      <c r="W21" s="668"/>
      <c r="X21" s="1265"/>
      <c r="Y21" s="340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4" t="str">
        <f>A35</f>
        <v>成交单价（元/平方米）</v>
      </c>
      <c r="Q35" s="3404"/>
      <c r="R35" s="3399">
        <f>E35</f>
        <v>0</v>
      </c>
      <c r="S35" s="3399"/>
      <c r="T35" s="3399">
        <f>G35</f>
        <v>0</v>
      </c>
      <c r="U35" s="3399"/>
      <c r="V35" s="3399">
        <f>I35</f>
        <v>0</v>
      </c>
      <c r="W35" s="3399"/>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4" t="str">
        <f>A36</f>
        <v>比较价值（元/平方米）</v>
      </c>
      <c r="Q36" s="340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1" t="str">
        <f>A37</f>
        <v>估价对象XX用房的比较价值（楼面单价，元/平方米）</v>
      </c>
      <c r="Q37" s="3402"/>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2023-3</v>
      </c>
      <c r="D46" s="1104">
        <f>EDATE(C46,-1)</f>
        <v>44958</v>
      </c>
      <c r="E46" s="1104">
        <f t="shared" ref="E46:O46" si="16">EDATE(D46,-1)</f>
        <v>44927</v>
      </c>
      <c r="F46" s="1104">
        <f t="shared" si="16"/>
        <v>44896</v>
      </c>
      <c r="G46" s="1104">
        <f t="shared" si="16"/>
        <v>44866</v>
      </c>
      <c r="H46" s="1104">
        <f t="shared" si="16"/>
        <v>44835</v>
      </c>
      <c r="I46" s="1104">
        <f t="shared" si="16"/>
        <v>44805</v>
      </c>
      <c r="J46" s="1104">
        <f t="shared" si="16"/>
        <v>44774</v>
      </c>
      <c r="K46" s="1104">
        <f t="shared" si="16"/>
        <v>44743</v>
      </c>
      <c r="L46" s="1104">
        <f t="shared" si="16"/>
        <v>44713</v>
      </c>
      <c r="M46" s="1104">
        <f t="shared" si="16"/>
        <v>44682</v>
      </c>
      <c r="N46" s="1104">
        <f t="shared" si="16"/>
        <v>44652</v>
      </c>
      <c r="O46" s="1104">
        <f t="shared" si="16"/>
        <v>44621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7"/>
      <c r="M5" s="2488"/>
      <c r="N5" s="2488"/>
      <c r="O5" s="2488"/>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7"/>
      <c r="M6" s="2488"/>
      <c r="N6" s="2488"/>
      <c r="O6" s="2488"/>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44993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04"/>
      <c r="Q10" s="530" t="str">
        <f t="shared" si="6"/>
        <v>土地使用年限（年）</v>
      </c>
      <c r="R10" s="664" t="s">
        <v>14</v>
      </c>
      <c r="S10" s="665">
        <f t="shared" si="0"/>
        <v>111</v>
      </c>
      <c r="T10" s="664" t="s">
        <v>14</v>
      </c>
      <c r="U10" s="665">
        <f t="shared" si="1"/>
        <v>111</v>
      </c>
      <c r="V10" s="664" t="s">
        <v>14</v>
      </c>
      <c r="W10" s="665">
        <f t="shared" si="2"/>
        <v>111</v>
      </c>
      <c r="X10" s="666"/>
      <c r="Y10" s="331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4"/>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4"/>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6"/>
      <c r="Q20" s="1263"/>
      <c r="R20" s="667"/>
      <c r="S20" s="668"/>
      <c r="T20" s="667"/>
      <c r="U20" s="668"/>
      <c r="V20" s="667"/>
      <c r="W20" s="668"/>
      <c r="X20" s="1265"/>
      <c r="Y20" s="340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6"/>
      <c r="Q24" s="1263"/>
      <c r="R24" s="667"/>
      <c r="S24" s="668"/>
      <c r="T24" s="667"/>
      <c r="U24" s="668"/>
      <c r="V24" s="667"/>
      <c r="W24" s="668"/>
      <c r="X24" s="1265"/>
      <c r="Y24" s="340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6"/>
      <c r="Q26" s="1263"/>
      <c r="R26" s="667"/>
      <c r="S26" s="668"/>
      <c r="T26" s="667"/>
      <c r="U26" s="668"/>
      <c r="V26" s="667"/>
      <c r="W26" s="668"/>
      <c r="X26" s="1265"/>
      <c r="Y26" s="340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6"/>
      <c r="Q28" s="530"/>
      <c r="R28" s="664"/>
      <c r="S28" s="665"/>
      <c r="T28" s="664"/>
      <c r="U28" s="665"/>
      <c r="V28" s="664"/>
      <c r="W28" s="665"/>
      <c r="X28" s="666"/>
      <c r="Y28" s="340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6"/>
      <c r="Q30" s="530"/>
      <c r="R30" s="664"/>
      <c r="S30" s="665"/>
      <c r="T30" s="664"/>
      <c r="U30" s="665"/>
      <c r="V30" s="664"/>
      <c r="W30" s="665"/>
      <c r="X30" s="666"/>
      <c r="Y30" s="340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6"/>
      <c r="Q33" s="1263"/>
      <c r="R33" s="667"/>
      <c r="S33" s="668"/>
      <c r="T33" s="667"/>
      <c r="U33" s="668"/>
      <c r="V33" s="667"/>
      <c r="W33" s="668"/>
      <c r="X33" s="1265"/>
      <c r="Y33" s="340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9"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4" t="str">
        <f>A46</f>
        <v>成交单价</v>
      </c>
      <c r="Q46" s="3404"/>
      <c r="R46" s="3399">
        <f>E46</f>
        <v>0</v>
      </c>
      <c r="S46" s="3399"/>
      <c r="T46" s="3399">
        <f>G46</f>
        <v>0</v>
      </c>
      <c r="U46" s="3399"/>
      <c r="V46" s="3399">
        <f>I46</f>
        <v>0</v>
      </c>
      <c r="W46" s="3399"/>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4" t="str">
        <f>A47</f>
        <v>比较价值（元/平方米）</v>
      </c>
      <c r="Q47" s="3404"/>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1" t="str">
        <f>A48</f>
        <v>估价对象XX用房的比较价值（楼面单价，元/平方米）</v>
      </c>
      <c r="Q48" s="3402"/>
      <c r="R48" s="3432" t="e">
        <f>ROUND(IF(D47="简单平均",AVERAGE(R47:W47),R47*F47+T47*H47+V47*J47),0)</f>
        <v>#DIV/0!</v>
      </c>
      <c r="S48" s="3432"/>
      <c r="T48" s="3432"/>
      <c r="U48" s="3432"/>
      <c r="V48" s="3432"/>
      <c r="W48" s="343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7" t="s">
        <v>1887</v>
      </c>
      <c r="H55" s="343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6998.6</v>
      </c>
      <c r="F56" s="833" t="e">
        <f t="shared" ref="F56:F64" si="15">ROUND(B56*E56/10000,0)</f>
        <v>#DIV/0!</v>
      </c>
      <c r="G56" s="3386"/>
      <c r="H56" s="340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6998.6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90" zoomScaleNormal="60" zoomScaleSheetLayoutView="90" workbookViewId="0">
      <selection activeCell="M28" sqref="M2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664</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949</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7"/>
      <c r="M5" s="2488"/>
      <c r="N5" s="2488"/>
      <c r="O5" s="2488"/>
      <c r="P5" s="3393"/>
      <c r="Q5" s="3394"/>
      <c r="R5" s="3376"/>
      <c r="S5" s="3377"/>
      <c r="T5" s="3376"/>
      <c r="U5" s="3377"/>
      <c r="V5" s="3399"/>
      <c r="W5" s="3399"/>
      <c r="X5" s="1265"/>
      <c r="Y5" s="3376"/>
      <c r="Z5" s="3377"/>
      <c r="AA5" s="3370"/>
      <c r="AB5" s="3370"/>
      <c r="AC5" s="3370"/>
    </row>
    <row r="6" spans="1:29" ht="15.75" thickBot="1">
      <c r="A6" s="350"/>
      <c r="B6" s="351"/>
      <c r="C6" s="3434" t="s">
        <v>1919</v>
      </c>
      <c r="D6" s="3435"/>
      <c r="E6" s="3436" t="s">
        <v>1919</v>
      </c>
      <c r="F6" s="3437"/>
      <c r="G6" s="3434" t="s">
        <v>1919</v>
      </c>
      <c r="H6" s="3435"/>
      <c r="I6" s="3434" t="s">
        <v>1919</v>
      </c>
      <c r="J6" s="3435"/>
      <c r="K6" s="537" t="s">
        <v>1678</v>
      </c>
      <c r="L6" s="2487"/>
      <c r="M6" s="2488"/>
      <c r="N6" s="2488"/>
      <c r="O6" s="2488"/>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44993</v>
      </c>
      <c r="D7" s="355">
        <v>100</v>
      </c>
      <c r="E7" s="356" t="str">
        <f>土地案例!H11</f>
        <v>2022-09-05</v>
      </c>
      <c r="F7" s="357">
        <f>SUMIF(65:65,YEAR(E7)&amp;"-"&amp;INT((MONTH(E7)+2)/3),66:66)</f>
        <v>100</v>
      </c>
      <c r="G7" s="1822" t="str">
        <f>土地案例!H12</f>
        <v>2022-09-05</v>
      </c>
      <c r="H7" s="355">
        <f>SUMIF(65:65,YEAR(G7)&amp;"-"&amp;INT((MONTH(G7)+2)/3),66:66)</f>
        <v>100</v>
      </c>
      <c r="I7" s="1822" t="str">
        <f>土地案例!H19</f>
        <v>2022-05-19</v>
      </c>
      <c r="J7" s="355">
        <f>SUMIF(65:65,YEAR(I7)&amp;"-"&amp;INT((MONTH(I7)+2)/3),66:66)</f>
        <v>100</v>
      </c>
      <c r="K7" s="38"/>
      <c r="L7" s="2489"/>
      <c r="M7" s="2440"/>
      <c r="N7" s="2440"/>
      <c r="O7" s="2440"/>
      <c r="P7" s="3372" t="s">
        <v>1680</v>
      </c>
      <c r="Q7" s="3400"/>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50">
        <f>D7/J7</f>
        <v>1</v>
      </c>
    </row>
    <row r="8" spans="1:29" s="102" customFormat="1" ht="15.75" thickBot="1">
      <c r="A8" s="352" t="s">
        <v>1681</v>
      </c>
      <c r="B8" s="353"/>
      <c r="C8" s="358" t="s">
        <v>1682</v>
      </c>
      <c r="D8" s="355">
        <v>100</v>
      </c>
      <c r="E8" s="358" t="s">
        <v>3601</v>
      </c>
      <c r="F8" s="357">
        <f>SUMIF(68:68,E8,69:69)-SUMIF(68:68,C8,69:69)+100</f>
        <v>100</v>
      </c>
      <c r="G8" s="358" t="s">
        <v>3601</v>
      </c>
      <c r="H8" s="355">
        <f>SUMIF(68:68,G8,69:69)-SUMIF(68:68,C8,69:69)+100</f>
        <v>100</v>
      </c>
      <c r="I8" s="358" t="s">
        <v>3601</v>
      </c>
      <c r="J8" s="355">
        <f>SUMIF(68:68,I8,69:69)-SUMIF(68:68,C8,69:69)+100</f>
        <v>100</v>
      </c>
      <c r="K8" s="38"/>
      <c r="L8" s="2489"/>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1825" t="s">
        <v>3</v>
      </c>
      <c r="D9" s="59">
        <v>100</v>
      </c>
      <c r="E9" s="1825" t="s">
        <v>3</v>
      </c>
      <c r="F9" s="59">
        <f>SUMIF(70:70,E9,71:71)-SUMIF(70:70,C9,71:71)+100</f>
        <v>100</v>
      </c>
      <c r="G9" s="1825" t="s">
        <v>3</v>
      </c>
      <c r="H9" s="59">
        <f>SUMIF(70:70,G9,71:71)-SUMIF(70:70,C9,71:71)+100</f>
        <v>100</v>
      </c>
      <c r="I9" s="1825" t="s">
        <v>3</v>
      </c>
      <c r="J9" s="59">
        <f>SUMIF(70:70,I9,71:71)-SUMIF(70:70,C9,71:71)+100</f>
        <v>100</v>
      </c>
      <c r="K9" s="38"/>
      <c r="L9" s="2489"/>
      <c r="M9" s="2440"/>
      <c r="N9" s="2440"/>
      <c r="O9" s="2541"/>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04"/>
      <c r="Q10" s="530" t="str">
        <f t="shared" si="6"/>
        <v>土地使用年限（年）</v>
      </c>
      <c r="R10" s="664" t="s">
        <v>14</v>
      </c>
      <c r="S10" s="665">
        <f t="shared" si="0"/>
        <v>111</v>
      </c>
      <c r="T10" s="664" t="s">
        <v>14</v>
      </c>
      <c r="U10" s="665">
        <f t="shared" si="1"/>
        <v>111</v>
      </c>
      <c r="V10" s="664" t="s">
        <v>14</v>
      </c>
      <c r="W10" s="665">
        <f t="shared" si="2"/>
        <v>111</v>
      </c>
      <c r="X10" s="666"/>
      <c r="Y10" s="3316"/>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f>LOOKUP(E11,75:75,76:76)-LOOKUP(C11,75:75,76:76)+100</f>
        <v>100</v>
      </c>
      <c r="G11" s="369"/>
      <c r="H11" s="119">
        <f>LOOKUP(G11,75:75,76:76)-LOOKUP(C11,75:75,76:76)+100</f>
        <v>100</v>
      </c>
      <c r="I11" s="368"/>
      <c r="J11" s="119">
        <f>LOOKUP(I11,75:75,76:76)-LOOKUP(C11,75:75,76:76)+100</f>
        <v>100</v>
      </c>
      <c r="K11" s="593"/>
      <c r="L11" s="2492"/>
      <c r="M11" s="2488"/>
      <c r="N11" s="2488"/>
      <c r="O11" s="2543"/>
      <c r="P11" s="3404"/>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102</v>
      </c>
      <c r="K15" s="593">
        <v>2</v>
      </c>
      <c r="L15" s="2493"/>
      <c r="M15" s="2488"/>
      <c r="N15" s="2488"/>
      <c r="O15" s="2543"/>
      <c r="P15" s="3405" t="s">
        <v>1691</v>
      </c>
      <c r="Q15" s="1263" t="str">
        <f t="shared" si="6"/>
        <v>产业集聚程度</v>
      </c>
      <c r="R15" s="667" t="s">
        <v>14</v>
      </c>
      <c r="S15" s="668">
        <f t="shared" si="0"/>
        <v>100</v>
      </c>
      <c r="T15" s="667" t="s">
        <v>14</v>
      </c>
      <c r="U15" s="668">
        <f t="shared" si="1"/>
        <v>100</v>
      </c>
      <c r="V15" s="667" t="s">
        <v>14</v>
      </c>
      <c r="W15" s="668">
        <f t="shared" si="2"/>
        <v>102</v>
      </c>
      <c r="X15" s="1265"/>
      <c r="Y15" s="3405" t="s">
        <v>1691</v>
      </c>
      <c r="Z15" s="1264" t="str">
        <f t="shared" si="7"/>
        <v>产业集聚程度</v>
      </c>
      <c r="AA15" s="1264">
        <f t="shared" si="3"/>
        <v>1</v>
      </c>
      <c r="AB15" s="1264">
        <f t="shared" si="4"/>
        <v>1</v>
      </c>
      <c r="AC15" s="1264">
        <f t="shared" si="5"/>
        <v>0.98039215686274506</v>
      </c>
    </row>
    <row r="16" spans="1:29" ht="15">
      <c r="A16" s="367"/>
      <c r="B16" s="555"/>
      <c r="C16" s="386" t="s">
        <v>3409</v>
      </c>
      <c r="D16" s="387"/>
      <c r="E16" s="386" t="s">
        <v>3409</v>
      </c>
      <c r="F16" s="387"/>
      <c r="G16" s="386" t="s">
        <v>3409</v>
      </c>
      <c r="H16" s="389"/>
      <c r="I16" s="1758" t="s">
        <v>3405</v>
      </c>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v>2</v>
      </c>
      <c r="L17" s="2493"/>
      <c r="M17" s="2488"/>
      <c r="N17" s="2488"/>
      <c r="O17" s="2543"/>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401"/>
      <c r="C18" s="386" t="s">
        <v>3405</v>
      </c>
      <c r="D18" s="387"/>
      <c r="E18" s="386" t="s">
        <v>3405</v>
      </c>
      <c r="F18" s="387"/>
      <c r="G18" s="386" t="s">
        <v>3405</v>
      </c>
      <c r="H18" s="387"/>
      <c r="I18" s="386" t="s">
        <v>3405</v>
      </c>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6"/>
      <c r="Q20" s="1263"/>
      <c r="R20" s="667"/>
      <c r="S20" s="668"/>
      <c r="T20" s="667"/>
      <c r="U20" s="668"/>
      <c r="V20" s="667"/>
      <c r="W20" s="668"/>
      <c r="X20" s="1265"/>
      <c r="Y20" s="340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v>2</v>
      </c>
      <c r="L23" s="2489"/>
      <c r="M23" s="2440"/>
      <c r="N23" s="2440"/>
      <c r="O23" s="2541"/>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6"/>
      <c r="Q24" s="530"/>
      <c r="R24" s="664"/>
      <c r="S24" s="665"/>
      <c r="T24" s="664"/>
      <c r="U24" s="665"/>
      <c r="V24" s="664"/>
      <c r="W24" s="665"/>
      <c r="X24" s="666"/>
      <c r="Y24" s="340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v>1</v>
      </c>
      <c r="L25" s="2489"/>
      <c r="M25" s="2440"/>
      <c r="N25" s="2440"/>
      <c r="O25" s="2541"/>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6"/>
      <c r="Q26" s="530"/>
      <c r="R26" s="664"/>
      <c r="S26" s="665"/>
      <c r="T26" s="664"/>
      <c r="U26" s="665"/>
      <c r="V26" s="664"/>
      <c r="W26" s="665"/>
      <c r="X26" s="666"/>
      <c r="Y26" s="340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6"/>
      <c r="Q29" s="1263"/>
      <c r="R29" s="667"/>
      <c r="S29" s="668"/>
      <c r="T29" s="667"/>
      <c r="U29" s="668"/>
      <c r="V29" s="667"/>
      <c r="W29" s="668"/>
      <c r="X29" s="1265"/>
      <c r="Y29" s="340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9"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
      <c r="A34" s="379" t="s">
        <v>1694</v>
      </c>
      <c r="B34" s="395" t="s">
        <v>1874</v>
      </c>
      <c r="C34" s="599">
        <f>'数据-基础表'!A3</f>
        <v>14034</v>
      </c>
      <c r="D34" s="405">
        <v>100</v>
      </c>
      <c r="E34" s="599">
        <f>土地案例!D11</f>
        <v>26316.6</v>
      </c>
      <c r="F34" s="405">
        <f>LOOKUP(E34,108:108,109:109)-LOOKUP(C34,108:108,109:109)+100</f>
        <v>100</v>
      </c>
      <c r="G34" s="599">
        <f>土地案例!D12</f>
        <v>10526.1</v>
      </c>
      <c r="H34" s="405">
        <f>LOOKUP(G34,108:108,109:109)-LOOKUP(C34,108:108,109:109)+100</f>
        <v>100</v>
      </c>
      <c r="I34" s="462">
        <f>土地案例!D19</f>
        <v>103092.9</v>
      </c>
      <c r="J34" s="405">
        <f>LOOKUP(I34,108:108,109:109)-LOOKUP(C34,108:108,109:109)+100</f>
        <v>102</v>
      </c>
      <c r="K34" s="539"/>
      <c r="L34" s="2493"/>
      <c r="M34" s="2488"/>
      <c r="N34" s="2488"/>
      <c r="O34" s="2543"/>
      <c r="P34" s="3410"/>
      <c r="Q34" s="1263" t="str">
        <f>B34</f>
        <v>宗地面积</v>
      </c>
      <c r="R34" s="667" t="s">
        <v>14</v>
      </c>
      <c r="S34" s="668">
        <f t="shared" si="10"/>
        <v>100</v>
      </c>
      <c r="T34" s="667" t="s">
        <v>14</v>
      </c>
      <c r="U34" s="668">
        <f t="shared" si="11"/>
        <v>100</v>
      </c>
      <c r="V34" s="667" t="s">
        <v>14</v>
      </c>
      <c r="W34" s="668">
        <f t="shared" si="12"/>
        <v>102</v>
      </c>
      <c r="X34" s="1265"/>
      <c r="Y34" s="3410"/>
      <c r="Z34" s="1264" t="str">
        <f t="shared" si="13"/>
        <v>宗地面积</v>
      </c>
      <c r="AA34" s="1264">
        <f t="shared" si="3"/>
        <v>1</v>
      </c>
      <c r="AB34" s="1264">
        <f t="shared" si="4"/>
        <v>1</v>
      </c>
      <c r="AC34" s="1264">
        <f t="shared" si="5"/>
        <v>0.98039215686274506</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v>2</v>
      </c>
      <c r="L35" s="2493"/>
      <c r="M35" s="2488"/>
      <c r="N35" s="2488"/>
      <c r="O35" s="2543"/>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
      <c r="A36" s="410"/>
      <c r="B36" s="364" t="s">
        <v>1877</v>
      </c>
      <c r="C36" s="1828" t="s">
        <v>3606</v>
      </c>
      <c r="D36" s="119">
        <v>100</v>
      </c>
      <c r="E36" s="1828" t="s">
        <v>3608</v>
      </c>
      <c r="F36" s="374">
        <f>SUMIF(112:112,E36,113:113)-SUMIF(112:112,C36,113:113)+100</f>
        <v>99</v>
      </c>
      <c r="G36" s="1828" t="s">
        <v>3608</v>
      </c>
      <c r="H36" s="374">
        <f>SUMIF(112:112,G36,113:113)-SUMIF(112:112,C36,113:113)+100</f>
        <v>99</v>
      </c>
      <c r="I36" s="1828" t="s">
        <v>3604</v>
      </c>
      <c r="J36" s="374">
        <f>SUMIF(112:112,I36,113:113)-SUMIF(112:112,C36,113:113)+100</f>
        <v>101</v>
      </c>
      <c r="K36" s="538">
        <v>1</v>
      </c>
      <c r="L36" s="2489"/>
      <c r="M36" s="2440"/>
      <c r="N36" s="2440"/>
      <c r="O36" s="2541"/>
      <c r="P36" s="3410"/>
      <c r="Q36" s="1263" t="str">
        <f t="shared" si="14"/>
        <v>宗地开发程度</v>
      </c>
      <c r="R36" s="664" t="s">
        <v>14</v>
      </c>
      <c r="S36" s="665">
        <f t="shared" si="10"/>
        <v>99</v>
      </c>
      <c r="T36" s="664" t="s">
        <v>14</v>
      </c>
      <c r="U36" s="665">
        <f t="shared" si="11"/>
        <v>99</v>
      </c>
      <c r="V36" s="664" t="s">
        <v>14</v>
      </c>
      <c r="W36" s="665">
        <f t="shared" si="12"/>
        <v>101</v>
      </c>
      <c r="X36" s="666"/>
      <c r="Y36" s="3410"/>
      <c r="Z36" s="50" t="str">
        <f t="shared" si="13"/>
        <v>宗地开发程度</v>
      </c>
      <c r="AA36" s="50">
        <f t="shared" si="3"/>
        <v>1.0101010101010102</v>
      </c>
      <c r="AB36" s="50">
        <f t="shared" si="4"/>
        <v>1.0101010101010102</v>
      </c>
      <c r="AC36" s="50">
        <f t="shared" si="5"/>
        <v>0.99009900990099009</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ht="15">
      <c r="A41" s="416" t="s">
        <v>1844</v>
      </c>
      <c r="B41" s="1830" t="s">
        <v>3602</v>
      </c>
      <c r="C41" s="602" t="s">
        <v>0</v>
      </c>
      <c r="D41" s="418"/>
      <c r="E41" s="419">
        <f>土地案例!Q11</f>
        <v>1038.5374855824682</v>
      </c>
      <c r="F41" s="420"/>
      <c r="G41" s="421">
        <f>土地案例!Q12</f>
        <v>1055.0204516403919</v>
      </c>
      <c r="H41" s="422"/>
      <c r="I41" s="419">
        <f>土地案例!Q19</f>
        <v>1097.2212378491447</v>
      </c>
      <c r="J41" s="422"/>
      <c r="K41" s="674"/>
      <c r="L41" s="2495"/>
      <c r="M41" s="2488"/>
      <c r="N41" s="2488"/>
      <c r="O41" s="2488"/>
      <c r="P41" s="3404" t="str">
        <f>A41</f>
        <v>成交单价</v>
      </c>
      <c r="Q41" s="3404"/>
      <c r="R41" s="3399">
        <f>E41</f>
        <v>1038.5374855824682</v>
      </c>
      <c r="S41" s="3399"/>
      <c r="T41" s="3399">
        <f>G41</f>
        <v>1055.0204516403919</v>
      </c>
      <c r="U41" s="3399"/>
      <c r="V41" s="3399">
        <f>I41</f>
        <v>1097.2212378491447</v>
      </c>
      <c r="W41" s="3399"/>
      <c r="X41" s="385"/>
      <c r="Y41" s="673"/>
      <c r="Z41" s="385"/>
      <c r="AA41" s="385"/>
      <c r="AB41" s="385"/>
      <c r="AC41" s="385"/>
    </row>
    <row r="42" spans="1:31" ht="15.75" thickBot="1">
      <c r="A42" s="423" t="s">
        <v>1793</v>
      </c>
      <c r="B42" s="603"/>
      <c r="C42" s="426">
        <f>R43</f>
        <v>949</v>
      </c>
      <c r="D42" s="2141" t="s">
        <v>2137</v>
      </c>
      <c r="E42" s="426">
        <f>R42</f>
        <v>945</v>
      </c>
      <c r="F42" s="2142"/>
      <c r="G42" s="425">
        <f>T42</f>
        <v>960</v>
      </c>
      <c r="H42" s="2142"/>
      <c r="I42" s="426">
        <f>V42</f>
        <v>941</v>
      </c>
      <c r="J42" s="2142"/>
      <c r="K42" s="2144">
        <f>F42+H42+J42</f>
        <v>0</v>
      </c>
      <c r="L42" s="2495"/>
      <c r="M42" s="2488"/>
      <c r="N42" s="2488"/>
      <c r="O42" s="2488"/>
      <c r="P42" s="3404" t="str">
        <f>A42</f>
        <v>比较价值（元/平方米）</v>
      </c>
      <c r="Q42" s="3404"/>
      <c r="R42" s="3431">
        <f>ROUND(PRODUCT(R41,AA7:AA40),0)</f>
        <v>945</v>
      </c>
      <c r="S42" s="3431"/>
      <c r="T42" s="3431">
        <f>ROUND(PRODUCT(T41,AB7:AB40),0)</f>
        <v>960</v>
      </c>
      <c r="U42" s="3431"/>
      <c r="V42" s="3431">
        <f>ROUND(PRODUCT(V41,AC7:AC40),0)</f>
        <v>941</v>
      </c>
      <c r="W42" s="3431"/>
      <c r="X42" s="385"/>
      <c r="Y42" s="385"/>
      <c r="Z42" s="385"/>
      <c r="AA42" s="385"/>
      <c r="AB42" s="385"/>
      <c r="AC42" s="385"/>
    </row>
    <row r="43" spans="1:31" ht="15.75" thickBot="1">
      <c r="A43" s="427" t="s">
        <v>1794</v>
      </c>
      <c r="B43" s="428"/>
      <c r="C43" s="429">
        <f>R43</f>
        <v>949</v>
      </c>
      <c r="D43" s="429"/>
      <c r="E43" s="429"/>
      <c r="F43" s="429"/>
      <c r="G43" s="429"/>
      <c r="H43" s="429"/>
      <c r="I43" s="429"/>
      <c r="J43" s="429"/>
      <c r="K43" s="675"/>
      <c r="L43" s="2495"/>
      <c r="M43" s="2488"/>
      <c r="N43" s="2488"/>
      <c r="O43" s="2488"/>
      <c r="P43" s="3401" t="str">
        <f>A43</f>
        <v>估价对象XX用房的比较价值（楼面单价，元/平方米）</v>
      </c>
      <c r="Q43" s="3402"/>
      <c r="R43" s="3432">
        <f>ROUND(IF(D42="简单平均",AVERAGE(R42:W42),R42*F42+T42*H42+V42*J42),0)</f>
        <v>949</v>
      </c>
      <c r="S43" s="3432"/>
      <c r="T43" s="3432"/>
      <c r="U43" s="3432"/>
      <c r="V43" s="3432"/>
      <c r="W43" s="343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f>IF(E41&lt;E42,E42/E41-1,E41/E42-1)</f>
        <v>9.8981466224834058E-2</v>
      </c>
      <c r="F46" s="435" t="str">
        <f>IF(OR(E46&gt;=0.3,E46&lt;=-0.3),"超过30%","")</f>
        <v/>
      </c>
      <c r="G46" s="434">
        <f>IF(G41&lt;G42,G42/G41-1,G41/G42-1)</f>
        <v>9.8979637125408138E-2</v>
      </c>
      <c r="H46" s="435" t="str">
        <f>IF(OR(G46&gt;=0.3,G46&lt;=-0.3),"超过30%","")</f>
        <v/>
      </c>
      <c r="I46" s="434">
        <f>IF(I41&lt;I42,I42/I41-1,I41/I42-1)</f>
        <v>0.16601619325095074</v>
      </c>
      <c r="J46" s="435" t="str">
        <f>IF(OR(I46&gt;=0.3,I46&lt;=-0.3),"超过30%","")</f>
        <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f>IF(E42&lt;G42,G42/E42-1,E42/G42-1)</f>
        <v>1.5873015873015817E-2</v>
      </c>
      <c r="F47" s="435" t="str">
        <f>IF(OR(E47&gt;=0.2,E47&lt;=-0.2),"超过20%","")</f>
        <v/>
      </c>
      <c r="G47" s="434">
        <f>IF(G42&lt;I42,I42/G42-1,G42/I42-1)</f>
        <v>2.0191285866099973E-2</v>
      </c>
      <c r="H47" s="435" t="str">
        <f>IF(OR(G47&gt;=0.2,G47&lt;=-0.2),"超过20%","")</f>
        <v/>
      </c>
      <c r="I47" s="434">
        <f>IF(I42&lt;E42,E42/I42-1,I42/E42-1)</f>
        <v>4.2507970244420878E-3</v>
      </c>
      <c r="J47" s="435" t="str">
        <f>IF(OR(I47&gt;=0.2,I47&lt;=-0.2),"超过20%","")</f>
        <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f>IF(E41&lt;G41,G41/E41-1,E41/G41-1)</f>
        <v>1.5871325095867084E-2</v>
      </c>
      <c r="F48" s="435" t="str">
        <f>IF(OR(E48&gt;=0.3,E48&lt;=-0.3),"超过30%","")</f>
        <v/>
      </c>
      <c r="G48" s="434">
        <f>IF(G41&lt;I41,I41/G41-1,G41/I41-1)</f>
        <v>3.9999969804506819E-2</v>
      </c>
      <c r="H48" s="435" t="str">
        <f>IF(OR(G48&gt;=0.3,G48&lt;=-0.3),"超过30%","")</f>
        <v/>
      </c>
      <c r="I48" s="434">
        <f>IF(I41&lt;E41,E41/I41-1,I41/E41-1)</f>
        <v>5.6506147424965958E-2</v>
      </c>
      <c r="J48" s="435" t="str">
        <f>IF(OR(I48&gt;=0.3,I48&lt;=-0.3),"超过30%","")</f>
        <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7" t="s">
        <v>1887</v>
      </c>
      <c r="H50" s="3433"/>
      <c r="I50" s="1264" t="s">
        <v>1922</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f>C43</f>
        <v>949</v>
      </c>
      <c r="C51" s="610">
        <v>1</v>
      </c>
      <c r="D51" s="890">
        <v>1</v>
      </c>
      <c r="E51" s="610">
        <f>'数据-汇总表'!E8+'数据-汇总表'!E9</f>
        <v>6998.6</v>
      </c>
      <c r="F51" s="611">
        <f t="shared" ref="F51:F60" si="15">ROUND(B51*E51/10000,0)</f>
        <v>664</v>
      </c>
      <c r="G51" s="3386"/>
      <c r="H51" s="340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f>ROUND($C$43*C52*D52,0)</f>
        <v>0</v>
      </c>
      <c r="C52" s="163">
        <f t="shared" ref="C52:C60" si="16">IF($C$50="北京市系数",I52,J52)</f>
        <v>0</v>
      </c>
      <c r="D52" s="891">
        <v>0.25</v>
      </c>
      <c r="E52" s="614"/>
      <c r="F52" s="611">
        <f t="shared" si="15"/>
        <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f t="shared" ref="B53:B60" si="17">ROUND($C$43*C53*D53,0)</f>
        <v>0</v>
      </c>
      <c r="C53" s="163">
        <f t="shared" si="16"/>
        <v>0</v>
      </c>
      <c r="D53" s="891">
        <v>0.25</v>
      </c>
      <c r="E53" s="614"/>
      <c r="F53" s="611">
        <f t="shared" si="15"/>
        <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f t="shared" si="17"/>
        <v>0</v>
      </c>
      <c r="C54" s="163">
        <f t="shared" si="16"/>
        <v>0</v>
      </c>
      <c r="D54" s="891">
        <v>0.25</v>
      </c>
      <c r="E54" s="614"/>
      <c r="F54" s="611">
        <f t="shared" si="15"/>
        <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6998.6</v>
      </c>
      <c r="F61" s="617">
        <f>IF(B41="楼面地价",SUM(F51:F60),ROUND(C43*E61/10000,0))</f>
        <v>664</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f>C66-$C$67</f>
        <v>100</v>
      </c>
      <c r="E66" s="6">
        <f t="shared" ref="E66:J66" si="20">D66-$C$67</f>
        <v>100</v>
      </c>
      <c r="F66" s="6">
        <f t="shared" si="20"/>
        <v>100</v>
      </c>
      <c r="G66" s="6">
        <f t="shared" si="20"/>
        <v>100</v>
      </c>
      <c r="H66" s="6">
        <f t="shared" si="20"/>
        <v>100</v>
      </c>
      <c r="I66" s="6">
        <f t="shared" si="20"/>
        <v>100</v>
      </c>
      <c r="J66" s="6">
        <f t="shared" si="20"/>
        <v>100</v>
      </c>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v>0</v>
      </c>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3150" t="s">
        <v>3603</v>
      </c>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0（含）-</v>
      </c>
      <c r="D74" s="478" t="str">
        <f t="shared" ref="D74:L74" si="21">D75&amp;"（含）"&amp;"-"&amp;E75</f>
        <v>（含）-</v>
      </c>
      <c r="E74" s="478" t="str">
        <f t="shared" si="21"/>
        <v>（含）-</v>
      </c>
      <c r="F74" s="478" t="str">
        <f t="shared" si="21"/>
        <v>（含）-</v>
      </c>
      <c r="G74" s="478" t="str">
        <f t="shared" si="21"/>
        <v>（含）-</v>
      </c>
      <c r="H74" s="478" t="str">
        <f t="shared" si="21"/>
        <v>（含）-</v>
      </c>
      <c r="I74" s="478" t="str">
        <f t="shared" si="21"/>
        <v>（含）-</v>
      </c>
      <c r="J74" s="478" t="str">
        <f t="shared" si="21"/>
        <v>（含）-</v>
      </c>
      <c r="K74" s="478" t="str">
        <f t="shared" si="21"/>
        <v>（含）-</v>
      </c>
      <c r="L74" s="478" t="str">
        <f t="shared" si="21"/>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v>0</v>
      </c>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2">IF($B$41="单位面积地价",D76+$K11,D76-$K11)</f>
        <v>100</v>
      </c>
      <c r="F76" s="475">
        <f t="shared" si="22"/>
        <v>100</v>
      </c>
      <c r="G76" s="475">
        <f t="shared" si="22"/>
        <v>100</v>
      </c>
      <c r="H76" s="475">
        <f t="shared" si="22"/>
        <v>100</v>
      </c>
      <c r="I76" s="475">
        <f t="shared" si="22"/>
        <v>100</v>
      </c>
      <c r="J76" s="475">
        <f t="shared" si="22"/>
        <v>100</v>
      </c>
      <c r="K76" s="475">
        <f t="shared" si="22"/>
        <v>100</v>
      </c>
      <c r="L76" s="475">
        <f t="shared" si="22"/>
        <v>100</v>
      </c>
      <c r="M76" s="475">
        <f t="shared" si="22"/>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98</v>
      </c>
      <c r="E84" s="475">
        <f>D84-$K15</f>
        <v>96</v>
      </c>
      <c r="F84" s="475">
        <f>E84-$K15</f>
        <v>94</v>
      </c>
      <c r="G84" s="475">
        <f>F84-$K15</f>
        <v>92</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98</v>
      </c>
      <c r="E86" s="475">
        <f>D86-$K17</f>
        <v>96</v>
      </c>
      <c r="F86" s="475">
        <f>E86-$K17</f>
        <v>94</v>
      </c>
      <c r="G86" s="475">
        <f>F86-$K17</f>
        <v>92</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28.5">
      <c r="A107" s="379" t="s">
        <v>1694</v>
      </c>
      <c r="B107" s="460" t="s">
        <v>1913</v>
      </c>
      <c r="C107" s="461" t="str">
        <f t="shared" ref="C107:L107" si="26">C108&amp;"(含)"&amp;"-"&amp;D108</f>
        <v>0(含)-50000</v>
      </c>
      <c r="D107" s="461" t="str">
        <f t="shared" si="26"/>
        <v>50000(含)-100000</v>
      </c>
      <c r="E107" s="461" t="str">
        <f t="shared" si="26"/>
        <v>100000(含)-150000</v>
      </c>
      <c r="F107" s="461" t="str">
        <f t="shared" si="26"/>
        <v>150000(含)-</v>
      </c>
      <c r="G107" s="461" t="str">
        <f t="shared" si="26"/>
        <v>(含)-</v>
      </c>
      <c r="H107" s="461" t="str">
        <f t="shared" si="26"/>
        <v>(含)-</v>
      </c>
      <c r="I107" s="461" t="str">
        <f t="shared" si="26"/>
        <v>(含)-</v>
      </c>
      <c r="J107" s="461" t="str">
        <f t="shared" si="26"/>
        <v>(含)-</v>
      </c>
      <c r="K107" s="1246" t="str">
        <f t="shared" si="26"/>
        <v>(含)-</v>
      </c>
      <c r="L107" s="1246" t="str">
        <f t="shared" si="26"/>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v>0</v>
      </c>
      <c r="D108" s="6">
        <v>50000</v>
      </c>
      <c r="E108" s="6">
        <v>100000</v>
      </c>
      <c r="F108" s="6">
        <v>150000</v>
      </c>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v>100</v>
      </c>
      <c r="D109" s="521">
        <v>101</v>
      </c>
      <c r="E109" s="521">
        <v>102</v>
      </c>
      <c r="F109" s="521">
        <v>103</v>
      </c>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7">C111-$K35</f>
        <v>98</v>
      </c>
      <c r="E111" s="475">
        <f t="shared" si="27"/>
        <v>96</v>
      </c>
      <c r="F111" s="475">
        <f t="shared" si="27"/>
        <v>94</v>
      </c>
      <c r="G111" s="475">
        <f t="shared" si="27"/>
        <v>92</v>
      </c>
      <c r="H111" s="475">
        <f t="shared" si="27"/>
        <v>90</v>
      </c>
      <c r="I111" s="475">
        <f t="shared" si="27"/>
        <v>88</v>
      </c>
      <c r="J111" s="475">
        <f t="shared" si="27"/>
        <v>86</v>
      </c>
      <c r="K111" s="475">
        <f t="shared" si="27"/>
        <v>84</v>
      </c>
      <c r="L111" s="475">
        <f t="shared" si="27"/>
        <v>82</v>
      </c>
      <c r="M111" s="476">
        <f t="shared" si="27"/>
        <v>80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3151" t="s">
        <v>3605</v>
      </c>
      <c r="D112" s="3151" t="s">
        <v>3607</v>
      </c>
      <c r="E112" s="3151" t="s">
        <v>3609</v>
      </c>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9">C115-$K37</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41" t="s">
        <v>2083</v>
      </c>
      <c r="D1" s="3442"/>
      <c r="E1" s="3442"/>
      <c r="F1" s="3442"/>
      <c r="G1" s="3442"/>
      <c r="H1" s="3442"/>
      <c r="I1" s="3442"/>
      <c r="J1" s="3442"/>
      <c r="K1" s="3442"/>
      <c r="L1" s="3442"/>
      <c r="M1" s="3442"/>
      <c r="N1" s="3442"/>
      <c r="O1" s="3442"/>
      <c r="P1" s="3442"/>
      <c r="Q1" s="3442"/>
      <c r="R1" s="3442"/>
      <c r="S1" s="3443"/>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f ca="1">SUMIF(B6:B13,"&lt;&gt;#ref!",B6:B13)</f>
        <v>1729</v>
      </c>
      <c r="C2" s="1984" t="s">
        <v>2073</v>
      </c>
      <c r="D2" s="1984" t="s">
        <v>2074</v>
      </c>
      <c r="E2" s="2398">
        <f ca="1">SUMIF(E6:E13,"&lt;&gt;#ref!",E6:E13)</f>
        <v>14034</v>
      </c>
      <c r="F2" s="2545"/>
      <c r="G2" s="2545"/>
      <c r="H2" s="2545"/>
      <c r="I2" s="2545"/>
      <c r="J2" s="2545"/>
      <c r="K2" s="2545"/>
      <c r="L2" s="2545"/>
      <c r="M2" s="2545"/>
      <c r="N2" s="2545"/>
      <c r="O2" s="2545"/>
      <c r="P2" s="2545"/>
    </row>
    <row r="3" spans="1:16" ht="15.75">
      <c r="A3" s="1984" t="s">
        <v>2075</v>
      </c>
      <c r="B3" s="2388">
        <f ca="1">ROUND(B2*10000/E2,0)</f>
        <v>1232</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f ca="1">SUMIF(INDIRECT("'"&amp;A6&amp;"'"&amp;"!A:A"),"总价",INDIRECT("'"&amp;A6&amp;"'"&amp;"!B:B"))</f>
        <v>1729</v>
      </c>
      <c r="C6" s="1984" t="s">
        <v>2073</v>
      </c>
      <c r="D6" s="2545"/>
      <c r="E6" s="2398">
        <f ca="1">SUMIF(INDIRECT("'"&amp;A6&amp;"'"&amp;"!C:C"),"建筑面积",INDIRECT("'"&amp;A6&amp;"'"&amp;"!D:D"))</f>
        <v>14034</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C89" sqref="C8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14034</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f>C30</f>
        <v>1729</v>
      </c>
      <c r="C2" s="1846" t="s">
        <v>1934</v>
      </c>
      <c r="D2" s="162" t="s">
        <v>1935</v>
      </c>
      <c r="E2" s="3121" t="s">
        <v>3</v>
      </c>
      <c r="F2" s="162" t="s">
        <v>1936</v>
      </c>
      <c r="G2" s="163" t="str">
        <f>IF(E2="商业",项目基本情况!B37,IF(E2="办公",项目基本情况!C37,IF(E2="住宅",项目基本情况!D37,IF(E2="工业",项目基本情况!E37,项目基本情况!F37))))</f>
        <v>八级</v>
      </c>
      <c r="H2" s="162" t="s">
        <v>1937</v>
      </c>
      <c r="I2" s="163" t="str">
        <f>IF(E2="商业",项目基本情况!B38,IF(E2="办公",项目基本情况!C38,IF(E2="住宅",项目基本情况!D38,IF(E2="工业",项目基本情况!E38,项目基本情况!F38))))</f>
        <v>Ⅷ-兴3</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1900</v>
      </c>
      <c r="U2" s="1130"/>
      <c r="V2" s="3064">
        <f>ROUND(T2*U2/10000,0)</f>
        <v>0</v>
      </c>
      <c r="W2" s="1133"/>
      <c r="X2" s="1133"/>
      <c r="Y2" s="1133"/>
      <c r="Z2" s="1133"/>
      <c r="AA2" s="1133"/>
      <c r="AB2" s="1133"/>
      <c r="AC2" s="1134"/>
      <c r="AD2" s="1135"/>
      <c r="AE2" s="1135"/>
      <c r="AF2" s="1135"/>
      <c r="AG2" s="1135"/>
      <c r="AH2" s="1135"/>
      <c r="AI2" s="1135"/>
      <c r="AJ2" s="1136"/>
    </row>
    <row r="3" spans="1:36" ht="15.75">
      <c r="A3" s="195" t="s">
        <v>1939</v>
      </c>
      <c r="B3" s="196">
        <f>ROUND(B2*10000/D1,0)</f>
        <v>1232</v>
      </c>
      <c r="C3" s="1846" t="s">
        <v>1940</v>
      </c>
      <c r="D3" s="162" t="s">
        <v>1941</v>
      </c>
      <c r="E3" s="3119" t="s">
        <v>2481</v>
      </c>
      <c r="F3" s="1848" t="s">
        <v>3396</v>
      </c>
      <c r="G3" s="708">
        <f>IF(F3="宗地容积率",'数据-汇总表'!I4,IF(F3="估价对象容积率",'数据-汇总表'!I6,'数据-汇总表'!I7))</f>
        <v>1</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1464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1195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f>ROUND(IF(E2="商业",C6*C7*C17+C20,(IF(E2="住宅",C6*C13*C17+C20,IF(E2="办公",C6*C12*C17+C20,C6+C20)))),0)</f>
        <v>1210</v>
      </c>
      <c r="D5" s="1252">
        <f>ROUND(C6*C17+C20,0)</f>
        <v>1210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1014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1170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924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3243</v>
      </c>
      <c r="B7" s="1865" t="s">
        <v>1951</v>
      </c>
      <c r="C7" s="711">
        <f>IF(C8="不临65条商业街",1,ROUND(1+(1.6*E8+1.2*E9+0.8*E10+0.4*E11)*C9,4))</f>
        <v>1</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1954</v>
      </c>
      <c r="X7" s="1131" t="str">
        <f>G2</f>
        <v>八级</v>
      </c>
      <c r="Y7" s="1131" t="s">
        <v>1955</v>
      </c>
      <c r="Z7" s="1132">
        <f>G3</f>
        <v>1</v>
      </c>
      <c r="AA7" s="1133"/>
      <c r="AB7" s="1133"/>
      <c r="AC7" s="1134"/>
      <c r="AD7" s="1135"/>
      <c r="AE7" s="1135"/>
      <c r="AF7" s="1135"/>
      <c r="AG7" s="1135"/>
      <c r="AH7" s="1135"/>
      <c r="AI7" s="1135"/>
      <c r="AJ7" s="1136"/>
    </row>
    <row r="8" spans="1:36" ht="25.5">
      <c r="A8" s="3010"/>
      <c r="B8" s="162" t="s">
        <v>1956</v>
      </c>
      <c r="C8" s="1870" t="s">
        <v>3397</v>
      </c>
      <c r="D8" s="712" t="s">
        <v>112</v>
      </c>
      <c r="E8" s="713" t="e">
        <f>ROUND(C11/E7,4)</f>
        <v>#DIV/0!</v>
      </c>
      <c r="F8" s="1871" t="s">
        <v>1957</v>
      </c>
      <c r="G8" s="1872"/>
      <c r="H8" s="1872"/>
      <c r="I8" s="1872"/>
      <c r="J8" s="1873"/>
      <c r="K8" s="1056"/>
      <c r="L8" s="1847" t="s">
        <v>1958</v>
      </c>
      <c r="M8" s="811">
        <f>SUMPRODUCT((区片价!B234:B276=I2)*(区片价!C3:G3=E2)*(区片价!C234:G276))</f>
        <v>1170</v>
      </c>
      <c r="N8" s="813">
        <f>SUMPRODUCT((因素修正幅度!B234:B276=I2)*(因素修正幅度!C3:G3=E2)*(因素修正幅度!C234:G276))</f>
        <v>0.14799999999999999</v>
      </c>
      <c r="O8" s="1056"/>
      <c r="P8" s="1056"/>
      <c r="Q8" s="1056"/>
      <c r="R8" s="1129">
        <v>7</v>
      </c>
      <c r="S8" s="1130"/>
      <c r="T8" s="3064">
        <f t="shared" si="0"/>
        <v>0</v>
      </c>
      <c r="U8" s="1130"/>
      <c r="V8" s="3064">
        <f t="shared" si="1"/>
        <v>0</v>
      </c>
      <c r="W8" s="3448" t="s">
        <v>1959</v>
      </c>
      <c r="X8" s="3449"/>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0"/>
      <c r="X9" s="3065" t="s">
        <v>3274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3244</v>
      </c>
      <c r="B12" s="3014" t="s">
        <v>3245</v>
      </c>
      <c r="C12" s="3015"/>
      <c r="D12" s="3016" t="s">
        <v>3246</v>
      </c>
      <c r="E12" s="3017" t="s">
        <v>3247</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3248</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3249</v>
      </c>
      <c r="G14" s="3021" t="s">
        <v>3249</v>
      </c>
      <c r="H14" s="3021" t="s">
        <v>3249</v>
      </c>
      <c r="I14" s="3021" t="s">
        <v>3249</v>
      </c>
      <c r="J14" s="3021" t="s">
        <v>3249</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3250</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3251</v>
      </c>
      <c r="B17" s="3028" t="s">
        <v>3252</v>
      </c>
      <c r="C17" s="3037">
        <f>ROUND(IF(OR(E2="工业",E2="公共服务"),1,IF(AND(E18=0,E19=0),1,IF(AND(E18=J24,E19=G19),0.8,IF(E19=0,1+E17*(-0.2),1+E17*G17*(-0.2))))),4)</f>
        <v>1</v>
      </c>
      <c r="D17" s="3029" t="s">
        <v>3253</v>
      </c>
      <c r="E17" s="3037">
        <f>ROUND(G18/I18,2)</f>
        <v>0</v>
      </c>
      <c r="F17" s="3029" t="s">
        <v>3256</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3254</v>
      </c>
      <c r="E18" s="2357"/>
      <c r="F18" s="3031" t="s">
        <v>3257</v>
      </c>
      <c r="G18" s="3035">
        <f>ROUND(1-(1/(POWER(1+G24,E18))),4)</f>
        <v>0</v>
      </c>
      <c r="H18" s="3031" t="s">
        <v>3259</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3255</v>
      </c>
      <c r="E19" s="3044"/>
      <c r="F19" s="3045" t="s">
        <v>3258</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5" t="s">
        <v>3260</v>
      </c>
      <c r="B20" s="159" t="s">
        <v>1993</v>
      </c>
      <c r="C20" s="3032">
        <f>ROUND(IF(F21="与级别开发程度一致",0,(G21-E21)/C21),0)</f>
        <v>40</v>
      </c>
      <c r="D20" s="3047" t="s">
        <v>1997</v>
      </c>
      <c r="E20" s="3048"/>
      <c r="F20" s="3461" t="s">
        <v>1994</v>
      </c>
      <c r="G20" s="3462"/>
      <c r="H20" s="3033" t="s">
        <v>3398</v>
      </c>
      <c r="I20" s="3033" t="s">
        <v>3399</v>
      </c>
      <c r="J20" s="3034" t="s">
        <v>3400</v>
      </c>
      <c r="K20" s="1889" t="s">
        <v>3401</v>
      </c>
      <c r="L20" s="1889" t="s">
        <v>3402</v>
      </c>
      <c r="M20" s="1889" t="s">
        <v>3403</v>
      </c>
      <c r="N20" s="1889"/>
      <c r="O20" s="1890" t="s">
        <v>3404</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6"/>
      <c r="B21" s="2002" t="s">
        <v>1996</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0</v>
      </c>
      <c r="O21" s="2005">
        <f>SUMPRODUCT((七通一平=O20)*(修正!B1:M1=G2)*(修正!B8:M16))</f>
        <v>10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1896" t="s">
        <v>2001</v>
      </c>
      <c r="E23" s="717">
        <v>44197</v>
      </c>
      <c r="F23" s="1896" t="s">
        <v>2002</v>
      </c>
      <c r="G23" s="718">
        <f>'数据-取费表'!B2</f>
        <v>44993</v>
      </c>
      <c r="H23" s="3049" t="s">
        <v>3262</v>
      </c>
      <c r="I23" s="3050" t="str">
        <f>IF(H23="季度增幅（自定义）",SUMIF(N25:N28,E2,O25:O28),"")</f>
        <v/>
      </c>
      <c r="J23" s="3142" t="s">
        <v>3261</v>
      </c>
      <c r="K23" s="1061"/>
      <c r="L23" s="1897" t="s">
        <v>2003</v>
      </c>
      <c r="M23" s="1241">
        <f>ROUND(SUMIF(地价!B2:G2,E2,地价!B16:G16),0)</f>
        <v>318</v>
      </c>
      <c r="N23" s="1898" t="s">
        <v>2004</v>
      </c>
      <c r="O23" s="719">
        <f>ROUNDDOWN(DATEDIF(E23,G23,"M")/3,0)</f>
        <v>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f>ROUND(POWER(1+G24,J24-I24)*(POWER(1+G24,I24)-1)/(POWER(1+G24,J24)-1),4)</f>
        <v>0.91569999999999996</v>
      </c>
      <c r="D24" s="1902" t="s">
        <v>2006</v>
      </c>
      <c r="E24" s="1248">
        <f>存贷款利率!E22/100</f>
        <v>4.3499999999999997E-2</v>
      </c>
      <c r="F24" s="1902" t="s">
        <v>1998</v>
      </c>
      <c r="G24" s="724">
        <f>SUMIF(M30:Q30,E2,M33:Q33)</f>
        <v>0.05</v>
      </c>
      <c r="H24" s="1902" t="s">
        <v>2007</v>
      </c>
      <c r="I24" s="725">
        <f>SUMIF('数据-取费表'!C6:C15,E2,'数据-取费表'!F6:F15)/COUNTIF('数据-取费表'!C6:C15,E2)</f>
        <v>37.03</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3341</v>
      </c>
      <c r="C25" s="461">
        <f>IF(B25="容积率修正",IF(G3&lt;10,D26,J26),C27)</f>
        <v>1</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3263</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3264</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1.0589999999999999</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f>IF(B25="容积率修正",E33+SUM(E37:E42),SUM(V2:V16)+SUM(E37:E42))</f>
        <v>1729</v>
      </c>
      <c r="D30" s="1925"/>
      <c r="E30" s="1842"/>
      <c r="F30" s="1926"/>
      <c r="G30" s="1842"/>
      <c r="H30" s="1842"/>
      <c r="I30" s="1842"/>
      <c r="J30" s="1927"/>
      <c r="K30" s="1056"/>
      <c r="L30" s="3056" t="s">
        <v>1935</v>
      </c>
      <c r="M30" s="3057" t="s">
        <v>1989</v>
      </c>
      <c r="N30" s="3057" t="s">
        <v>1990</v>
      </c>
      <c r="O30" s="3057" t="s">
        <v>1991</v>
      </c>
      <c r="P30" s="3057" t="s">
        <v>1992</v>
      </c>
      <c r="Q30" s="3060" t="s">
        <v>3268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f>E34+SUM(I37:I42)</f>
        <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f>ROUND(C5*C22*C23*C24*C25*C28,0)</f>
        <v>1232</v>
      </c>
      <c r="D33" s="1940">
        <f>'数据-基础表'!A3</f>
        <v>14034</v>
      </c>
      <c r="E33" s="727">
        <f>ROUND(C33*D33/10000,0)</f>
        <v>1729</v>
      </c>
      <c r="F33" s="3051" t="s">
        <v>3266</v>
      </c>
      <c r="G33" s="1941"/>
      <c r="H33" s="1941"/>
      <c r="I33" s="1941"/>
      <c r="J33" s="1942"/>
      <c r="K33" s="1056"/>
      <c r="L33" s="3054" t="s">
        <v>3269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f>ROUND(IF(E2="工业",C33*M42,IF(B25="楼层修正",SUM(V2:V16)*M41*10000/D34,C33*M41)),0)</f>
        <v>185</v>
      </c>
      <c r="D34" s="1945"/>
      <c r="E34" s="727">
        <f>ROUND(IF(B25="楼层修正",SUM(V2:V16)*M40,C34*D34/10000),0)</f>
        <v>0</v>
      </c>
      <c r="F34" s="1946" t="s">
        <v>2031</v>
      </c>
      <c r="G34" s="1947"/>
      <c r="H34" s="1947"/>
      <c r="I34" s="1947"/>
      <c r="J34" s="1948"/>
      <c r="K34" s="1056"/>
      <c r="L34" s="3054" t="s">
        <v>3270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3267</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3271</v>
      </c>
      <c r="L36" s="3143">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9"/>
      <c r="B37" s="1955" t="s">
        <v>2035</v>
      </c>
      <c r="C37" s="167">
        <f>ROUND(D5*C22*C23*C24*C28*F37,0)</f>
        <v>616</v>
      </c>
      <c r="D37" s="1940"/>
      <c r="E37" s="163">
        <f>ROUND(C37*D37/10000,0)</f>
        <v>0</v>
      </c>
      <c r="F37" s="163">
        <f>SUMIF(修正!A57:A68,G2,修正!B57:B68)</f>
        <v>0.5</v>
      </c>
      <c r="G37" s="163">
        <f>ROUND(IF(E2="工业",C37*$M$42,C37*$M$41),0)</f>
        <v>92</v>
      </c>
      <c r="H37" s="163">
        <f>D37</f>
        <v>0</v>
      </c>
      <c r="I37" s="163">
        <f>ROUND(G37*H37/10000,0)</f>
        <v>0</v>
      </c>
      <c r="J37" s="2755"/>
      <c r="K37" s="3062" t="s">
        <v>3272</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2036</v>
      </c>
      <c r="C38" s="167">
        <f>ROUND(D5*C22*C23*C24*C28*F38,0)</f>
        <v>246</v>
      </c>
      <c r="D38" s="1940"/>
      <c r="E38" s="163">
        <f t="shared" ref="E38:E42" si="4">ROUND(C38*D38/10000,0)</f>
        <v>0</v>
      </c>
      <c r="F38" s="163">
        <f>SUMIF(修正!A57:A68,G2,修正!C57:C68)</f>
        <v>0.2</v>
      </c>
      <c r="G38" s="163">
        <f>ROUND(IF(E2="工业",C38*$M$42,C38*$M$41),0)</f>
        <v>37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0"/>
      <c r="B39" s="1884" t="s">
        <v>3265</v>
      </c>
      <c r="C39" s="167">
        <f>ROUND(D5*C22*C23*C24*C28*F39,0)</f>
        <v>246</v>
      </c>
      <c r="D39" s="1940"/>
      <c r="E39" s="163">
        <f t="shared" si="4"/>
        <v>0</v>
      </c>
      <c r="F39" s="163">
        <f>SUMIF(修正!A57:A68,G2,修正!D57:D68)</f>
        <v>0.2</v>
      </c>
      <c r="G39" s="163">
        <f>ROUND(IF(E2="工业",C39*$M$42,C39*$M$41),0)</f>
        <v>37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246</v>
      </c>
      <c r="D40" s="1940"/>
      <c r="E40" s="163">
        <f t="shared" si="4"/>
        <v>0</v>
      </c>
      <c r="F40" s="167">
        <f>SUMIF(修正!A57:A68,G2,修正!E57:E68)</f>
        <v>0.2</v>
      </c>
      <c r="G40" s="163">
        <f>ROUND(IF(E2="工业",C40*$M$42,C40*$M$41),0)</f>
        <v>37</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3273</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1998</v>
      </c>
      <c r="E44" s="1991">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2058</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2059</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2058</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2059</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2058</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2059</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2060</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1.0589999999999999</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38.25">
      <c r="A83" s="1970" t="s">
        <v>2069</v>
      </c>
      <c r="B83" s="1262" t="str">
        <f>估价对象房地状况!G15</f>
        <v>估价对象位于XX开发区，园区建设成熟度XX，产业集聚程度XX</v>
      </c>
      <c r="C83" s="1887" t="s">
        <v>3405</v>
      </c>
      <c r="D83" s="1002">
        <f t="shared" ref="D83:D90" si="22">SUMIF($J$82:$N$82,C83,J83:N83)</f>
        <v>1.9199999999999998E-2</v>
      </c>
      <c r="E83" s="702">
        <f>ROUND(SUM(D83:D90),4)</f>
        <v>5.8999999999999997E-2</v>
      </c>
      <c r="F83" s="1675">
        <f>IF(E2="工业",SUMIF(L1:L12,G2,N1:N12),"——")</f>
        <v>0.14799999999999999</v>
      </c>
      <c r="G83" s="1000">
        <f>H83</f>
        <v>1.9199999999999998E-2</v>
      </c>
      <c r="H83" s="1003">
        <f t="shared" ref="H83:H90" si="23">IFERROR(ROUNDDOWN($F$83*I83/2,4),"——")</f>
        <v>1.9199999999999998E-2</v>
      </c>
      <c r="I83" s="3069">
        <v>0.26</v>
      </c>
      <c r="J83" s="1001">
        <f t="shared" ref="J83:J90" si="24">K83+$G83</f>
        <v>3.8399999999999997E-2</v>
      </c>
      <c r="K83" s="1001">
        <f t="shared" ref="K83:K90" si="25">$L83+$G83</f>
        <v>1.9199999999999998E-2</v>
      </c>
      <c r="L83" s="1001">
        <v>0</v>
      </c>
      <c r="M83" s="1001">
        <f t="shared" ref="M83:N90" si="26">L83-$G83</f>
        <v>-1.9199999999999998E-2</v>
      </c>
      <c r="N83" s="1001">
        <f t="shared" si="26"/>
        <v>-3.8399999999999997E-2</v>
      </c>
      <c r="Z83" s="1845"/>
      <c r="AA83" s="1895"/>
      <c r="AG83" s="1058"/>
      <c r="AK83" s="1895"/>
    </row>
    <row r="84" spans="1:37" ht="38.25">
      <c r="A84" s="1970" t="s">
        <v>2052</v>
      </c>
      <c r="B84" s="1262" t="str">
        <f>估价对象房地状况!G16</f>
        <v>估价对象周边道路状况、公共交通通达情况、停车便捷程度，综合评价交通便捷度较好</v>
      </c>
      <c r="C84" s="1887" t="s">
        <v>3405</v>
      </c>
      <c r="D84" s="1002">
        <f t="shared" si="22"/>
        <v>2.2200000000000001E-2</v>
      </c>
      <c r="E84" s="705"/>
      <c r="F84" s="1675"/>
      <c r="G84" s="1000">
        <f t="shared" ref="G84:G90" si="27">H84</f>
        <v>2.2200000000000001E-2</v>
      </c>
      <c r="H84" s="1003">
        <f t="shared" si="23"/>
        <v>2.2200000000000001E-2</v>
      </c>
      <c r="I84" s="3069">
        <v>0.3</v>
      </c>
      <c r="J84" s="1001">
        <f t="shared" si="24"/>
        <v>4.4400000000000002E-2</v>
      </c>
      <c r="K84" s="1001">
        <f t="shared" si="25"/>
        <v>2.2200000000000001E-2</v>
      </c>
      <c r="L84" s="1001">
        <v>0</v>
      </c>
      <c r="M84" s="1001">
        <f t="shared" si="26"/>
        <v>-2.2200000000000001E-2</v>
      </c>
      <c r="N84" s="1001">
        <f t="shared" si="26"/>
        <v>-4.4400000000000002E-2</v>
      </c>
      <c r="Z84" s="1845"/>
      <c r="AA84" s="1895"/>
      <c r="AG84" s="1058"/>
      <c r="AK84" s="1895"/>
    </row>
    <row r="85" spans="1:37" ht="36">
      <c r="A85" s="3071" t="s">
        <v>3276</v>
      </c>
      <c r="B85" s="1262">
        <f>估价对象房地状况!G17</f>
        <v>0</v>
      </c>
      <c r="C85" s="1887" t="s">
        <v>3405</v>
      </c>
      <c r="D85" s="1002">
        <f t="shared" si="22"/>
        <v>7.4000000000000003E-3</v>
      </c>
      <c r="E85" s="705"/>
      <c r="F85" s="1675"/>
      <c r="G85" s="1000">
        <f t="shared" si="27"/>
        <v>7.4000000000000003E-3</v>
      </c>
      <c r="H85" s="1003">
        <f t="shared" si="23"/>
        <v>7.4000000000000003E-3</v>
      </c>
      <c r="I85" s="3069">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25">
      <c r="A86" s="1970" t="s">
        <v>2066</v>
      </c>
      <c r="B86" s="1262">
        <f>估价对象房地状况!G22</f>
        <v>0</v>
      </c>
      <c r="C86" s="1887" t="s">
        <v>3407</v>
      </c>
      <c r="D86" s="1002">
        <f t="shared" si="22"/>
        <v>-7.4000000000000003E-3</v>
      </c>
      <c r="E86" s="705"/>
      <c r="F86" s="1675"/>
      <c r="G86" s="1000">
        <f t="shared" si="27"/>
        <v>3.7000000000000002E-3</v>
      </c>
      <c r="H86" s="1003">
        <f t="shared" si="23"/>
        <v>3.7000000000000002E-3</v>
      </c>
      <c r="I86" s="3069">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2058</v>
      </c>
      <c r="B87" s="1240" t="str">
        <f>估价对象房地状况!G19</f>
        <v>估价对象所在区域公共配套设施齐备情况</v>
      </c>
      <c r="C87" s="1887" t="s">
        <v>3406</v>
      </c>
      <c r="D87" s="1002">
        <f t="shared" si="22"/>
        <v>-4.4000000000000003E-3</v>
      </c>
      <c r="E87" s="705"/>
      <c r="F87" s="1675"/>
      <c r="G87" s="1000">
        <f t="shared" si="27"/>
        <v>4.4000000000000003E-3</v>
      </c>
      <c r="H87" s="1003">
        <f t="shared" si="23"/>
        <v>4.4000000000000003E-3</v>
      </c>
      <c r="I87" s="3069">
        <v>0.06</v>
      </c>
      <c r="J87" s="1001">
        <f t="shared" si="24"/>
        <v>8.8000000000000005E-3</v>
      </c>
      <c r="K87" s="1001">
        <f t="shared" si="25"/>
        <v>4.4000000000000003E-3</v>
      </c>
      <c r="L87" s="1001">
        <v>0</v>
      </c>
      <c r="M87" s="1001">
        <f t="shared" si="26"/>
        <v>-4.4000000000000003E-3</v>
      </c>
      <c r="N87" s="1001">
        <f t="shared" si="26"/>
        <v>-8.8000000000000005E-3</v>
      </c>
    </row>
    <row r="88" spans="1:37" ht="25.5">
      <c r="A88" s="1970" t="s">
        <v>2059</v>
      </c>
      <c r="B88" s="1240" t="str">
        <f>估价对象房地状况!G20</f>
        <v>估价对象所在区域基础设施水平</v>
      </c>
      <c r="C88" s="3155" t="s">
        <v>3408</v>
      </c>
      <c r="D88" s="1002">
        <f t="shared" si="22"/>
        <v>1.7600000000000001E-2</v>
      </c>
      <c r="E88" s="705"/>
      <c r="F88" s="1675"/>
      <c r="G88" s="1000">
        <f t="shared" si="27"/>
        <v>8.8000000000000005E-3</v>
      </c>
      <c r="H88" s="1003">
        <f t="shared" si="23"/>
        <v>8.8000000000000005E-3</v>
      </c>
      <c r="I88" s="3069">
        <v>0.12</v>
      </c>
      <c r="J88" s="1001">
        <f t="shared" si="24"/>
        <v>1.7600000000000001E-2</v>
      </c>
      <c r="K88" s="1001">
        <f t="shared" si="25"/>
        <v>8.8000000000000005E-3</v>
      </c>
      <c r="L88" s="1001">
        <v>0</v>
      </c>
      <c r="M88" s="1001">
        <f t="shared" si="26"/>
        <v>-8.8000000000000005E-3</v>
      </c>
      <c r="N88" s="1001">
        <f t="shared" si="26"/>
        <v>-1.7600000000000001E-2</v>
      </c>
    </row>
    <row r="89" spans="1:37" ht="24">
      <c r="A89" s="1970" t="s">
        <v>2056</v>
      </c>
      <c r="B89" s="1975" t="s">
        <v>2070</v>
      </c>
      <c r="C89" s="3155" t="s">
        <v>3405</v>
      </c>
      <c r="D89" s="1002">
        <f t="shared" si="22"/>
        <v>4.4000000000000003E-3</v>
      </c>
      <c r="E89" s="705"/>
      <c r="F89" s="1675"/>
      <c r="G89" s="1000">
        <f t="shared" si="27"/>
        <v>4.4000000000000003E-3</v>
      </c>
      <c r="H89" s="1003">
        <f t="shared" si="23"/>
        <v>4.4000000000000003E-3</v>
      </c>
      <c r="I89" s="3069">
        <v>0.06</v>
      </c>
      <c r="J89" s="1001">
        <f t="shared" si="24"/>
        <v>8.8000000000000005E-3</v>
      </c>
      <c r="K89" s="1001">
        <f t="shared" si="25"/>
        <v>4.4000000000000003E-3</v>
      </c>
      <c r="L89" s="1001">
        <v>0</v>
      </c>
      <c r="M89" s="1001">
        <f t="shared" si="26"/>
        <v>-4.4000000000000003E-3</v>
      </c>
      <c r="N89" s="1001">
        <f t="shared" si="26"/>
        <v>-8.8000000000000005E-3</v>
      </c>
    </row>
    <row r="90" spans="1:37" ht="39" thickBot="1">
      <c r="A90" s="1977" t="s">
        <v>2071</v>
      </c>
      <c r="B90" s="1982" t="str">
        <f>估价对象房地状况!G18</f>
        <v>该园区内是否有污染型企业，绿化情况，卫生条件，整体环境状况判断</v>
      </c>
      <c r="C90" s="1887" t="s">
        <v>3409</v>
      </c>
      <c r="D90" s="1002">
        <f t="shared" si="22"/>
        <v>0</v>
      </c>
      <c r="E90" s="706"/>
      <c r="F90" s="1675"/>
      <c r="G90" s="1000">
        <f t="shared" si="27"/>
        <v>3.7000000000000002E-3</v>
      </c>
      <c r="H90" s="1003">
        <f t="shared" si="23"/>
        <v>3.7000000000000002E-3</v>
      </c>
      <c r="I90" s="3070">
        <v>0.05</v>
      </c>
      <c r="J90" s="1001">
        <f t="shared" si="24"/>
        <v>7.4000000000000003E-3</v>
      </c>
      <c r="K90" s="1001">
        <f t="shared" si="25"/>
        <v>3.7000000000000002E-3</v>
      </c>
      <c r="L90" s="1001">
        <v>0</v>
      </c>
      <c r="M90" s="1001">
        <f t="shared" si="26"/>
        <v>-3.7000000000000002E-3</v>
      </c>
      <c r="N90" s="1001">
        <f t="shared" si="26"/>
        <v>-7.4000000000000003E-3</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3277</v>
      </c>
      <c r="B92" s="2310"/>
      <c r="C92" s="2310" t="s">
        <v>3286</v>
      </c>
      <c r="D92" s="2310" t="s">
        <v>3287</v>
      </c>
      <c r="E92" s="3053" t="s">
        <v>3288</v>
      </c>
      <c r="F92" s="3083" t="s">
        <v>3289</v>
      </c>
      <c r="G92" s="2310" t="s">
        <v>3290</v>
      </c>
      <c r="H92" s="3090" t="s">
        <v>3293</v>
      </c>
      <c r="I92" s="2310" t="s">
        <v>3294</v>
      </c>
      <c r="J92" s="2150" t="s">
        <v>3295</v>
      </c>
      <c r="K92" s="2150" t="s">
        <v>3296</v>
      </c>
      <c r="L92" s="2150" t="s">
        <v>3297</v>
      </c>
      <c r="M92" s="2150" t="s">
        <v>3298</v>
      </c>
      <c r="N92" s="2150" t="s">
        <v>3299</v>
      </c>
    </row>
    <row r="93" spans="1:37" ht="24">
      <c r="A93" s="3071" t="s">
        <v>3278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3279</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3275</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3280</v>
      </c>
      <c r="B96" s="3087" t="s">
        <v>3291</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3281</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3282</v>
      </c>
      <c r="B98" s="3088" t="s">
        <v>3292</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3283</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3284</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3285</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7" t="s">
        <v>3300</v>
      </c>
      <c r="B103" s="3457"/>
      <c r="C103" s="3457"/>
      <c r="D103" s="3457"/>
      <c r="E103" s="3457"/>
      <c r="F103" s="3457"/>
      <c r="G103" s="3457"/>
      <c r="H103" s="3457"/>
      <c r="I103" s="3457"/>
      <c r="J103" s="3457"/>
      <c r="K103" s="1667"/>
      <c r="L103" s="1667"/>
      <c r="M103" s="1667"/>
      <c r="N103" s="1667"/>
    </row>
    <row r="104" spans="1:14">
      <c r="A104" s="3458" t="s">
        <v>3301</v>
      </c>
      <c r="B104" s="3458" t="s">
        <v>3302</v>
      </c>
      <c r="C104" s="3091" t="s">
        <v>3303</v>
      </c>
      <c r="D104" s="3092"/>
      <c r="E104" s="3092"/>
      <c r="F104" s="3092"/>
      <c r="G104" s="3092"/>
      <c r="H104" s="3092"/>
      <c r="I104" s="3092"/>
      <c r="J104" s="3093"/>
      <c r="K104" s="3094"/>
      <c r="L104" s="3094"/>
      <c r="M104" s="3094"/>
      <c r="N104" s="3094"/>
    </row>
    <row r="105" spans="1:14">
      <c r="A105" s="3458"/>
      <c r="B105" s="3458"/>
      <c r="C105" s="3095" t="s">
        <v>3304</v>
      </c>
      <c r="D105" s="3095" t="s">
        <v>3305</v>
      </c>
      <c r="E105" s="3095" t="s">
        <v>3306</v>
      </c>
      <c r="F105" s="3095" t="s">
        <v>3307</v>
      </c>
      <c r="G105" s="3095" t="s">
        <v>3308</v>
      </c>
      <c r="H105" s="3095" t="s">
        <v>3309</v>
      </c>
      <c r="I105" s="3095" t="s">
        <v>3310</v>
      </c>
      <c r="J105" s="3095" t="s">
        <v>3311</v>
      </c>
      <c r="K105" s="3095" t="s">
        <v>3312</v>
      </c>
      <c r="L105" s="3095" t="s">
        <v>3313</v>
      </c>
      <c r="M105" s="3095" t="s">
        <v>3314</v>
      </c>
      <c r="N105" s="3095" t="s">
        <v>3315</v>
      </c>
    </row>
    <row r="106" spans="1:14">
      <c r="A106" s="3444" t="s">
        <v>3316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5"/>
      <c r="B111" s="3095" t="s">
        <v>3274</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6"/>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7" t="s">
        <v>3317</v>
      </c>
      <c r="B113" s="3447"/>
      <c r="C113" s="3447"/>
      <c r="D113" s="3447"/>
      <c r="E113" s="3447"/>
      <c r="F113" s="3447"/>
      <c r="G113" s="3447"/>
      <c r="H113" s="3447"/>
      <c r="I113" s="3447"/>
      <c r="J113" s="344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3318</v>
      </c>
      <c r="B116" s="3115">
        <f>G3</f>
        <v>1</v>
      </c>
      <c r="C116" s="3100" t="s">
        <v>3319</v>
      </c>
      <c r="D116" s="3101">
        <f>SUMPRODUCT((A118:A122=F116)*(B117:M117=H116)*B118:M122)</f>
        <v>0.57150000000000001</v>
      </c>
      <c r="E116" s="162" t="s">
        <v>3320</v>
      </c>
      <c r="F116" s="3102" t="str">
        <f>E2</f>
        <v>工业</v>
      </c>
      <c r="G116" s="162" t="s">
        <v>3321</v>
      </c>
      <c r="H116" s="3102" t="str">
        <f>G2</f>
        <v>八级</v>
      </c>
      <c r="I116" s="162"/>
      <c r="J116" s="3103"/>
      <c r="K116" s="3103"/>
      <c r="L116" s="3103"/>
      <c r="M116" s="3103"/>
      <c r="N116" s="3098"/>
    </row>
    <row r="117" spans="1:14">
      <c r="A117" s="3104"/>
      <c r="B117" s="3105" t="s">
        <v>3322</v>
      </c>
      <c r="C117" s="3105" t="s">
        <v>3323</v>
      </c>
      <c r="D117" s="3105" t="s">
        <v>3324</v>
      </c>
      <c r="E117" s="3106" t="s">
        <v>3325</v>
      </c>
      <c r="F117" s="3106" t="s">
        <v>3326</v>
      </c>
      <c r="G117" s="3106" t="s">
        <v>3327</v>
      </c>
      <c r="H117" s="3107" t="s">
        <v>3328</v>
      </c>
      <c r="I117" s="3107" t="s">
        <v>3329</v>
      </c>
      <c r="J117" s="3108" t="s">
        <v>3330</v>
      </c>
      <c r="K117" s="3108" t="s">
        <v>3331</v>
      </c>
      <c r="L117" s="3108" t="s">
        <v>3332</v>
      </c>
      <c r="M117" s="3109" t="s">
        <v>3333</v>
      </c>
      <c r="N117" s="3098"/>
    </row>
    <row r="118" spans="1:14">
      <c r="A118" s="3058" t="s">
        <v>3334</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3335</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3336</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3337</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2614</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70" t="s">
        <v>2609</v>
      </c>
      <c r="B20" s="3463" t="s">
        <v>2630</v>
      </c>
      <c r="C20" s="2843" t="s">
        <v>2441</v>
      </c>
      <c r="D20" s="2844"/>
      <c r="E20" s="2845">
        <v>1</v>
      </c>
      <c r="F20" s="2846" t="s">
        <v>2442</v>
      </c>
      <c r="G20" s="2846"/>
    </row>
    <row r="21" spans="1:13" ht="19.5" customHeight="1">
      <c r="A21" s="3471"/>
      <c r="B21" s="3464"/>
      <c r="C21" s="2847" t="s">
        <v>2443</v>
      </c>
      <c r="D21" s="2848"/>
      <c r="E21" s="2849">
        <v>1</v>
      </c>
      <c r="F21" s="2846" t="s">
        <v>2444</v>
      </c>
      <c r="G21" s="2846"/>
    </row>
    <row r="22" spans="1:13" ht="19.5" customHeight="1">
      <c r="A22" s="3471"/>
      <c r="B22" s="3464"/>
      <c r="C22" s="2847" t="s">
        <v>2445</v>
      </c>
      <c r="D22" s="2848"/>
      <c r="E22" s="2849">
        <v>0.9</v>
      </c>
      <c r="F22" s="2846" t="s">
        <v>2446</v>
      </c>
      <c r="G22" s="2846"/>
    </row>
    <row r="23" spans="1:13" ht="19.5" customHeight="1">
      <c r="A23" s="3471"/>
      <c r="B23" s="3464"/>
      <c r="C23" s="2847" t="s">
        <v>2447</v>
      </c>
      <c r="D23" s="2848"/>
      <c r="E23" s="2849">
        <v>0.9</v>
      </c>
      <c r="F23" s="2846" t="s">
        <v>2448</v>
      </c>
      <c r="G23" s="2846"/>
    </row>
    <row r="24" spans="1:13" ht="19.5" customHeight="1">
      <c r="A24" s="3471"/>
      <c r="B24" s="3464"/>
      <c r="C24" s="2847" t="s">
        <v>2449</v>
      </c>
      <c r="D24" s="2848"/>
      <c r="E24" s="2849">
        <v>0.8</v>
      </c>
      <c r="F24" s="2846" t="s">
        <v>2450</v>
      </c>
      <c r="G24" s="2846"/>
    </row>
    <row r="25" spans="1:13" ht="19.5" customHeight="1" thickBot="1">
      <c r="A25" s="3472"/>
      <c r="B25" s="3465"/>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66" t="s">
        <v>2633</v>
      </c>
      <c r="B27" s="3463" t="s">
        <v>2614</v>
      </c>
      <c r="C27" s="2843" t="s">
        <v>2454</v>
      </c>
      <c r="D27" s="2844"/>
      <c r="E27" s="2845">
        <v>1</v>
      </c>
      <c r="F27" s="2846" t="s">
        <v>2455</v>
      </c>
      <c r="G27" s="2846"/>
    </row>
    <row r="28" spans="1:13" ht="19.5" customHeight="1">
      <c r="A28" s="3467"/>
      <c r="B28" s="3464"/>
      <c r="C28" s="2847" t="s">
        <v>2456</v>
      </c>
      <c r="D28" s="2848"/>
      <c r="E28" s="2849">
        <v>1</v>
      </c>
      <c r="F28" s="2846" t="s">
        <v>2457</v>
      </c>
      <c r="G28" s="2846"/>
    </row>
    <row r="29" spans="1:13" ht="19.5" customHeight="1">
      <c r="A29" s="3467"/>
      <c r="B29" s="3464"/>
      <c r="C29" s="2847" t="s">
        <v>2458</v>
      </c>
      <c r="D29" s="2848"/>
      <c r="E29" s="2849">
        <v>0.8</v>
      </c>
      <c r="F29" s="2846" t="s">
        <v>2459</v>
      </c>
      <c r="G29" s="2846"/>
    </row>
    <row r="30" spans="1:13" ht="19.5" customHeight="1">
      <c r="A30" s="3467"/>
      <c r="B30" s="3464"/>
      <c r="C30" s="2847" t="s">
        <v>2460</v>
      </c>
      <c r="D30" s="2848"/>
      <c r="E30" s="2849">
        <v>0.8</v>
      </c>
      <c r="F30" s="2846" t="s">
        <v>2461</v>
      </c>
      <c r="G30" s="2846"/>
    </row>
    <row r="31" spans="1:13" ht="19.5" customHeight="1">
      <c r="A31" s="3467"/>
      <c r="B31" s="3464"/>
      <c r="C31" s="2847" t="s">
        <v>2462</v>
      </c>
      <c r="D31" s="2848"/>
      <c r="E31" s="2849">
        <v>0.8</v>
      </c>
      <c r="F31" s="2846" t="s">
        <v>2463</v>
      </c>
      <c r="G31" s="2846"/>
    </row>
    <row r="32" spans="1:13" ht="19.5" customHeight="1">
      <c r="A32" s="3467"/>
      <c r="B32" s="3464"/>
      <c r="C32" s="2847" t="s">
        <v>2464</v>
      </c>
      <c r="D32" s="2848"/>
      <c r="E32" s="2849">
        <v>0.7</v>
      </c>
      <c r="F32" s="2846" t="s">
        <v>2465</v>
      </c>
      <c r="G32" s="2846"/>
    </row>
    <row r="33" spans="1:7" ht="19.5" customHeight="1">
      <c r="A33" s="3467"/>
      <c r="B33" s="3464"/>
      <c r="C33" s="2847" t="s">
        <v>2466</v>
      </c>
      <c r="D33" s="2848"/>
      <c r="E33" s="2849">
        <v>0.8</v>
      </c>
      <c r="F33" s="2846" t="s">
        <v>2467</v>
      </c>
      <c r="G33" s="2846"/>
    </row>
    <row r="34" spans="1:7" ht="19.5" customHeight="1">
      <c r="A34" s="3467"/>
      <c r="B34" s="3464"/>
      <c r="C34" s="2847" t="s">
        <v>2468</v>
      </c>
      <c r="D34" s="2848"/>
      <c r="E34" s="2849">
        <v>0.6</v>
      </c>
      <c r="F34" s="2846" t="s">
        <v>2469</v>
      </c>
      <c r="G34" s="2846"/>
    </row>
    <row r="35" spans="1:7" ht="19.5" customHeight="1">
      <c r="A35" s="3467"/>
      <c r="B35" s="3464"/>
      <c r="C35" s="2847" t="s">
        <v>2470</v>
      </c>
      <c r="D35" s="2848"/>
      <c r="E35" s="2849">
        <v>0.2</v>
      </c>
      <c r="F35" s="2846" t="s">
        <v>2471</v>
      </c>
      <c r="G35" s="2846"/>
    </row>
    <row r="36" spans="1:7" ht="19.5" customHeight="1">
      <c r="A36" s="3467"/>
      <c r="B36" s="3464"/>
      <c r="C36" s="2847" t="s">
        <v>2472</v>
      </c>
      <c r="D36" s="2848"/>
      <c r="E36" s="2849">
        <v>0.2</v>
      </c>
      <c r="F36" s="2846" t="s">
        <v>2473</v>
      </c>
      <c r="G36" s="2846"/>
    </row>
    <row r="37" spans="1:7" ht="19.5" customHeight="1">
      <c r="A37" s="3467"/>
      <c r="B37" s="3469" t="s">
        <v>2634</v>
      </c>
      <c r="C37" s="2847" t="s">
        <v>2474</v>
      </c>
      <c r="D37" s="2848"/>
      <c r="E37" s="2849">
        <v>0.6</v>
      </c>
      <c r="F37" s="2846" t="s">
        <v>2475</v>
      </c>
      <c r="G37" s="2846"/>
    </row>
    <row r="38" spans="1:7" ht="19.5" customHeight="1">
      <c r="A38" s="3467"/>
      <c r="B38" s="3464"/>
      <c r="C38" s="2847" t="s">
        <v>2476</v>
      </c>
      <c r="D38" s="2848"/>
      <c r="E38" s="2849">
        <v>0.6</v>
      </c>
      <c r="F38" s="2846" t="s">
        <v>2477</v>
      </c>
      <c r="G38" s="2846"/>
    </row>
    <row r="39" spans="1:7" ht="19.5" customHeight="1" thickBot="1">
      <c r="A39" s="3468"/>
      <c r="B39" s="3465"/>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70" t="s">
        <v>2612</v>
      </c>
      <c r="B41" s="3463" t="s">
        <v>2636</v>
      </c>
      <c r="C41" s="2843" t="s">
        <v>2481</v>
      </c>
      <c r="D41" s="2844"/>
      <c r="E41" s="2845">
        <v>1</v>
      </c>
      <c r="F41" s="2846" t="s">
        <v>2482</v>
      </c>
      <c r="G41" s="2846"/>
    </row>
    <row r="42" spans="1:7" ht="19.5" customHeight="1">
      <c r="A42" s="3471"/>
      <c r="B42" s="3464"/>
      <c r="C42" s="2847" t="s">
        <v>2483</v>
      </c>
      <c r="D42" s="2848"/>
      <c r="E42" s="2849">
        <v>1</v>
      </c>
      <c r="F42" s="2846" t="s">
        <v>2484</v>
      </c>
      <c r="G42" s="2846"/>
    </row>
    <row r="43" spans="1:7" ht="19.5" customHeight="1">
      <c r="A43" s="3471"/>
      <c r="B43" s="3473"/>
      <c r="C43" s="2847" t="s">
        <v>2485</v>
      </c>
      <c r="D43" s="2848"/>
      <c r="E43" s="2849">
        <v>1.5</v>
      </c>
      <c r="F43" s="2846" t="s">
        <v>2486</v>
      </c>
      <c r="G43" s="2846"/>
    </row>
    <row r="44" spans="1:7" ht="19.5" customHeight="1">
      <c r="A44" s="3471"/>
      <c r="B44" s="2858" t="s">
        <v>2637</v>
      </c>
      <c r="C44" s="2847" t="s">
        <v>2638</v>
      </c>
      <c r="D44" s="2848"/>
      <c r="E44" s="2849">
        <v>2</v>
      </c>
      <c r="F44" s="2846" t="s">
        <v>2487</v>
      </c>
      <c r="G44" s="2846"/>
    </row>
    <row r="45" spans="1:7" ht="19.5" customHeight="1">
      <c r="A45" s="3471"/>
      <c r="B45" s="3469" t="s">
        <v>2639</v>
      </c>
      <c r="C45" s="2847" t="s">
        <v>2488</v>
      </c>
      <c r="D45" s="2848"/>
      <c r="E45" s="2849">
        <v>1</v>
      </c>
      <c r="F45" s="2846" t="s">
        <v>2489</v>
      </c>
      <c r="G45" s="2846"/>
    </row>
    <row r="46" spans="1:7" ht="19.5" customHeight="1">
      <c r="A46" s="3471"/>
      <c r="B46" s="3464"/>
      <c r="C46" s="2847" t="s">
        <v>2490</v>
      </c>
      <c r="D46" s="2848"/>
      <c r="E46" s="2849">
        <v>1</v>
      </c>
      <c r="F46" s="2846" t="s">
        <v>2491</v>
      </c>
      <c r="G46" s="2846"/>
    </row>
    <row r="47" spans="1:7" ht="19.5" customHeight="1">
      <c r="A47" s="3471"/>
      <c r="B47" s="3464"/>
      <c r="C47" s="2847" t="s">
        <v>2492</v>
      </c>
      <c r="D47" s="2848"/>
      <c r="E47" s="2849">
        <v>1</v>
      </c>
      <c r="F47" s="2846" t="s">
        <v>2493</v>
      </c>
      <c r="G47" s="2846"/>
    </row>
    <row r="48" spans="1:7" ht="19.5" customHeight="1">
      <c r="A48" s="3471"/>
      <c r="B48" s="3464"/>
      <c r="C48" s="2847" t="s">
        <v>2494</v>
      </c>
      <c r="D48" s="2848"/>
      <c r="E48" s="2849">
        <v>1</v>
      </c>
      <c r="F48" s="2846" t="s">
        <v>2495</v>
      </c>
      <c r="G48" s="2846"/>
    </row>
    <row r="49" spans="1:7" ht="19.5" customHeight="1">
      <c r="A49" s="3471"/>
      <c r="B49" s="3464"/>
      <c r="C49" s="2847" t="s">
        <v>2496</v>
      </c>
      <c r="D49" s="2848"/>
      <c r="E49" s="2849">
        <v>1</v>
      </c>
      <c r="F49" s="2846" t="s">
        <v>2497</v>
      </c>
      <c r="G49" s="2846"/>
    </row>
    <row r="50" spans="1:7" ht="19.5" customHeight="1">
      <c r="A50" s="3471"/>
      <c r="B50" s="3464"/>
      <c r="C50" s="2847" t="s">
        <v>2498</v>
      </c>
      <c r="D50" s="2848"/>
      <c r="E50" s="2849">
        <v>1</v>
      </c>
      <c r="F50" s="2846" t="s">
        <v>2499</v>
      </c>
      <c r="G50" s="2846"/>
    </row>
    <row r="51" spans="1:7" ht="19.5" customHeight="1" thickBot="1">
      <c r="A51" s="3472"/>
      <c r="B51" s="3465"/>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69" t="s">
        <v>2653</v>
      </c>
      <c r="C73" s="2832" t="s">
        <v>2654</v>
      </c>
      <c r="D73" s="2832" t="s">
        <v>2655</v>
      </c>
      <c r="E73" s="2858">
        <v>0.2</v>
      </c>
      <c r="F73" s="2858">
        <v>25</v>
      </c>
    </row>
    <row r="74" spans="1:7" ht="24">
      <c r="A74" s="2858">
        <v>2</v>
      </c>
      <c r="B74" s="3464"/>
      <c r="C74" s="2832" t="s">
        <v>2656</v>
      </c>
      <c r="D74" s="2832" t="s">
        <v>2657</v>
      </c>
      <c r="E74" s="2858">
        <v>0.2</v>
      </c>
      <c r="F74" s="2858">
        <v>25</v>
      </c>
    </row>
    <row r="75" spans="1:7" ht="24">
      <c r="A75" s="2858">
        <v>3</v>
      </c>
      <c r="B75" s="3464"/>
      <c r="C75" s="2832" t="s">
        <v>2658</v>
      </c>
      <c r="D75" s="2832" t="s">
        <v>2659</v>
      </c>
      <c r="E75" s="2858">
        <v>0.2</v>
      </c>
      <c r="F75" s="2858">
        <v>25</v>
      </c>
    </row>
    <row r="76" spans="1:7" ht="13.5">
      <c r="A76" s="2858">
        <v>4</v>
      </c>
      <c r="B76" s="3464"/>
      <c r="C76" s="2832" t="s">
        <v>2660</v>
      </c>
      <c r="D76" s="2832" t="s">
        <v>2661</v>
      </c>
      <c r="E76" s="2858">
        <v>0.15</v>
      </c>
      <c r="F76" s="2858">
        <v>20</v>
      </c>
    </row>
    <row r="77" spans="1:7" ht="24">
      <c r="A77" s="2858">
        <v>5</v>
      </c>
      <c r="B77" s="3464"/>
      <c r="C77" s="2832" t="s">
        <v>2662</v>
      </c>
      <c r="D77" s="2832" t="s">
        <v>2663</v>
      </c>
      <c r="E77" s="2858">
        <v>0.15</v>
      </c>
      <c r="F77" s="2858">
        <v>20</v>
      </c>
    </row>
    <row r="78" spans="1:7" ht="24">
      <c r="A78" s="2858">
        <v>6</v>
      </c>
      <c r="B78" s="3464"/>
      <c r="C78" s="2832" t="s">
        <v>2664</v>
      </c>
      <c r="D78" s="2832" t="s">
        <v>2665</v>
      </c>
      <c r="E78" s="2858">
        <v>0.15</v>
      </c>
      <c r="F78" s="2858">
        <v>20</v>
      </c>
    </row>
    <row r="79" spans="1:7" ht="24">
      <c r="A79" s="2858">
        <v>7</v>
      </c>
      <c r="B79" s="3464"/>
      <c r="C79" s="2832" t="s">
        <v>2666</v>
      </c>
      <c r="D79" s="2832" t="s">
        <v>2667</v>
      </c>
      <c r="E79" s="2858">
        <v>0.15</v>
      </c>
      <c r="F79" s="2858">
        <v>20</v>
      </c>
    </row>
    <row r="80" spans="1:7" ht="24">
      <c r="A80" s="2858">
        <v>8</v>
      </c>
      <c r="B80" s="3464"/>
      <c r="C80" s="2832" t="s">
        <v>2668</v>
      </c>
      <c r="D80" s="2832" t="s">
        <v>2669</v>
      </c>
      <c r="E80" s="2858">
        <v>0.1</v>
      </c>
      <c r="F80" s="2858">
        <v>15</v>
      </c>
    </row>
    <row r="81" spans="1:6" ht="24">
      <c r="A81" s="2858">
        <v>9</v>
      </c>
      <c r="B81" s="3464"/>
      <c r="C81" s="2832" t="s">
        <v>2670</v>
      </c>
      <c r="D81" s="2832" t="s">
        <v>2671</v>
      </c>
      <c r="E81" s="2858">
        <v>0.1</v>
      </c>
      <c r="F81" s="2858">
        <v>15</v>
      </c>
    </row>
    <row r="82" spans="1:6" ht="24">
      <c r="A82" s="2858">
        <v>10</v>
      </c>
      <c r="B82" s="3464"/>
      <c r="C82" s="2832" t="s">
        <v>2672</v>
      </c>
      <c r="D82" s="2832" t="s">
        <v>2673</v>
      </c>
      <c r="E82" s="2858">
        <v>0.1</v>
      </c>
      <c r="F82" s="2858">
        <v>15</v>
      </c>
    </row>
    <row r="83" spans="1:6" ht="24">
      <c r="A83" s="2858">
        <v>11</v>
      </c>
      <c r="B83" s="3464"/>
      <c r="C83" s="2832" t="s">
        <v>2674</v>
      </c>
      <c r="D83" s="2832" t="s">
        <v>2675</v>
      </c>
      <c r="E83" s="2858">
        <v>0.1</v>
      </c>
      <c r="F83" s="2858">
        <v>15</v>
      </c>
    </row>
    <row r="84" spans="1:6" ht="24">
      <c r="A84" s="2858">
        <v>12</v>
      </c>
      <c r="B84" s="3464"/>
      <c r="C84" s="2832" t="s">
        <v>2676</v>
      </c>
      <c r="D84" s="2832" t="s">
        <v>2677</v>
      </c>
      <c r="E84" s="2858">
        <v>0.1</v>
      </c>
      <c r="F84" s="2858">
        <v>15</v>
      </c>
    </row>
    <row r="85" spans="1:6" ht="13.5">
      <c r="A85" s="2858">
        <v>13</v>
      </c>
      <c r="B85" s="3464"/>
      <c r="C85" s="2832" t="s">
        <v>2678</v>
      </c>
      <c r="D85" s="2832" t="s">
        <v>2679</v>
      </c>
      <c r="E85" s="2858">
        <v>0.1</v>
      </c>
      <c r="F85" s="2858">
        <v>15</v>
      </c>
    </row>
    <row r="86" spans="1:6" ht="13.5">
      <c r="A86" s="2858">
        <v>14</v>
      </c>
      <c r="B86" s="3464"/>
      <c r="C86" s="2832" t="s">
        <v>2680</v>
      </c>
      <c r="D86" s="2832" t="s">
        <v>2681</v>
      </c>
      <c r="E86" s="2858">
        <v>0.1</v>
      </c>
      <c r="F86" s="2858">
        <v>15</v>
      </c>
    </row>
    <row r="87" spans="1:6" ht="13.5">
      <c r="A87" s="2858">
        <v>15</v>
      </c>
      <c r="B87" s="3464"/>
      <c r="C87" s="2832" t="s">
        <v>2682</v>
      </c>
      <c r="D87" s="2832" t="s">
        <v>2683</v>
      </c>
      <c r="E87" s="2858">
        <v>0.1</v>
      </c>
      <c r="F87" s="2858">
        <v>15</v>
      </c>
    </row>
    <row r="88" spans="1:6" ht="24">
      <c r="A88" s="2858">
        <v>16</v>
      </c>
      <c r="B88" s="3464"/>
      <c r="C88" s="2832" t="s">
        <v>2684</v>
      </c>
      <c r="D88" s="2832" t="s">
        <v>2685</v>
      </c>
      <c r="E88" s="2858">
        <v>0.1</v>
      </c>
      <c r="F88" s="2858">
        <v>15</v>
      </c>
    </row>
    <row r="89" spans="1:6" ht="24">
      <c r="A89" s="2858">
        <v>17</v>
      </c>
      <c r="B89" s="3473"/>
      <c r="C89" s="2832" t="s">
        <v>2686</v>
      </c>
      <c r="D89" s="2832" t="s">
        <v>2687</v>
      </c>
      <c r="E89" s="2858">
        <v>0.1</v>
      </c>
      <c r="F89" s="2858">
        <v>15</v>
      </c>
    </row>
    <row r="90" spans="1:6" ht="13.5">
      <c r="A90" s="2858">
        <v>18</v>
      </c>
      <c r="B90" s="3469" t="s">
        <v>2688</v>
      </c>
      <c r="C90" s="2832" t="s">
        <v>2689</v>
      </c>
      <c r="D90" s="2832" t="s">
        <v>2690</v>
      </c>
      <c r="E90" s="2858">
        <v>0.2</v>
      </c>
      <c r="F90" s="2858">
        <v>25</v>
      </c>
    </row>
    <row r="91" spans="1:6" ht="24">
      <c r="A91" s="2858">
        <v>19</v>
      </c>
      <c r="B91" s="3464"/>
      <c r="C91" s="2832" t="s">
        <v>2691</v>
      </c>
      <c r="D91" s="2832" t="s">
        <v>2692</v>
      </c>
      <c r="E91" s="2858">
        <v>0.2</v>
      </c>
      <c r="F91" s="2858">
        <v>25</v>
      </c>
    </row>
    <row r="92" spans="1:6" ht="13.5">
      <c r="A92" s="2858">
        <v>20</v>
      </c>
      <c r="B92" s="3464"/>
      <c r="C92" s="2832" t="s">
        <v>2693</v>
      </c>
      <c r="D92" s="2832" t="s">
        <v>2694</v>
      </c>
      <c r="E92" s="2858">
        <v>0.15</v>
      </c>
      <c r="F92" s="2858">
        <v>20</v>
      </c>
    </row>
    <row r="93" spans="1:6" ht="13.5">
      <c r="A93" s="2858">
        <v>21</v>
      </c>
      <c r="B93" s="3464"/>
      <c r="C93" s="2832" t="s">
        <v>2695</v>
      </c>
      <c r="D93" s="2832" t="s">
        <v>2696</v>
      </c>
      <c r="E93" s="2858">
        <v>0.15</v>
      </c>
      <c r="F93" s="2858">
        <v>20</v>
      </c>
    </row>
    <row r="94" spans="1:6" ht="13.5">
      <c r="A94" s="2858">
        <v>22</v>
      </c>
      <c r="B94" s="3464"/>
      <c r="C94" s="2832" t="s">
        <v>2697</v>
      </c>
      <c r="D94" s="2832" t="s">
        <v>2698</v>
      </c>
      <c r="E94" s="2858">
        <v>0.15</v>
      </c>
      <c r="F94" s="2858">
        <v>20</v>
      </c>
    </row>
    <row r="95" spans="1:6" ht="36">
      <c r="A95" s="2858">
        <v>23</v>
      </c>
      <c r="B95" s="3464"/>
      <c r="C95" s="2832" t="s">
        <v>2699</v>
      </c>
      <c r="D95" s="2832" t="s">
        <v>2700</v>
      </c>
      <c r="E95" s="2858">
        <v>0.15</v>
      </c>
      <c r="F95" s="2858">
        <v>20</v>
      </c>
    </row>
    <row r="96" spans="1:6" ht="13.5">
      <c r="A96" s="2858">
        <v>24</v>
      </c>
      <c r="B96" s="3464"/>
      <c r="C96" s="2832" t="s">
        <v>2701</v>
      </c>
      <c r="D96" s="2832" t="s">
        <v>2702</v>
      </c>
      <c r="E96" s="2858">
        <v>0.1</v>
      </c>
      <c r="F96" s="2858">
        <v>15</v>
      </c>
    </row>
    <row r="97" spans="1:6" ht="13.5">
      <c r="A97" s="2858">
        <v>25</v>
      </c>
      <c r="B97" s="3464"/>
      <c r="C97" s="2832" t="s">
        <v>2703</v>
      </c>
      <c r="D97" s="2832" t="s">
        <v>2704</v>
      </c>
      <c r="E97" s="2858">
        <v>0.1</v>
      </c>
      <c r="F97" s="2858">
        <v>15</v>
      </c>
    </row>
    <row r="98" spans="1:6" ht="24">
      <c r="A98" s="2858">
        <v>26</v>
      </c>
      <c r="B98" s="3464"/>
      <c r="C98" s="2832" t="s">
        <v>2705</v>
      </c>
      <c r="D98" s="2832" t="s">
        <v>2706</v>
      </c>
      <c r="E98" s="2858">
        <v>0.1</v>
      </c>
      <c r="F98" s="2858">
        <v>15</v>
      </c>
    </row>
    <row r="99" spans="1:6" ht="24">
      <c r="A99" s="2858">
        <v>27</v>
      </c>
      <c r="B99" s="3464"/>
      <c r="C99" s="2832" t="s">
        <v>2707</v>
      </c>
      <c r="D99" s="2832" t="s">
        <v>2708</v>
      </c>
      <c r="E99" s="2858">
        <v>0.1</v>
      </c>
      <c r="F99" s="2858">
        <v>15</v>
      </c>
    </row>
    <row r="100" spans="1:6" ht="13.5">
      <c r="A100" s="2858">
        <v>28</v>
      </c>
      <c r="B100" s="3464"/>
      <c r="C100" s="2832" t="s">
        <v>2709</v>
      </c>
      <c r="D100" s="2832" t="s">
        <v>2710</v>
      </c>
      <c r="E100" s="2858">
        <v>0.1</v>
      </c>
      <c r="F100" s="2858">
        <v>15</v>
      </c>
    </row>
    <row r="101" spans="1:6" ht="13.5">
      <c r="A101" s="2858">
        <v>29</v>
      </c>
      <c r="B101" s="3464"/>
      <c r="C101" s="2832" t="s">
        <v>2711</v>
      </c>
      <c r="D101" s="2832" t="s">
        <v>2712</v>
      </c>
      <c r="E101" s="2858">
        <v>0.1</v>
      </c>
      <c r="F101" s="2858">
        <v>15</v>
      </c>
    </row>
    <row r="102" spans="1:6" ht="13.5">
      <c r="A102" s="2858">
        <v>30</v>
      </c>
      <c r="B102" s="3464"/>
      <c r="C102" s="2832" t="s">
        <v>2713</v>
      </c>
      <c r="D102" s="2832" t="s">
        <v>2714</v>
      </c>
      <c r="E102" s="2858">
        <v>0.1</v>
      </c>
      <c r="F102" s="2858">
        <v>15</v>
      </c>
    </row>
    <row r="103" spans="1:6" ht="24">
      <c r="A103" s="2858">
        <v>31</v>
      </c>
      <c r="B103" s="3464"/>
      <c r="C103" s="2832" t="s">
        <v>2715</v>
      </c>
      <c r="D103" s="2832" t="s">
        <v>2716</v>
      </c>
      <c r="E103" s="2858">
        <v>0.1</v>
      </c>
      <c r="F103" s="2858">
        <v>15</v>
      </c>
    </row>
    <row r="104" spans="1:6" ht="24">
      <c r="A104" s="2858">
        <v>32</v>
      </c>
      <c r="B104" s="3464"/>
      <c r="C104" s="2832" t="s">
        <v>2717</v>
      </c>
      <c r="D104" s="2832" t="s">
        <v>2718</v>
      </c>
      <c r="E104" s="2858">
        <v>0.1</v>
      </c>
      <c r="F104" s="2858">
        <v>15</v>
      </c>
    </row>
    <row r="105" spans="1:6" ht="24">
      <c r="A105" s="2858">
        <v>33</v>
      </c>
      <c r="B105" s="3464"/>
      <c r="C105" s="2832" t="s">
        <v>2719</v>
      </c>
      <c r="D105" s="2832" t="s">
        <v>2720</v>
      </c>
      <c r="E105" s="2858">
        <v>0.1</v>
      </c>
      <c r="F105" s="2858">
        <v>15</v>
      </c>
    </row>
    <row r="106" spans="1:6" ht="24">
      <c r="A106" s="2858">
        <v>34</v>
      </c>
      <c r="B106" s="3473"/>
      <c r="C106" s="2832" t="s">
        <v>2721</v>
      </c>
      <c r="D106" s="2832" t="s">
        <v>2722</v>
      </c>
      <c r="E106" s="2858">
        <v>0.1</v>
      </c>
      <c r="F106" s="2858">
        <v>15</v>
      </c>
    </row>
    <row r="107" spans="1:6" ht="24">
      <c r="A107" s="2858">
        <v>35</v>
      </c>
      <c r="B107" s="3469" t="s">
        <v>2723</v>
      </c>
      <c r="C107" s="2858" t="s">
        <v>2724</v>
      </c>
      <c r="D107" s="2832" t="s">
        <v>2725</v>
      </c>
      <c r="E107" s="2858">
        <v>0.15</v>
      </c>
      <c r="F107" s="2858">
        <v>20</v>
      </c>
    </row>
    <row r="108" spans="1:6" ht="13.5">
      <c r="A108" s="2858">
        <v>36</v>
      </c>
      <c r="B108" s="3464"/>
      <c r="C108" s="2858" t="s">
        <v>2726</v>
      </c>
      <c r="D108" s="2832" t="s">
        <v>2727</v>
      </c>
      <c r="E108" s="2858">
        <v>0.15</v>
      </c>
      <c r="F108" s="2858">
        <v>20</v>
      </c>
    </row>
    <row r="109" spans="1:6" ht="13.5">
      <c r="A109" s="2858">
        <v>37</v>
      </c>
      <c r="B109" s="3464"/>
      <c r="C109" s="2858" t="s">
        <v>2728</v>
      </c>
      <c r="D109" s="2832" t="s">
        <v>2729</v>
      </c>
      <c r="E109" s="2858">
        <v>0.15</v>
      </c>
      <c r="F109" s="2858">
        <v>20</v>
      </c>
    </row>
    <row r="110" spans="1:6" ht="13.5">
      <c r="A110" s="2858">
        <v>38</v>
      </c>
      <c r="B110" s="3464"/>
      <c r="C110" s="2858" t="s">
        <v>2730</v>
      </c>
      <c r="D110" s="2832" t="s">
        <v>2731</v>
      </c>
      <c r="E110" s="2858">
        <v>0.1</v>
      </c>
      <c r="F110" s="2858">
        <v>15</v>
      </c>
    </row>
    <row r="111" spans="1:6" ht="24">
      <c r="A111" s="2858">
        <v>39</v>
      </c>
      <c r="B111" s="3464"/>
      <c r="C111" s="2858" t="s">
        <v>2732</v>
      </c>
      <c r="D111" s="2832" t="s">
        <v>2733</v>
      </c>
      <c r="E111" s="2858">
        <v>0.1</v>
      </c>
      <c r="F111" s="2858">
        <v>15</v>
      </c>
    </row>
    <row r="112" spans="1:6" ht="24">
      <c r="A112" s="2858">
        <v>40</v>
      </c>
      <c r="B112" s="3473"/>
      <c r="C112" s="2858" t="s">
        <v>2734</v>
      </c>
      <c r="D112" s="2832" t="s">
        <v>2735</v>
      </c>
      <c r="E112" s="2858">
        <v>0.1</v>
      </c>
      <c r="F112" s="2858">
        <v>15</v>
      </c>
    </row>
    <row r="113" spans="1:6" ht="13.5">
      <c r="A113" s="2858">
        <v>41</v>
      </c>
      <c r="B113" s="3474" t="s">
        <v>2736</v>
      </c>
      <c r="C113" s="2858" t="s">
        <v>2737</v>
      </c>
      <c r="D113" s="2832" t="s">
        <v>2738</v>
      </c>
      <c r="E113" s="2858">
        <v>0.1</v>
      </c>
      <c r="F113" s="2858">
        <v>15</v>
      </c>
    </row>
    <row r="114" spans="1:6" ht="13.5">
      <c r="A114" s="2858">
        <v>42</v>
      </c>
      <c r="B114" s="3474"/>
      <c r="C114" s="2858" t="s">
        <v>2739</v>
      </c>
      <c r="D114" s="2832" t="s">
        <v>2740</v>
      </c>
      <c r="E114" s="2858">
        <v>0.1</v>
      </c>
      <c r="F114" s="2858">
        <v>15</v>
      </c>
    </row>
    <row r="115" spans="1:6" ht="24">
      <c r="A115" s="2858">
        <v>43</v>
      </c>
      <c r="B115" s="3474"/>
      <c r="C115" s="2858" t="s">
        <v>2741</v>
      </c>
      <c r="D115" s="2832" t="s">
        <v>2742</v>
      </c>
      <c r="E115" s="2858">
        <v>0.1</v>
      </c>
      <c r="F115" s="2858">
        <v>15</v>
      </c>
    </row>
    <row r="116" spans="1:6" ht="13.5">
      <c r="A116" s="2858">
        <v>44</v>
      </c>
      <c r="B116" s="3469" t="s">
        <v>2743</v>
      </c>
      <c r="C116" s="2858" t="s">
        <v>2744</v>
      </c>
      <c r="D116" s="2832" t="s">
        <v>2745</v>
      </c>
      <c r="E116" s="2858">
        <v>0.1</v>
      </c>
      <c r="F116" s="2858">
        <v>15</v>
      </c>
    </row>
    <row r="117" spans="1:6" ht="24">
      <c r="A117" s="2858">
        <v>45</v>
      </c>
      <c r="B117" s="3473"/>
      <c r="C117" s="2832" t="s">
        <v>2746</v>
      </c>
      <c r="D117" s="2832" t="s">
        <v>2747</v>
      </c>
      <c r="E117" s="2858">
        <v>0.1</v>
      </c>
      <c r="F117" s="2858">
        <v>15</v>
      </c>
    </row>
    <row r="118" spans="1:6" ht="24">
      <c r="A118" s="2858">
        <v>46</v>
      </c>
      <c r="B118" s="3469" t="s">
        <v>2748</v>
      </c>
      <c r="C118" s="2858" t="s">
        <v>2749</v>
      </c>
      <c r="D118" s="2832" t="s">
        <v>2750</v>
      </c>
      <c r="E118" s="2858">
        <v>0.1</v>
      </c>
      <c r="F118" s="2858">
        <v>15</v>
      </c>
    </row>
    <row r="119" spans="1:6" ht="24">
      <c r="A119" s="2858">
        <v>47</v>
      </c>
      <c r="B119" s="3473"/>
      <c r="C119" s="2858" t="s">
        <v>2751</v>
      </c>
      <c r="D119" s="2832" t="s">
        <v>2752</v>
      </c>
      <c r="E119" s="2858">
        <v>0.1</v>
      </c>
      <c r="F119" s="2858">
        <v>15</v>
      </c>
    </row>
    <row r="120" spans="1:6" ht="13.5">
      <c r="A120" s="2858">
        <v>48</v>
      </c>
      <c r="B120" s="3469" t="s">
        <v>2753</v>
      </c>
      <c r="C120" s="2858" t="s">
        <v>2754</v>
      </c>
      <c r="D120" s="2832" t="s">
        <v>2755</v>
      </c>
      <c r="E120" s="2858">
        <v>0.1</v>
      </c>
      <c r="F120" s="2858">
        <v>15</v>
      </c>
    </row>
    <row r="121" spans="1:6" ht="13.5">
      <c r="A121" s="2858">
        <v>49</v>
      </c>
      <c r="B121" s="3473"/>
      <c r="C121" s="2858" t="s">
        <v>2756</v>
      </c>
      <c r="D121" s="2832" t="s">
        <v>2757</v>
      </c>
      <c r="E121" s="2858">
        <v>0.1</v>
      </c>
      <c r="F121" s="2858">
        <v>15</v>
      </c>
    </row>
    <row r="122" spans="1:6" ht="24">
      <c r="A122" s="2858">
        <v>50</v>
      </c>
      <c r="B122" s="3474" t="s">
        <v>2758</v>
      </c>
      <c r="C122" s="2858" t="s">
        <v>2759</v>
      </c>
      <c r="D122" s="2832" t="s">
        <v>2760</v>
      </c>
      <c r="E122" s="2858">
        <v>0.1</v>
      </c>
      <c r="F122" s="2858">
        <v>15</v>
      </c>
    </row>
    <row r="123" spans="1:6" ht="24">
      <c r="A123" s="2858">
        <v>51</v>
      </c>
      <c r="B123" s="3474"/>
      <c r="C123" s="2858" t="s">
        <v>2761</v>
      </c>
      <c r="D123" s="2832" t="s">
        <v>2762</v>
      </c>
      <c r="E123" s="2858">
        <v>0.1</v>
      </c>
      <c r="F123" s="2858">
        <v>15</v>
      </c>
    </row>
    <row r="124" spans="1:6" ht="24">
      <c r="A124" s="2858">
        <v>52</v>
      </c>
      <c r="B124" s="3474" t="s">
        <v>2763</v>
      </c>
      <c r="C124" s="2858" t="s">
        <v>2764</v>
      </c>
      <c r="D124" s="2832" t="s">
        <v>2765</v>
      </c>
      <c r="E124" s="2858">
        <v>0.1</v>
      </c>
      <c r="F124" s="2858">
        <v>15</v>
      </c>
    </row>
    <row r="125" spans="1:6" ht="24">
      <c r="A125" s="2858">
        <v>53</v>
      </c>
      <c r="B125" s="3474"/>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74" t="s">
        <v>2771</v>
      </c>
      <c r="C127" s="2858" t="s">
        <v>2772</v>
      </c>
      <c r="D127" s="2832" t="s">
        <v>2773</v>
      </c>
      <c r="E127" s="2858">
        <v>0.1</v>
      </c>
      <c r="F127" s="2858">
        <v>15</v>
      </c>
    </row>
    <row r="128" spans="1:6" ht="13.5">
      <c r="A128" s="2858">
        <v>56</v>
      </c>
      <c r="B128" s="3474"/>
      <c r="C128" s="2858" t="s">
        <v>2774</v>
      </c>
      <c r="D128" s="2832" t="s">
        <v>2775</v>
      </c>
      <c r="E128" s="2858">
        <v>0.1</v>
      </c>
      <c r="F128" s="2858">
        <v>15</v>
      </c>
    </row>
    <row r="129" spans="1:6" ht="24">
      <c r="A129" s="2858">
        <v>57</v>
      </c>
      <c r="B129" s="3474"/>
      <c r="C129" s="2858" t="s">
        <v>2776</v>
      </c>
      <c r="D129" s="2832" t="s">
        <v>2777</v>
      </c>
      <c r="E129" s="2858">
        <v>0.1</v>
      </c>
      <c r="F129" s="2858">
        <v>15</v>
      </c>
    </row>
    <row r="130" spans="1:6" ht="24">
      <c r="A130" s="2858">
        <v>58</v>
      </c>
      <c r="B130" s="3474" t="s">
        <v>2778</v>
      </c>
      <c r="C130" s="2858" t="s">
        <v>2779</v>
      </c>
      <c r="D130" s="2832" t="s">
        <v>2780</v>
      </c>
      <c r="E130" s="2858">
        <v>0.1</v>
      </c>
      <c r="F130" s="2858">
        <v>15</v>
      </c>
    </row>
    <row r="131" spans="1:6" ht="13.5">
      <c r="A131" s="2858">
        <v>59</v>
      </c>
      <c r="B131" s="3474"/>
      <c r="C131" s="2858" t="s">
        <v>2781</v>
      </c>
      <c r="D131" s="2832" t="s">
        <v>2782</v>
      </c>
      <c r="E131" s="2858">
        <v>0.1</v>
      </c>
      <c r="F131" s="2858">
        <v>15</v>
      </c>
    </row>
    <row r="132" spans="1:6" ht="13.5">
      <c r="A132" s="2858">
        <v>60</v>
      </c>
      <c r="B132" s="3469" t="s">
        <v>2783</v>
      </c>
      <c r="C132" s="2858" t="s">
        <v>2784</v>
      </c>
      <c r="D132" s="2832" t="s">
        <v>2785</v>
      </c>
      <c r="E132" s="2858">
        <v>0.1</v>
      </c>
      <c r="F132" s="2858">
        <v>15</v>
      </c>
    </row>
    <row r="133" spans="1:6" ht="13.5">
      <c r="A133" s="2858">
        <v>61</v>
      </c>
      <c r="B133" s="3473"/>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74" t="s">
        <v>2791</v>
      </c>
      <c r="C135" s="2858" t="s">
        <v>2792</v>
      </c>
      <c r="D135" s="2832" t="s">
        <v>2793</v>
      </c>
      <c r="E135" s="2858">
        <v>0.1</v>
      </c>
      <c r="F135" s="2858">
        <v>15</v>
      </c>
    </row>
    <row r="136" spans="1:6" ht="13.5">
      <c r="A136" s="2858">
        <v>64</v>
      </c>
      <c r="B136" s="3474"/>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1.2302</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1.1198999999999999</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28318</v>
      </c>
      <c r="C2" s="2" t="s">
        <v>106</v>
      </c>
      <c r="D2" s="191"/>
      <c r="E2" s="191"/>
      <c r="F2" s="191"/>
      <c r="G2" s="191"/>
    </row>
    <row r="3" spans="1:7" s="192" customFormat="1" ht="18" customHeight="1" thickBot="1">
      <c r="A3" s="195" t="s">
        <v>58</v>
      </c>
      <c r="B3" s="196">
        <f ca="1">ROUND(B2*10000/'数据-汇总表'!E3,0)</f>
        <v>40462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133</v>
      </c>
      <c r="D10" s="795">
        <f>'数据-汇总表'!E6</f>
        <v>6998.6</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140</v>
      </c>
      <c r="D19" s="204">
        <f>'数据-汇总表'!E3</f>
        <v>6998.6</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870</v>
      </c>
      <c r="D22" s="227">
        <f ca="1">C26</f>
        <v>4.0000000000000002E-4</v>
      </c>
      <c r="E22" s="228" t="s">
        <v>99</v>
      </c>
      <c r="F22" s="229">
        <f ca="1">'数据-取费表'!B40</f>
        <v>4.1499999999999995E-2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2117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26104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1969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1750</v>
      </c>
      <c r="D34" s="209"/>
      <c r="E34" s="212"/>
      <c r="F34" s="249">
        <f>IF('数据-取费表'!B24=0,1,'数据-取费表'!N16)</f>
        <v>1</v>
      </c>
      <c r="G34" s="211" t="s">
        <v>89</v>
      </c>
    </row>
    <row r="35" spans="1:7" ht="13.5" customHeight="1">
      <c r="A35" s="734" t="s">
        <v>351</v>
      </c>
      <c r="B35" s="207" t="s">
        <v>33</v>
      </c>
      <c r="C35" s="212">
        <f>ROUND(C34*F35,0)</f>
        <v>53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140</v>
      </c>
      <c r="D37" s="209">
        <f>'数据-汇总表'!E3</f>
        <v>6998.6</v>
      </c>
      <c r="E37" s="241">
        <f>'数据-取费表'!B35</f>
        <v>200</v>
      </c>
      <c r="F37" s="251"/>
      <c r="G37" s="253" t="s">
        <v>92</v>
      </c>
    </row>
    <row r="38" spans="1:7" ht="13.5" customHeight="1">
      <c r="A38" s="734" t="s">
        <v>354</v>
      </c>
      <c r="B38" s="207" t="s">
        <v>36</v>
      </c>
      <c r="C38" s="212">
        <f>ROUND(C34*F38,0)</f>
        <v>26</v>
      </c>
      <c r="D38" s="212"/>
      <c r="E38" s="212"/>
      <c r="F38" s="251">
        <f>'数据-取费表'!B36</f>
        <v>1.4999999999999999E-2</v>
      </c>
      <c r="G38" s="211" t="s">
        <v>90</v>
      </c>
    </row>
    <row r="39" spans="1:7" s="206" customFormat="1" ht="13.5" customHeight="1">
      <c r="A39" s="731" t="s">
        <v>338</v>
      </c>
      <c r="B39" s="202" t="s">
        <v>77</v>
      </c>
      <c r="C39" s="224">
        <f>ROUND(C33*F20,0)</f>
        <v>39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41</v>
      </c>
      <c r="D42" s="230"/>
      <c r="E42" s="230"/>
      <c r="F42" s="231"/>
      <c r="G42" s="3340" t="s">
        <v>94</v>
      </c>
    </row>
    <row r="43" spans="1:7" ht="13.5" customHeight="1">
      <c r="A43" s="734" t="s">
        <v>347</v>
      </c>
      <c r="B43" s="207" t="s">
        <v>426</v>
      </c>
      <c r="C43" s="230">
        <f ca="1">ROUND(IF('数据-取费表'!B22&lt;=1,C39*F22*'数据-取费表'!B21/2,C39*(POWER((1+F22),'数据-取费表'!B21/2)-1)),0)</f>
        <v>1</v>
      </c>
      <c r="D43" s="230"/>
      <c r="E43" s="230"/>
      <c r="F43" s="231"/>
      <c r="G43" s="3341"/>
    </row>
    <row r="44" spans="1:7" ht="13.5" customHeight="1">
      <c r="A44" s="734" t="s">
        <v>348</v>
      </c>
      <c r="B44" s="207" t="s">
        <v>428</v>
      </c>
      <c r="C44" s="230">
        <f ca="1">ROUND(IF('数据-取费表'!B22&lt;=1,C40*F22*'数据-取费表'!B21/2,C40*(POWER((1+F22),'数据-取费表'!B21/2)-1)),4)</f>
        <v>4.0000000000000002E-4</v>
      </c>
      <c r="D44" s="230"/>
      <c r="E44" s="230"/>
      <c r="F44" s="231"/>
      <c r="G44" s="3342"/>
    </row>
    <row r="45" spans="1:7" s="206" customFormat="1" ht="13.5" customHeight="1">
      <c r="A45" s="731" t="s">
        <v>341</v>
      </c>
      <c r="B45" s="236" t="s">
        <v>85</v>
      </c>
      <c r="C45" s="237">
        <f>C46</f>
        <v>201</v>
      </c>
      <c r="D45" s="227">
        <f>C47</f>
        <v>2E-3</v>
      </c>
      <c r="E45" s="228" t="s">
        <v>102</v>
      </c>
      <c r="F45" s="238"/>
      <c r="G45" s="239" t="s">
        <v>434</v>
      </c>
    </row>
    <row r="46" spans="1:7" s="206" customFormat="1" ht="13.5" customHeight="1">
      <c r="A46" s="734" t="s">
        <v>349</v>
      </c>
      <c r="B46" s="240" t="s">
        <v>427</v>
      </c>
      <c r="C46" s="241">
        <f>ROUND((C33+C39)*F27,0)</f>
        <v>201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2433</v>
      </c>
      <c r="D49" s="224"/>
      <c r="E49" s="224"/>
      <c r="F49" s="256"/>
      <c r="G49" s="226" t="s">
        <v>435</v>
      </c>
    </row>
    <row r="50" spans="1:7" s="250" customFormat="1" ht="24">
      <c r="A50" s="731" t="s">
        <v>344</v>
      </c>
      <c r="B50" s="202" t="s">
        <v>97</v>
      </c>
      <c r="C50" s="224"/>
      <c r="D50" s="224"/>
      <c r="E50" s="224"/>
      <c r="F50" s="256">
        <f>IF('数据-取费表'!B24=0,'数据-取费表'!N16,1)</f>
        <v>0.91</v>
      </c>
      <c r="G50" s="239" t="s">
        <v>98</v>
      </c>
    </row>
    <row r="51" spans="1:7" ht="16.5" customHeight="1">
      <c r="A51" s="731" t="s">
        <v>345</v>
      </c>
      <c r="B51" s="202" t="s">
        <v>105</v>
      </c>
      <c r="C51" s="224">
        <f ca="1">ROUND(C49*F50,0)</f>
        <v>2214</v>
      </c>
      <c r="D51" s="224"/>
      <c r="E51" s="224"/>
      <c r="F51" s="256"/>
      <c r="G51" s="226" t="s">
        <v>37</v>
      </c>
    </row>
    <row r="52" spans="1:7" s="200" customFormat="1" ht="16.5" thickBot="1">
      <c r="A52" s="257" t="s">
        <v>38</v>
      </c>
      <c r="B52" s="258"/>
      <c r="C52" s="259">
        <f ca="1">C31+C51</f>
        <v>28318</v>
      </c>
      <c r="D52" s="258"/>
      <c r="E52" s="258"/>
      <c r="F52" s="258"/>
      <c r="G52" s="260"/>
    </row>
    <row r="55" spans="1:7" ht="15">
      <c r="B55" s="262" t="s">
        <v>39</v>
      </c>
      <c r="C55" s="263"/>
    </row>
    <row r="56" spans="1:7">
      <c r="B56" s="265" t="s">
        <v>40</v>
      </c>
      <c r="C56" s="266">
        <f ca="1">ROUND(C51/C52,3)</f>
        <v>7.8E-2</v>
      </c>
    </row>
    <row r="57" spans="1:7">
      <c r="B57" s="265" t="s">
        <v>41</v>
      </c>
      <c r="C57" s="267">
        <f ca="1">1-C56</f>
        <v>0.92200000000000004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4116</v>
      </c>
    </row>
    <row r="6" spans="1:5" ht="15.75">
      <c r="B6" s="3160"/>
      <c r="C6" s="1392" t="s">
        <v>911</v>
      </c>
      <c r="D6" s="797" t="str">
        <f ca="1">NUMBERSTRING(INT(D5*10000),2)&amp;"元整"</f>
        <v>肆仟壹佰壹拾陆万元整</v>
      </c>
    </row>
    <row r="7" spans="1:5" ht="15.75">
      <c r="B7" s="3165"/>
      <c r="C7" s="1393" t="s">
        <v>912</v>
      </c>
      <c r="D7" s="798">
        <f ca="1">结果表!H102</f>
        <v>5881</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4116</v>
      </c>
    </row>
    <row r="14" spans="1:5" ht="15.75">
      <c r="B14" s="3160"/>
      <c r="C14" s="1392" t="s">
        <v>911</v>
      </c>
      <c r="D14" s="797" t="str">
        <f ca="1">NUMBERSTRING(INT(D13*10000),2)&amp;"元整"</f>
        <v>肆仟壹佰壹拾陆万元整</v>
      </c>
    </row>
    <row r="15" spans="1:5" ht="15">
      <c r="B15" s="3165"/>
      <c r="C15" s="1393" t="s">
        <v>921</v>
      </c>
      <c r="D15" s="806">
        <f ca="1">结果表!H108</f>
        <v>5881</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7" t="s">
        <v>2845</v>
      </c>
      <c r="B1" s="3477"/>
      <c r="C1" s="3477"/>
      <c r="D1" s="3477"/>
      <c r="E1" s="3477"/>
      <c r="F1" s="3477"/>
      <c r="G1" s="3478"/>
      <c r="I1" s="2939" t="s">
        <v>2846</v>
      </c>
      <c r="J1" s="2940" t="s">
        <v>2847</v>
      </c>
      <c r="K1" s="2940" t="s">
        <v>2848</v>
      </c>
      <c r="L1" s="2940" t="s">
        <v>2849</v>
      </c>
      <c r="M1" s="2940" t="s">
        <v>2850</v>
      </c>
      <c r="N1" s="2940" t="s">
        <v>2851</v>
      </c>
      <c r="O1" s="2940" t="s">
        <v>2852</v>
      </c>
      <c r="P1" s="2940" t="s">
        <v>2853</v>
      </c>
      <c r="Q1" s="2940" t="s">
        <v>2854</v>
      </c>
      <c r="R1" s="2940" t="s">
        <v>2855</v>
      </c>
      <c r="S1" s="2940" t="s">
        <v>2856</v>
      </c>
      <c r="T1" s="2941" t="s">
        <v>2857</v>
      </c>
    </row>
    <row r="2" spans="1:20" ht="12" thickBot="1">
      <c r="A2" s="2942" t="s">
        <v>2858</v>
      </c>
      <c r="B2" s="2942"/>
      <c r="C2" s="2942"/>
      <c r="D2" s="2942"/>
      <c r="E2" s="2942"/>
      <c r="F2" s="2942"/>
      <c r="G2" s="2943" t="s">
        <v>2859</v>
      </c>
      <c r="I2" s="2944" t="s">
        <v>2860</v>
      </c>
      <c r="J2" s="2944" t="s">
        <v>2861</v>
      </c>
      <c r="K2" s="2944" t="s">
        <v>2862</v>
      </c>
      <c r="L2" s="2944" t="s">
        <v>2863</v>
      </c>
      <c r="M2" s="2944" t="s">
        <v>2864</v>
      </c>
      <c r="N2" s="2944" t="s">
        <v>2865</v>
      </c>
      <c r="O2" s="2944" t="s">
        <v>2866</v>
      </c>
      <c r="P2" s="2944" t="s">
        <v>2867</v>
      </c>
      <c r="Q2" s="2944" t="s">
        <v>2868</v>
      </c>
      <c r="R2" s="2944" t="s">
        <v>2869</v>
      </c>
      <c r="S2" s="2944" t="s">
        <v>2870</v>
      </c>
      <c r="T2" s="2944" t="s">
        <v>2871</v>
      </c>
    </row>
    <row r="3" spans="1:20" s="2950" customFormat="1">
      <c r="A3" s="3475" t="s">
        <v>2872</v>
      </c>
      <c r="B3" s="2945"/>
      <c r="C3" s="2946" t="s">
        <v>2813</v>
      </c>
      <c r="D3" s="2946" t="s">
        <v>2873</v>
      </c>
      <c r="E3" s="2946" t="s">
        <v>2815</v>
      </c>
      <c r="F3" s="2946" t="s">
        <v>2874</v>
      </c>
      <c r="G3" s="2946" t="s">
        <v>2633</v>
      </c>
      <c r="H3" s="2947"/>
      <c r="I3" s="2948" t="s">
        <v>2875</v>
      </c>
      <c r="J3" s="2949" t="s">
        <v>128</v>
      </c>
      <c r="K3" s="2949" t="s">
        <v>129</v>
      </c>
      <c r="L3" s="2948" t="s">
        <v>130</v>
      </c>
      <c r="M3" s="2948" t="s">
        <v>131</v>
      </c>
      <c r="N3" s="2948" t="s">
        <v>132</v>
      </c>
      <c r="O3" s="2948" t="s">
        <v>133</v>
      </c>
      <c r="P3" s="2948" t="s">
        <v>134</v>
      </c>
      <c r="Q3" s="2948" t="s">
        <v>135</v>
      </c>
      <c r="R3" s="2948" t="s">
        <v>136</v>
      </c>
      <c r="S3" s="2948" t="s">
        <v>2876</v>
      </c>
      <c r="T3" s="2948" t="s">
        <v>2877</v>
      </c>
    </row>
    <row r="4" spans="1:20" s="2950" customFormat="1" ht="12" thickBot="1">
      <c r="A4" s="3476"/>
      <c r="B4" s="2951" t="s">
        <v>2878</v>
      </c>
      <c r="C4" s="2951" t="s">
        <v>2879</v>
      </c>
      <c r="D4" s="2951" t="s">
        <v>2879</v>
      </c>
      <c r="E4" s="2951" t="s">
        <v>2879</v>
      </c>
      <c r="F4" s="2952" t="s">
        <v>2879</v>
      </c>
      <c r="G4" s="2952" t="s">
        <v>2879</v>
      </c>
      <c r="H4" s="2947"/>
      <c r="I4" s="2949" t="s">
        <v>137</v>
      </c>
      <c r="J4" s="2949" t="s">
        <v>111</v>
      </c>
      <c r="K4" s="2949" t="s">
        <v>138</v>
      </c>
      <c r="L4" s="2948" t="s">
        <v>139</v>
      </c>
      <c r="M4" s="2948" t="s">
        <v>140</v>
      </c>
      <c r="N4" s="2948" t="s">
        <v>141</v>
      </c>
      <c r="O4" s="2948" t="s">
        <v>142</v>
      </c>
      <c r="P4" s="2948" t="s">
        <v>143</v>
      </c>
      <c r="Q4" s="2948" t="s">
        <v>2880</v>
      </c>
      <c r="R4" s="2948" t="s">
        <v>2881</v>
      </c>
      <c r="S4" s="2948" t="s">
        <v>2882</v>
      </c>
      <c r="T4" s="2948" t="s">
        <v>2883</v>
      </c>
    </row>
    <row r="5" spans="1:20">
      <c r="A5" s="2953" t="s">
        <v>2846</v>
      </c>
      <c r="B5" s="2944" t="s">
        <v>2860</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2884</v>
      </c>
      <c r="R5" s="2948" t="s">
        <v>2885</v>
      </c>
      <c r="S5" s="2948" t="s">
        <v>153</v>
      </c>
      <c r="T5" s="2948" t="s">
        <v>2886</v>
      </c>
    </row>
    <row r="6" spans="1:20" ht="12" thickBot="1">
      <c r="A6" s="2948" t="s">
        <v>144</v>
      </c>
      <c r="B6" s="2948" t="s">
        <v>2875</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2887</v>
      </c>
      <c r="Q6" s="2948" t="s">
        <v>2888</v>
      </c>
      <c r="R6" s="2948" t="s">
        <v>161</v>
      </c>
      <c r="S6" s="2948" t="s">
        <v>2889</v>
      </c>
      <c r="T6" s="2948" t="s">
        <v>2890</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2891</v>
      </c>
      <c r="Q7" s="2948" t="s">
        <v>2892</v>
      </c>
      <c r="R7" s="2948" t="s">
        <v>2893</v>
      </c>
      <c r="S7" s="2948" t="s">
        <v>2894</v>
      </c>
      <c r="T7" s="2948" t="s">
        <v>2895</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2896</v>
      </c>
      <c r="Q8" s="2948" t="s">
        <v>174</v>
      </c>
      <c r="R8" s="2948" t="s">
        <v>2897</v>
      </c>
      <c r="S8" s="2948" t="s">
        <v>2898</v>
      </c>
      <c r="T8" s="2955" t="s">
        <v>2899</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2900</v>
      </c>
      <c r="Q9" s="2948" t="s">
        <v>182</v>
      </c>
      <c r="R9" s="2948" t="s">
        <v>183</v>
      </c>
      <c r="S9" s="2948" t="s">
        <v>200</v>
      </c>
    </row>
    <row r="10" spans="1:20">
      <c r="A10" s="2953" t="s">
        <v>184</v>
      </c>
      <c r="B10" s="2944" t="s">
        <v>2861</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2901</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2902</v>
      </c>
      <c r="P11" s="2948" t="s">
        <v>191</v>
      </c>
      <c r="Q11" s="2948" t="s">
        <v>199</v>
      </c>
      <c r="R11" s="2948" t="s">
        <v>2903</v>
      </c>
      <c r="S11" s="2948" t="s">
        <v>2904</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2905</v>
      </c>
      <c r="P12" s="2948" t="s">
        <v>2906</v>
      </c>
      <c r="Q12" s="2948" t="s">
        <v>2907</v>
      </c>
      <c r="R12" s="2948" t="s">
        <v>2908</v>
      </c>
      <c r="S12" s="2948" t="s">
        <v>2909</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2910</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2911</v>
      </c>
      <c r="K14" s="2949" t="s">
        <v>215</v>
      </c>
      <c r="L14" s="2948" t="s">
        <v>216</v>
      </c>
      <c r="M14" s="2948" t="s">
        <v>217</v>
      </c>
      <c r="N14" s="2948" t="s">
        <v>218</v>
      </c>
      <c r="O14" s="2948" t="s">
        <v>240</v>
      </c>
      <c r="P14" s="2948" t="s">
        <v>213</v>
      </c>
      <c r="Q14" s="2948" t="s">
        <v>2912</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2913</v>
      </c>
      <c r="P15" s="2948" t="s">
        <v>2914</v>
      </c>
      <c r="Q15" s="2948" t="s">
        <v>242</v>
      </c>
      <c r="R15" s="2948" t="s">
        <v>2915</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2916</v>
      </c>
      <c r="P16" s="2948" t="s">
        <v>227</v>
      </c>
      <c r="Q16" s="2948" t="s">
        <v>250</v>
      </c>
      <c r="R16" s="2948" t="s">
        <v>207</v>
      </c>
      <c r="S16" s="2948" t="s">
        <v>2917</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2918</v>
      </c>
      <c r="P17" s="2948" t="s">
        <v>2919</v>
      </c>
      <c r="Q17" s="2948" t="s">
        <v>256</v>
      </c>
      <c r="R17" s="2948" t="s">
        <v>2920</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2921</v>
      </c>
      <c r="P18" s="2948" t="s">
        <v>241</v>
      </c>
      <c r="Q18" s="2948" t="s">
        <v>2922</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2923</v>
      </c>
      <c r="P19" s="2948" t="s">
        <v>249</v>
      </c>
      <c r="Q19" s="2948" t="s">
        <v>2924</v>
      </c>
      <c r="R19" s="2948" t="s">
        <v>265</v>
      </c>
      <c r="S19" s="2948" t="s">
        <v>2925</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2926</v>
      </c>
      <c r="P20" s="2948" t="s">
        <v>2927</v>
      </c>
      <c r="Q20" s="2948" t="s">
        <v>290</v>
      </c>
      <c r="R20" s="2948" t="s">
        <v>2928</v>
      </c>
      <c r="S20" s="2948" t="s">
        <v>277</v>
      </c>
    </row>
    <row r="21" spans="1:19" ht="14.25" customHeight="1" thickBot="1">
      <c r="A21" s="2948" t="s">
        <v>184</v>
      </c>
      <c r="B21" s="2949" t="s">
        <v>208</v>
      </c>
      <c r="C21" s="2948">
        <v>32370</v>
      </c>
      <c r="D21" s="2948">
        <v>26730</v>
      </c>
      <c r="E21" s="2948">
        <v>26640</v>
      </c>
      <c r="F21" s="2948"/>
      <c r="G21" s="2948">
        <v>19440</v>
      </c>
      <c r="J21" s="2955" t="s">
        <v>2929</v>
      </c>
      <c r="K21" s="2949" t="s">
        <v>267</v>
      </c>
      <c r="L21" s="2948" t="s">
        <v>268</v>
      </c>
      <c r="M21" s="2948" t="s">
        <v>269</v>
      </c>
      <c r="N21" s="2948" t="s">
        <v>270</v>
      </c>
      <c r="O21" s="2948" t="s">
        <v>264</v>
      </c>
      <c r="P21" s="2948" t="s">
        <v>283</v>
      </c>
      <c r="Q21" s="2948" t="s">
        <v>293</v>
      </c>
      <c r="R21" s="2948" t="s">
        <v>2930</v>
      </c>
      <c r="S21" s="2955" t="s">
        <v>2931</v>
      </c>
    </row>
    <row r="22" spans="1:19" ht="14.25" customHeight="1">
      <c r="A22" s="2948" t="s">
        <v>184</v>
      </c>
      <c r="B22" s="2949" t="s">
        <v>2911</v>
      </c>
      <c r="C22" s="2948">
        <v>29830</v>
      </c>
      <c r="D22" s="2948">
        <v>27600</v>
      </c>
      <c r="E22" s="2948">
        <v>28150</v>
      </c>
      <c r="F22" s="2948"/>
      <c r="G22" s="2948">
        <v>20080</v>
      </c>
      <c r="K22" s="2949" t="s">
        <v>2932</v>
      </c>
      <c r="L22" s="2948" t="s">
        <v>272</v>
      </c>
      <c r="M22" s="2948" t="s">
        <v>273</v>
      </c>
      <c r="N22" s="2948" t="s">
        <v>274</v>
      </c>
      <c r="O22" s="2948" t="s">
        <v>2933</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2934</v>
      </c>
      <c r="L23" s="2948" t="s">
        <v>278</v>
      </c>
      <c r="M23" s="2948" t="s">
        <v>279</v>
      </c>
      <c r="N23" s="2948" t="s">
        <v>2935</v>
      </c>
      <c r="O23" s="2948" t="s">
        <v>2936</v>
      </c>
      <c r="P23" s="2948" t="s">
        <v>289</v>
      </c>
      <c r="Q23" s="2948" t="s">
        <v>298</v>
      </c>
      <c r="R23" s="2948" t="s">
        <v>2937</v>
      </c>
    </row>
    <row r="24" spans="1:19" ht="14.25" customHeight="1">
      <c r="A24" s="2948" t="s">
        <v>184</v>
      </c>
      <c r="B24" s="2949" t="s">
        <v>230</v>
      </c>
      <c r="C24" s="2948">
        <v>27930</v>
      </c>
      <c r="D24" s="2948">
        <v>32260</v>
      </c>
      <c r="E24" s="2948">
        <v>32120</v>
      </c>
      <c r="F24" s="2948"/>
      <c r="G24" s="2948">
        <v>23470</v>
      </c>
      <c r="K24" s="2949" t="s">
        <v>2938</v>
      </c>
      <c r="L24" s="2948" t="s">
        <v>281</v>
      </c>
      <c r="M24" s="2948" t="s">
        <v>282</v>
      </c>
      <c r="N24" s="2948" t="s">
        <v>2939</v>
      </c>
      <c r="O24" s="2948" t="s">
        <v>285</v>
      </c>
      <c r="P24" s="2948" t="s">
        <v>2940</v>
      </c>
      <c r="Q24" s="2957" t="s">
        <v>2941</v>
      </c>
      <c r="R24" s="2948" t="s">
        <v>2942</v>
      </c>
    </row>
    <row r="25" spans="1:19" ht="14.25" customHeight="1">
      <c r="A25" s="2948" t="s">
        <v>184</v>
      </c>
      <c r="B25" s="2949" t="s">
        <v>235</v>
      </c>
      <c r="C25" s="2948">
        <v>32230</v>
      </c>
      <c r="D25" s="2948">
        <v>29640</v>
      </c>
      <c r="E25" s="2948">
        <v>29510</v>
      </c>
      <c r="F25" s="2948"/>
      <c r="G25" s="2948">
        <v>21560</v>
      </c>
      <c r="K25" s="2949" t="s">
        <v>2943</v>
      </c>
      <c r="L25" s="2948" t="s">
        <v>2944</v>
      </c>
      <c r="M25" s="2948" t="s">
        <v>284</v>
      </c>
      <c r="N25" s="2948" t="s">
        <v>292</v>
      </c>
      <c r="O25" s="2948" t="s">
        <v>288</v>
      </c>
      <c r="P25" s="2948" t="s">
        <v>275</v>
      </c>
      <c r="Q25" s="2957" t="s">
        <v>271</v>
      </c>
      <c r="R25" s="2948" t="s">
        <v>2945</v>
      </c>
    </row>
    <row r="26" spans="1:19" ht="14.25" customHeight="1" thickBot="1">
      <c r="A26" s="2948" t="s">
        <v>184</v>
      </c>
      <c r="B26" s="2949" t="s">
        <v>244</v>
      </c>
      <c r="C26" s="2948">
        <v>31690</v>
      </c>
      <c r="D26" s="2948">
        <v>27650</v>
      </c>
      <c r="E26" s="2948">
        <v>28200</v>
      </c>
      <c r="F26" s="2948"/>
      <c r="G26" s="2948">
        <v>20110</v>
      </c>
      <c r="K26" s="2954" t="s">
        <v>2946</v>
      </c>
      <c r="L26" s="2948" t="s">
        <v>2947</v>
      </c>
      <c r="M26" s="2948" t="s">
        <v>287</v>
      </c>
      <c r="N26" s="2948" t="s">
        <v>294</v>
      </c>
      <c r="O26" s="2948" t="s">
        <v>2948</v>
      </c>
      <c r="P26" s="2948" t="s">
        <v>2949</v>
      </c>
      <c r="Q26" s="2957" t="s">
        <v>276</v>
      </c>
      <c r="R26" s="2948" t="s">
        <v>2950</v>
      </c>
    </row>
    <row r="27" spans="1:19" ht="14.25" customHeight="1">
      <c r="A27" s="2948" t="s">
        <v>184</v>
      </c>
      <c r="B27" s="2949" t="s">
        <v>251</v>
      </c>
      <c r="C27" s="2948">
        <v>29610</v>
      </c>
      <c r="D27" s="2948">
        <v>27770</v>
      </c>
      <c r="E27" s="2948">
        <v>28300</v>
      </c>
      <c r="F27" s="2948"/>
      <c r="G27" s="2948">
        <v>20210</v>
      </c>
      <c r="L27" s="2948" t="s">
        <v>2951</v>
      </c>
      <c r="M27" s="2948" t="s">
        <v>291</v>
      </c>
      <c r="N27" s="2948" t="s">
        <v>297</v>
      </c>
      <c r="O27" s="2948" t="s">
        <v>2952</v>
      </c>
      <c r="P27" s="2948" t="s">
        <v>2953</v>
      </c>
      <c r="Q27" s="2948" t="s">
        <v>2954</v>
      </c>
      <c r="R27" s="2948" t="s">
        <v>2955</v>
      </c>
    </row>
    <row r="28" spans="1:19" ht="14.25" customHeight="1">
      <c r="A28" s="2948" t="s">
        <v>184</v>
      </c>
      <c r="B28" s="2949" t="s">
        <v>259</v>
      </c>
      <c r="C28" s="2948"/>
      <c r="D28" s="2948">
        <v>31520</v>
      </c>
      <c r="E28" s="2948">
        <v>31410</v>
      </c>
      <c r="F28" s="2948"/>
      <c r="G28" s="2948">
        <v>22940</v>
      </c>
      <c r="L28" s="2948" t="s">
        <v>2956</v>
      </c>
      <c r="M28" s="2948" t="s">
        <v>2957</v>
      </c>
      <c r="N28" s="2948" t="s">
        <v>2958</v>
      </c>
      <c r="O28" s="2948" t="s">
        <v>2959</v>
      </c>
      <c r="P28" s="2948" t="s">
        <v>2960</v>
      </c>
      <c r="Q28" s="2948" t="s">
        <v>2961</v>
      </c>
      <c r="R28" s="2948" t="s">
        <v>2962</v>
      </c>
    </row>
    <row r="29" spans="1:19" ht="14.25" customHeight="1" thickBot="1">
      <c r="A29" s="2956" t="s">
        <v>184</v>
      </c>
      <c r="B29" s="2958" t="s">
        <v>2929</v>
      </c>
      <c r="C29" s="2959"/>
      <c r="D29" s="2959">
        <v>29460</v>
      </c>
      <c r="E29" s="2959">
        <v>28640</v>
      </c>
      <c r="F29" s="2959"/>
      <c r="G29" s="2959">
        <v>21430</v>
      </c>
      <c r="L29" s="2948" t="s">
        <v>2963</v>
      </c>
      <c r="M29" s="2948" t="s">
        <v>2964</v>
      </c>
      <c r="N29" s="2948" t="s">
        <v>2965</v>
      </c>
      <c r="O29" s="2948" t="s">
        <v>2966</v>
      </c>
      <c r="P29" s="2948" t="s">
        <v>2967</v>
      </c>
      <c r="Q29" s="2948" t="s">
        <v>2968</v>
      </c>
      <c r="R29" s="2948" t="s">
        <v>280</v>
      </c>
    </row>
    <row r="30" spans="1:19" ht="14.25" customHeight="1">
      <c r="A30" s="2953" t="s">
        <v>296</v>
      </c>
      <c r="B30" s="2944" t="s">
        <v>2862</v>
      </c>
      <c r="C30" s="2944">
        <v>26890</v>
      </c>
      <c r="D30" s="2944">
        <v>26770</v>
      </c>
      <c r="E30" s="2944">
        <v>25700</v>
      </c>
      <c r="F30" s="2944">
        <v>8180</v>
      </c>
      <c r="G30" s="2960">
        <v>18740</v>
      </c>
      <c r="L30" s="2948" t="s">
        <v>2969</v>
      </c>
      <c r="M30" s="2948" t="s">
        <v>2970</v>
      </c>
      <c r="N30" s="2948" t="s">
        <v>2971</v>
      </c>
      <c r="O30" s="2948" t="s">
        <v>2972</v>
      </c>
      <c r="P30" s="2948" t="s">
        <v>2973</v>
      </c>
      <c r="Q30" s="2948" t="s">
        <v>2974</v>
      </c>
      <c r="R30" s="2948" t="s">
        <v>2975</v>
      </c>
    </row>
    <row r="31" spans="1:19" ht="14.25" customHeight="1">
      <c r="A31" s="2948" t="s">
        <v>296</v>
      </c>
      <c r="B31" s="2949" t="s">
        <v>129</v>
      </c>
      <c r="C31" s="2948">
        <v>24550</v>
      </c>
      <c r="D31" s="2948">
        <v>23990</v>
      </c>
      <c r="E31" s="2948">
        <v>22930</v>
      </c>
      <c r="F31" s="2948">
        <v>7470</v>
      </c>
      <c r="G31" s="2961">
        <v>16790</v>
      </c>
      <c r="L31" s="2948" t="s">
        <v>2976</v>
      </c>
      <c r="M31" s="2948" t="s">
        <v>2977</v>
      </c>
      <c r="N31" s="2948" t="s">
        <v>2978</v>
      </c>
      <c r="O31" s="2948" t="s">
        <v>2979</v>
      </c>
      <c r="P31" s="2948" t="s">
        <v>2980</v>
      </c>
      <c r="Q31" s="2948" t="s">
        <v>2981</v>
      </c>
      <c r="R31" s="2948" t="s">
        <v>2982</v>
      </c>
    </row>
    <row r="32" spans="1:19" ht="14.25" customHeight="1" thickBot="1">
      <c r="A32" s="2948" t="s">
        <v>296</v>
      </c>
      <c r="B32" s="2949" t="s">
        <v>138</v>
      </c>
      <c r="C32" s="2948">
        <v>27210</v>
      </c>
      <c r="D32" s="2948">
        <v>23240</v>
      </c>
      <c r="E32" s="2948">
        <v>23260</v>
      </c>
      <c r="F32" s="2948">
        <v>7130</v>
      </c>
      <c r="G32" s="2961">
        <v>16270</v>
      </c>
      <c r="L32" s="2948" t="s">
        <v>2983</v>
      </c>
      <c r="M32" s="2948" t="s">
        <v>2984</v>
      </c>
      <c r="N32" s="2948" t="s">
        <v>300</v>
      </c>
      <c r="O32" s="2948" t="s">
        <v>2985</v>
      </c>
      <c r="P32" s="2948" t="s">
        <v>299</v>
      </c>
      <c r="Q32" s="2948" t="s">
        <v>2986</v>
      </c>
      <c r="R32" s="2955" t="s">
        <v>2987</v>
      </c>
    </row>
    <row r="33" spans="1:17" ht="14.25" customHeight="1" thickBot="1">
      <c r="A33" s="2948" t="s">
        <v>296</v>
      </c>
      <c r="B33" s="2949" t="s">
        <v>147</v>
      </c>
      <c r="C33" s="2948">
        <v>27300</v>
      </c>
      <c r="D33" s="2948">
        <v>22980</v>
      </c>
      <c r="E33" s="2948">
        <v>24260</v>
      </c>
      <c r="F33" s="2948">
        <v>5860</v>
      </c>
      <c r="G33" s="2961">
        <v>16090</v>
      </c>
      <c r="L33" s="2955" t="s">
        <v>2988</v>
      </c>
      <c r="M33" s="2948" t="s">
        <v>2989</v>
      </c>
      <c r="N33" s="2948" t="s">
        <v>301</v>
      </c>
      <c r="O33" s="2948" t="s">
        <v>2990</v>
      </c>
      <c r="P33" s="2948" t="s">
        <v>2991</v>
      </c>
      <c r="Q33" s="2948" t="s">
        <v>2992</v>
      </c>
    </row>
    <row r="34" spans="1:17" ht="14.25" customHeight="1">
      <c r="A34" s="2948" t="s">
        <v>296</v>
      </c>
      <c r="B34" s="2949" t="s">
        <v>156</v>
      </c>
      <c r="C34" s="2948">
        <v>23090</v>
      </c>
      <c r="D34" s="2948">
        <v>23390</v>
      </c>
      <c r="E34" s="2948">
        <v>23510</v>
      </c>
      <c r="F34" s="2948">
        <v>6700</v>
      </c>
      <c r="G34" s="2961">
        <v>16370</v>
      </c>
      <c r="M34" s="2948" t="s">
        <v>2993</v>
      </c>
      <c r="N34" s="2948" t="s">
        <v>302</v>
      </c>
      <c r="O34" s="2948" t="s">
        <v>2994</v>
      </c>
      <c r="P34" s="2948" t="s">
        <v>2995</v>
      </c>
      <c r="Q34" s="2948" t="s">
        <v>2996</v>
      </c>
    </row>
    <row r="35" spans="1:17" ht="14.25" customHeight="1">
      <c r="A35" s="2948" t="s">
        <v>296</v>
      </c>
      <c r="B35" s="2949" t="s">
        <v>163</v>
      </c>
      <c r="C35" s="2948">
        <v>27270</v>
      </c>
      <c r="D35" s="2948">
        <v>24270</v>
      </c>
      <c r="E35" s="2948">
        <v>24950</v>
      </c>
      <c r="F35" s="2948">
        <v>6600</v>
      </c>
      <c r="G35" s="2961">
        <v>16990</v>
      </c>
      <c r="M35" s="2948" t="s">
        <v>2997</v>
      </c>
      <c r="N35" s="2948" t="s">
        <v>2998</v>
      </c>
      <c r="O35" s="2948" t="s">
        <v>2999</v>
      </c>
      <c r="P35" s="2948" t="s">
        <v>3000</v>
      </c>
      <c r="Q35" s="2948" t="s">
        <v>3001</v>
      </c>
    </row>
    <row r="36" spans="1:17" ht="14.25" customHeight="1">
      <c r="A36" s="2948" t="s">
        <v>296</v>
      </c>
      <c r="B36" s="2949" t="s">
        <v>169</v>
      </c>
      <c r="C36" s="2948">
        <v>23490</v>
      </c>
      <c r="D36" s="2948">
        <v>23020</v>
      </c>
      <c r="E36" s="2948">
        <v>25230</v>
      </c>
      <c r="F36" s="2948">
        <v>6780</v>
      </c>
      <c r="G36" s="2961">
        <v>16120</v>
      </c>
      <c r="M36" s="2948" t="s">
        <v>3002</v>
      </c>
      <c r="N36" s="2948" t="s">
        <v>3003</v>
      </c>
      <c r="O36" s="2948" t="s">
        <v>3004</v>
      </c>
      <c r="P36" s="2948" t="s">
        <v>3005</v>
      </c>
      <c r="Q36" s="2948" t="s">
        <v>3006</v>
      </c>
    </row>
    <row r="37" spans="1:17" ht="14.25" customHeight="1">
      <c r="A37" s="2948" t="s">
        <v>296</v>
      </c>
      <c r="B37" s="2949" t="s">
        <v>176</v>
      </c>
      <c r="C37" s="2948">
        <v>24380</v>
      </c>
      <c r="D37" s="2948">
        <v>22240</v>
      </c>
      <c r="E37" s="2948">
        <v>25980</v>
      </c>
      <c r="F37" s="2948">
        <v>8160</v>
      </c>
      <c r="G37" s="2961">
        <v>15570</v>
      </c>
      <c r="M37" s="2948" t="s">
        <v>3007</v>
      </c>
      <c r="N37" s="2948" t="s">
        <v>3008</v>
      </c>
      <c r="O37" s="2948" t="s">
        <v>3009</v>
      </c>
      <c r="P37" s="2948" t="s">
        <v>3010</v>
      </c>
      <c r="Q37" s="2948" t="s">
        <v>3011</v>
      </c>
    </row>
    <row r="38" spans="1:17" ht="14.25" customHeight="1">
      <c r="A38" s="2948" t="s">
        <v>296</v>
      </c>
      <c r="B38" s="2949" t="s">
        <v>186</v>
      </c>
      <c r="C38" s="2948">
        <v>23120</v>
      </c>
      <c r="D38" s="2948">
        <v>24630</v>
      </c>
      <c r="E38" s="2948">
        <v>25030</v>
      </c>
      <c r="F38" s="2948">
        <v>7710</v>
      </c>
      <c r="G38" s="2961">
        <v>17240</v>
      </c>
      <c r="M38" s="2948" t="s">
        <v>3012</v>
      </c>
      <c r="N38" s="2948" t="s">
        <v>3013</v>
      </c>
      <c r="O38" s="2948" t="s">
        <v>3014</v>
      </c>
      <c r="P38" s="2948" t="s">
        <v>3015</v>
      </c>
      <c r="Q38" s="2948" t="s">
        <v>3016</v>
      </c>
    </row>
    <row r="39" spans="1:17" ht="14.25" customHeight="1">
      <c r="A39" s="2948" t="s">
        <v>296</v>
      </c>
      <c r="B39" s="2949" t="s">
        <v>195</v>
      </c>
      <c r="C39" s="2948">
        <v>22330</v>
      </c>
      <c r="D39" s="2948">
        <v>21140</v>
      </c>
      <c r="E39" s="2948">
        <v>23970</v>
      </c>
      <c r="F39" s="2948">
        <v>7940</v>
      </c>
      <c r="G39" s="2961">
        <v>14790</v>
      </c>
      <c r="M39" s="2948" t="s">
        <v>3017</v>
      </c>
      <c r="N39" s="2948" t="s">
        <v>3018</v>
      </c>
      <c r="O39" s="2948" t="s">
        <v>3019</v>
      </c>
      <c r="P39" s="2948" t="s">
        <v>3020</v>
      </c>
      <c r="Q39" s="2948" t="s">
        <v>3021</v>
      </c>
    </row>
    <row r="40" spans="1:17" ht="14.25" customHeight="1">
      <c r="A40" s="2948" t="s">
        <v>296</v>
      </c>
      <c r="B40" s="2949" t="s">
        <v>202</v>
      </c>
      <c r="C40" s="2948">
        <v>24740</v>
      </c>
      <c r="D40" s="2948">
        <v>24690</v>
      </c>
      <c r="E40" s="2948">
        <v>22610</v>
      </c>
      <c r="F40" s="2948"/>
      <c r="G40" s="2961">
        <v>17280</v>
      </c>
      <c r="M40" s="2948" t="s">
        <v>3022</v>
      </c>
      <c r="N40" s="2948" t="s">
        <v>3023</v>
      </c>
      <c r="O40" s="2948" t="s">
        <v>3024</v>
      </c>
      <c r="P40" s="2948" t="s">
        <v>3025</v>
      </c>
      <c r="Q40" s="2948" t="s">
        <v>3026</v>
      </c>
    </row>
    <row r="41" spans="1:17" ht="14.25" customHeight="1" thickBot="1">
      <c r="A41" s="2948" t="s">
        <v>296</v>
      </c>
      <c r="B41" s="2949" t="s">
        <v>209</v>
      </c>
      <c r="C41" s="2948">
        <v>21220</v>
      </c>
      <c r="D41" s="2948">
        <v>21120</v>
      </c>
      <c r="E41" s="2948">
        <v>22590</v>
      </c>
      <c r="F41" s="2948"/>
      <c r="G41" s="2961">
        <v>14780</v>
      </c>
      <c r="M41" s="2955" t="s">
        <v>3027</v>
      </c>
      <c r="N41" s="2948" t="s">
        <v>3028</v>
      </c>
      <c r="O41" s="2948" t="s">
        <v>3029</v>
      </c>
      <c r="P41" s="2948" t="s">
        <v>3030</v>
      </c>
      <c r="Q41" s="2948" t="s">
        <v>3031</v>
      </c>
    </row>
    <row r="42" spans="1:17" ht="14.25" customHeight="1">
      <c r="A42" s="2948" t="s">
        <v>296</v>
      </c>
      <c r="B42" s="2949" t="s">
        <v>215</v>
      </c>
      <c r="C42" s="2948">
        <v>24800</v>
      </c>
      <c r="D42" s="2948">
        <v>22280</v>
      </c>
      <c r="E42" s="2948">
        <v>24350</v>
      </c>
      <c r="F42" s="2948"/>
      <c r="G42" s="2961">
        <v>15590</v>
      </c>
      <c r="N42" s="2948" t="s">
        <v>3032</v>
      </c>
      <c r="O42" s="2948" t="s">
        <v>3033</v>
      </c>
      <c r="P42" s="2948" t="s">
        <v>3034</v>
      </c>
      <c r="Q42" s="2948" t="s">
        <v>3035</v>
      </c>
    </row>
    <row r="43" spans="1:17" ht="14.25" customHeight="1">
      <c r="A43" s="2948" t="s">
        <v>3036</v>
      </c>
      <c r="B43" s="2949" t="s">
        <v>223</v>
      </c>
      <c r="C43" s="2948">
        <v>21210</v>
      </c>
      <c r="D43" s="2948">
        <v>21160</v>
      </c>
      <c r="E43" s="2948">
        <v>22650</v>
      </c>
      <c r="F43" s="2948"/>
      <c r="G43" s="2961">
        <v>14800</v>
      </c>
      <c r="N43" s="2948" t="s">
        <v>3037</v>
      </c>
      <c r="O43" s="2948" t="s">
        <v>3038</v>
      </c>
      <c r="P43" s="2948" t="s">
        <v>3039</v>
      </c>
      <c r="Q43" s="2948" t="s">
        <v>3040</v>
      </c>
    </row>
    <row r="44" spans="1:17" ht="14.25" customHeight="1" thickBot="1">
      <c r="A44" s="2948" t="s">
        <v>296</v>
      </c>
      <c r="B44" s="2949" t="s">
        <v>231</v>
      </c>
      <c r="C44" s="2948">
        <v>22370</v>
      </c>
      <c r="D44" s="2948">
        <v>23140</v>
      </c>
      <c r="E44" s="2948">
        <v>25090</v>
      </c>
      <c r="F44" s="2948"/>
      <c r="G44" s="2961">
        <v>16190</v>
      </c>
      <c r="N44" s="2948" t="s">
        <v>3041</v>
      </c>
      <c r="O44" s="2948" t="s">
        <v>3042</v>
      </c>
      <c r="P44" s="2955" t="s">
        <v>3043</v>
      </c>
      <c r="Q44" s="2948" t="s">
        <v>3044</v>
      </c>
    </row>
    <row r="45" spans="1:17" ht="14.25" customHeight="1" thickBot="1">
      <c r="A45" s="2948" t="s">
        <v>296</v>
      </c>
      <c r="B45" s="2949" t="s">
        <v>236</v>
      </c>
      <c r="C45" s="2948">
        <v>21240</v>
      </c>
      <c r="D45" s="2948">
        <v>27050</v>
      </c>
      <c r="E45" s="2948">
        <v>28000</v>
      </c>
      <c r="F45" s="2948"/>
      <c r="G45" s="2961">
        <v>18940</v>
      </c>
      <c r="N45" s="2948" t="s">
        <v>3045</v>
      </c>
      <c r="O45" s="2955" t="s">
        <v>3046</v>
      </c>
      <c r="Q45" s="2948" t="s">
        <v>3047</v>
      </c>
    </row>
    <row r="46" spans="1:17" ht="14.25" customHeight="1">
      <c r="A46" s="2948" t="s">
        <v>296</v>
      </c>
      <c r="B46" s="2949" t="s">
        <v>245</v>
      </c>
      <c r="C46" s="2948">
        <v>23240</v>
      </c>
      <c r="D46" s="2948">
        <v>23000</v>
      </c>
      <c r="E46" s="2948">
        <v>24980</v>
      </c>
      <c r="F46" s="2948"/>
      <c r="G46" s="2961">
        <v>16100</v>
      </c>
      <c r="N46" s="2948" t="s">
        <v>3048</v>
      </c>
      <c r="Q46" s="2948" t="s">
        <v>3049</v>
      </c>
    </row>
    <row r="47" spans="1:17" ht="14.25" customHeight="1">
      <c r="A47" s="2948" t="s">
        <v>296</v>
      </c>
      <c r="B47" s="2949" t="s">
        <v>252</v>
      </c>
      <c r="C47" s="2948">
        <v>27150</v>
      </c>
      <c r="D47" s="2948">
        <v>23310</v>
      </c>
      <c r="E47" s="2948">
        <v>25150</v>
      </c>
      <c r="F47" s="2948"/>
      <c r="G47" s="2961">
        <v>16310</v>
      </c>
      <c r="N47" s="2948" t="s">
        <v>3050</v>
      </c>
      <c r="Q47" s="2948" t="s">
        <v>3051</v>
      </c>
    </row>
    <row r="48" spans="1:17" ht="14.25" customHeight="1">
      <c r="A48" s="2948" t="s">
        <v>296</v>
      </c>
      <c r="B48" s="2949" t="s">
        <v>260</v>
      </c>
      <c r="C48" s="2948">
        <v>23100</v>
      </c>
      <c r="D48" s="2948">
        <v>21110</v>
      </c>
      <c r="E48" s="2948">
        <v>23080</v>
      </c>
      <c r="F48" s="2948"/>
      <c r="G48" s="2961">
        <v>14780</v>
      </c>
      <c r="N48" s="2948" t="s">
        <v>3052</v>
      </c>
      <c r="Q48" s="2948" t="s">
        <v>3053</v>
      </c>
    </row>
    <row r="49" spans="1:17" ht="14.25" customHeight="1">
      <c r="A49" s="2948" t="s">
        <v>296</v>
      </c>
      <c r="B49" s="2949" t="s">
        <v>267</v>
      </c>
      <c r="C49" s="2948">
        <v>23400</v>
      </c>
      <c r="D49" s="2948">
        <v>22920</v>
      </c>
      <c r="E49" s="2948">
        <v>24900</v>
      </c>
      <c r="F49" s="2948"/>
      <c r="G49" s="2961">
        <v>16040</v>
      </c>
      <c r="N49" s="2948" t="s">
        <v>3054</v>
      </c>
      <c r="Q49" s="2948" t="s">
        <v>3055</v>
      </c>
    </row>
    <row r="50" spans="1:17" ht="14.25" customHeight="1">
      <c r="A50" s="2948" t="s">
        <v>296</v>
      </c>
      <c r="B50" s="2949" t="s">
        <v>2932</v>
      </c>
      <c r="C50" s="2948">
        <v>21200</v>
      </c>
      <c r="D50" s="2948">
        <v>26540</v>
      </c>
      <c r="E50" s="2948">
        <v>23200</v>
      </c>
      <c r="F50" s="2948"/>
      <c r="G50" s="2961">
        <v>18580</v>
      </c>
      <c r="N50" s="2948" t="s">
        <v>3056</v>
      </c>
      <c r="Q50" s="2949" t="s">
        <v>3057</v>
      </c>
    </row>
    <row r="51" spans="1:17" ht="14.25" customHeight="1" thickBot="1">
      <c r="A51" s="2948" t="s">
        <v>296</v>
      </c>
      <c r="B51" s="2949" t="s">
        <v>2934</v>
      </c>
      <c r="C51" s="2948">
        <v>23000</v>
      </c>
      <c r="D51" s="2948">
        <v>23460</v>
      </c>
      <c r="E51" s="2948">
        <v>25290</v>
      </c>
      <c r="F51" s="2948"/>
      <c r="G51" s="2961">
        <v>16420</v>
      </c>
      <c r="N51" s="2948" t="s">
        <v>3058</v>
      </c>
      <c r="Q51" s="2955" t="s">
        <v>3059</v>
      </c>
    </row>
    <row r="52" spans="1:17" ht="14.25" customHeight="1">
      <c r="A52" s="2948" t="s">
        <v>296</v>
      </c>
      <c r="B52" s="2949" t="s">
        <v>2938</v>
      </c>
      <c r="C52" s="2948">
        <v>26660</v>
      </c>
      <c r="D52" s="2948">
        <v>22350</v>
      </c>
      <c r="E52" s="2948">
        <v>22920</v>
      </c>
      <c r="F52" s="2948"/>
      <c r="G52" s="2961">
        <v>15640</v>
      </c>
      <c r="N52" s="2948" t="s">
        <v>3060</v>
      </c>
    </row>
    <row r="53" spans="1:17" ht="14.25" customHeight="1">
      <c r="A53" s="2948" t="s">
        <v>296</v>
      </c>
      <c r="B53" s="2949" t="s">
        <v>2943</v>
      </c>
      <c r="C53" s="2948">
        <v>23580</v>
      </c>
      <c r="D53" s="2948"/>
      <c r="E53" s="2948">
        <v>24280</v>
      </c>
      <c r="F53" s="2948"/>
      <c r="G53" s="2961"/>
      <c r="N53" s="2948" t="s">
        <v>3061</v>
      </c>
    </row>
    <row r="54" spans="1:17" ht="14.25" customHeight="1" thickBot="1">
      <c r="A54" s="2962" t="s">
        <v>296</v>
      </c>
      <c r="B54" s="2954" t="s">
        <v>2946</v>
      </c>
      <c r="C54" s="2955">
        <v>22460</v>
      </c>
      <c r="D54" s="2955"/>
      <c r="E54" s="2955"/>
      <c r="F54" s="2955"/>
      <c r="G54" s="2963"/>
      <c r="N54" s="2948" t="s">
        <v>3062</v>
      </c>
    </row>
    <row r="55" spans="1:17" ht="14.25" customHeight="1">
      <c r="A55" s="2953" t="s">
        <v>110</v>
      </c>
      <c r="B55" s="2944" t="s">
        <v>3063</v>
      </c>
      <c r="C55" s="2948">
        <v>21970</v>
      </c>
      <c r="D55" s="2948">
        <v>20370</v>
      </c>
      <c r="E55" s="2948">
        <v>20180</v>
      </c>
      <c r="F55" s="2948">
        <v>5730</v>
      </c>
      <c r="G55" s="2948">
        <v>13820</v>
      </c>
      <c r="N55" s="2948" t="s">
        <v>3064</v>
      </c>
    </row>
    <row r="56" spans="1:17" ht="14.25" customHeight="1">
      <c r="A56" s="2948" t="s">
        <v>110</v>
      </c>
      <c r="B56" s="2948" t="s">
        <v>130</v>
      </c>
      <c r="C56" s="2948">
        <v>20470</v>
      </c>
      <c r="D56" s="2948">
        <v>20700</v>
      </c>
      <c r="E56" s="2948">
        <v>20380</v>
      </c>
      <c r="F56" s="2948">
        <v>4760</v>
      </c>
      <c r="G56" s="2948">
        <v>14050</v>
      </c>
      <c r="N56" s="2948" t="s">
        <v>3065</v>
      </c>
    </row>
    <row r="57" spans="1:17" ht="14.25" customHeight="1">
      <c r="A57" s="2948" t="s">
        <v>110</v>
      </c>
      <c r="B57" s="2948" t="s">
        <v>139</v>
      </c>
      <c r="C57" s="2948">
        <v>20790</v>
      </c>
      <c r="D57" s="2948">
        <v>21370</v>
      </c>
      <c r="E57" s="2948">
        <v>20890</v>
      </c>
      <c r="F57" s="2948">
        <v>4910</v>
      </c>
      <c r="G57" s="2948">
        <v>14510</v>
      </c>
      <c r="N57" s="2948" t="s">
        <v>3066</v>
      </c>
    </row>
    <row r="58" spans="1:17" ht="14.25" customHeight="1">
      <c r="A58" s="2948" t="s">
        <v>110</v>
      </c>
      <c r="B58" s="2948" t="s">
        <v>148</v>
      </c>
      <c r="C58" s="2948">
        <v>21460</v>
      </c>
      <c r="D58" s="2948">
        <v>20920</v>
      </c>
      <c r="E58" s="2948">
        <v>23410</v>
      </c>
      <c r="F58" s="2948">
        <v>5100</v>
      </c>
      <c r="G58" s="2948">
        <v>14200</v>
      </c>
      <c r="N58" s="2948" t="s">
        <v>3067</v>
      </c>
    </row>
    <row r="59" spans="1:17" ht="14.25" customHeight="1">
      <c r="A59" s="2948" t="s">
        <v>110</v>
      </c>
      <c r="B59" s="2948" t="s">
        <v>157</v>
      </c>
      <c r="C59" s="2948">
        <v>21000</v>
      </c>
      <c r="D59" s="2948">
        <v>21550</v>
      </c>
      <c r="E59" s="2948">
        <v>21150</v>
      </c>
      <c r="F59" s="2948">
        <v>5250</v>
      </c>
      <c r="G59" s="2948">
        <v>14630</v>
      </c>
      <c r="N59" s="2948" t="s">
        <v>3068</v>
      </c>
    </row>
    <row r="60" spans="1:17" ht="14.25" customHeight="1">
      <c r="A60" s="2948" t="s">
        <v>110</v>
      </c>
      <c r="B60" s="2948" t="s">
        <v>164</v>
      </c>
      <c r="C60" s="2948">
        <v>21640</v>
      </c>
      <c r="D60" s="2948">
        <v>21260</v>
      </c>
      <c r="E60" s="2948">
        <v>24040</v>
      </c>
      <c r="F60" s="2948">
        <v>4470</v>
      </c>
      <c r="G60" s="2948">
        <v>14430</v>
      </c>
      <c r="N60" s="2948" t="s">
        <v>3069</v>
      </c>
    </row>
    <row r="61" spans="1:17" ht="14.25" customHeight="1">
      <c r="A61" s="2948" t="s">
        <v>110</v>
      </c>
      <c r="B61" s="2948" t="s">
        <v>170</v>
      </c>
      <c r="C61" s="2948">
        <v>21330</v>
      </c>
      <c r="D61" s="2948">
        <v>18640</v>
      </c>
      <c r="E61" s="2948">
        <v>21190</v>
      </c>
      <c r="F61" s="2948">
        <v>4180</v>
      </c>
      <c r="G61" s="2948">
        <v>12650</v>
      </c>
      <c r="N61" s="2948" t="s">
        <v>3070</v>
      </c>
    </row>
    <row r="62" spans="1:17" ht="14.25" customHeight="1">
      <c r="A62" s="2948" t="s">
        <v>110</v>
      </c>
      <c r="B62" s="2948" t="s">
        <v>177</v>
      </c>
      <c r="C62" s="2948">
        <v>18710</v>
      </c>
      <c r="D62" s="2948">
        <v>19400</v>
      </c>
      <c r="E62" s="2948">
        <v>23750</v>
      </c>
      <c r="F62" s="2948">
        <v>4860</v>
      </c>
      <c r="G62" s="2948">
        <v>13170</v>
      </c>
      <c r="N62" s="2948" t="s">
        <v>3071</v>
      </c>
    </row>
    <row r="63" spans="1:17" ht="14.25" customHeight="1">
      <c r="A63" s="2948" t="s">
        <v>110</v>
      </c>
      <c r="B63" s="2948" t="s">
        <v>187</v>
      </c>
      <c r="C63" s="2948">
        <v>19480</v>
      </c>
      <c r="D63" s="2948">
        <v>16830</v>
      </c>
      <c r="E63" s="2948">
        <v>21590</v>
      </c>
      <c r="F63" s="2948">
        <v>4560</v>
      </c>
      <c r="G63" s="2948">
        <v>11420</v>
      </c>
      <c r="N63" s="2948" t="s">
        <v>3072</v>
      </c>
    </row>
    <row r="64" spans="1:17" ht="14.25" customHeight="1" thickBot="1">
      <c r="A64" s="2948" t="s">
        <v>110</v>
      </c>
      <c r="B64" s="2948" t="s">
        <v>196</v>
      </c>
      <c r="C64" s="2948">
        <v>16920</v>
      </c>
      <c r="D64" s="2948">
        <v>19190</v>
      </c>
      <c r="E64" s="2948">
        <v>22200</v>
      </c>
      <c r="F64" s="2948">
        <v>4390</v>
      </c>
      <c r="G64" s="2948">
        <v>13030</v>
      </c>
      <c r="N64" s="2955" t="s">
        <v>3073</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2944</v>
      </c>
      <c r="C78" s="2948">
        <v>19820</v>
      </c>
      <c r="D78" s="2948">
        <v>19780</v>
      </c>
      <c r="E78" s="2948">
        <v>18560</v>
      </c>
      <c r="F78" s="2948"/>
      <c r="G78" s="2948">
        <v>13430</v>
      </c>
    </row>
    <row r="79" spans="1:7" s="2782" customFormat="1" ht="14.25" customHeight="1">
      <c r="A79" s="2948" t="s">
        <v>110</v>
      </c>
      <c r="B79" s="2948" t="s">
        <v>2947</v>
      </c>
      <c r="C79" s="2948">
        <v>21660</v>
      </c>
      <c r="D79" s="2948">
        <v>18000</v>
      </c>
      <c r="E79" s="2948">
        <v>22570</v>
      </c>
      <c r="F79" s="2948"/>
      <c r="G79" s="2948">
        <v>12220</v>
      </c>
    </row>
    <row r="80" spans="1:7" s="2782" customFormat="1" ht="14.25" customHeight="1">
      <c r="A80" s="2948" t="s">
        <v>110</v>
      </c>
      <c r="B80" s="2948" t="s">
        <v>2951</v>
      </c>
      <c r="C80" s="2948">
        <v>19850</v>
      </c>
      <c r="D80" s="2948"/>
      <c r="E80" s="2948">
        <v>21700</v>
      </c>
      <c r="F80" s="2948"/>
      <c r="G80" s="2948"/>
    </row>
    <row r="81" spans="1:7" s="2782" customFormat="1" ht="14.25" customHeight="1">
      <c r="A81" s="2948" t="s">
        <v>110</v>
      </c>
      <c r="B81" s="2948" t="s">
        <v>2956</v>
      </c>
      <c r="C81" s="2948">
        <v>18080</v>
      </c>
      <c r="D81" s="2948"/>
      <c r="E81" s="2948">
        <v>20900</v>
      </c>
      <c r="F81" s="2948"/>
      <c r="G81" s="2948"/>
    </row>
    <row r="82" spans="1:7" s="2782" customFormat="1" ht="14.25" customHeight="1">
      <c r="A82" s="2948" t="s">
        <v>110</v>
      </c>
      <c r="B82" s="2948" t="s">
        <v>2963</v>
      </c>
      <c r="C82" s="2948"/>
      <c r="D82" s="2948"/>
      <c r="E82" s="2948">
        <v>20840</v>
      </c>
      <c r="F82" s="2948"/>
      <c r="G82" s="2948"/>
    </row>
    <row r="83" spans="1:7" s="2782" customFormat="1" ht="14.25" customHeight="1">
      <c r="A83" s="2948" t="s">
        <v>110</v>
      </c>
      <c r="B83" s="2948" t="s">
        <v>3074</v>
      </c>
      <c r="C83" s="2948"/>
      <c r="D83" s="2948"/>
      <c r="E83" s="2948"/>
      <c r="F83" s="2948">
        <v>4770</v>
      </c>
      <c r="G83" s="2948"/>
    </row>
    <row r="84" spans="1:7" s="2782" customFormat="1" ht="14.25" customHeight="1">
      <c r="A84" s="2948" t="s">
        <v>110</v>
      </c>
      <c r="B84" s="2948" t="s">
        <v>3075</v>
      </c>
      <c r="C84" s="2948"/>
      <c r="D84" s="2948"/>
      <c r="E84" s="2948"/>
      <c r="F84" s="2948">
        <v>4600</v>
      </c>
      <c r="G84" s="2948"/>
    </row>
    <row r="85" spans="1:7" s="2782" customFormat="1" ht="14.25" customHeight="1">
      <c r="A85" s="2948" t="s">
        <v>110</v>
      </c>
      <c r="B85" s="2948" t="s">
        <v>3076</v>
      </c>
      <c r="C85" s="2948"/>
      <c r="D85" s="2948"/>
      <c r="E85" s="2948"/>
      <c r="F85" s="2948">
        <v>4680</v>
      </c>
      <c r="G85" s="2948"/>
    </row>
    <row r="86" spans="1:7" s="2782" customFormat="1" ht="14.25" customHeight="1" thickBot="1">
      <c r="A86" s="2956" t="s">
        <v>110</v>
      </c>
      <c r="B86" s="2958" t="s">
        <v>3077</v>
      </c>
      <c r="C86" s="2959">
        <v>16610</v>
      </c>
      <c r="D86" s="2959">
        <v>16540</v>
      </c>
      <c r="E86" s="2959">
        <v>18850</v>
      </c>
      <c r="F86" s="2959"/>
      <c r="G86" s="2959">
        <v>11220</v>
      </c>
    </row>
    <row r="87" spans="1:7" s="2782" customFormat="1" ht="14.25" customHeight="1">
      <c r="A87" s="2953" t="s">
        <v>303</v>
      </c>
      <c r="B87" s="2944" t="s">
        <v>3078</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2957</v>
      </c>
      <c r="C113" s="2948">
        <v>15520</v>
      </c>
      <c r="D113" s="2948">
        <v>15450</v>
      </c>
      <c r="E113" s="2948"/>
      <c r="F113" s="2948"/>
      <c r="G113" s="2961">
        <v>10210</v>
      </c>
    </row>
    <row r="114" spans="1:7" s="2782" customFormat="1" ht="14.25" customHeight="1">
      <c r="A114" s="2948" t="s">
        <v>303</v>
      </c>
      <c r="B114" s="2948" t="s">
        <v>2964</v>
      </c>
      <c r="C114" s="2948">
        <v>13110</v>
      </c>
      <c r="D114" s="2948">
        <v>13050</v>
      </c>
      <c r="E114" s="2948"/>
      <c r="F114" s="2948"/>
      <c r="G114" s="2961">
        <v>8620</v>
      </c>
    </row>
    <row r="115" spans="1:7" s="2782" customFormat="1" ht="14.25" customHeight="1">
      <c r="A115" s="2948" t="s">
        <v>303</v>
      </c>
      <c r="B115" s="2948" t="s">
        <v>2970</v>
      </c>
      <c r="C115" s="2948">
        <v>12460</v>
      </c>
      <c r="D115" s="2948">
        <v>12390</v>
      </c>
      <c r="E115" s="2948"/>
      <c r="F115" s="2948"/>
      <c r="G115" s="2961">
        <v>8190</v>
      </c>
    </row>
    <row r="116" spans="1:7" s="2782" customFormat="1" ht="14.25" customHeight="1">
      <c r="A116" s="2948" t="s">
        <v>303</v>
      </c>
      <c r="B116" s="2948" t="s">
        <v>2977</v>
      </c>
      <c r="C116" s="2948">
        <v>13580</v>
      </c>
      <c r="D116" s="2948">
        <v>13520</v>
      </c>
      <c r="E116" s="2948"/>
      <c r="F116" s="2948"/>
      <c r="G116" s="2961">
        <v>8930</v>
      </c>
    </row>
    <row r="117" spans="1:7" s="2782" customFormat="1" ht="14.25" customHeight="1">
      <c r="A117" s="2948" t="s">
        <v>303</v>
      </c>
      <c r="B117" s="2948" t="s">
        <v>2984</v>
      </c>
      <c r="C117" s="2948">
        <v>17120</v>
      </c>
      <c r="D117" s="2948">
        <v>17040</v>
      </c>
      <c r="E117" s="2948"/>
      <c r="F117" s="2948"/>
      <c r="G117" s="2961">
        <v>11260</v>
      </c>
    </row>
    <row r="118" spans="1:7" s="2782" customFormat="1" ht="14.25" customHeight="1">
      <c r="A118" s="2948" t="s">
        <v>303</v>
      </c>
      <c r="B118" s="2948" t="s">
        <v>2989</v>
      </c>
      <c r="C118" s="2948">
        <v>14860</v>
      </c>
      <c r="D118" s="2948">
        <v>14790</v>
      </c>
      <c r="E118" s="2948"/>
      <c r="F118" s="2948"/>
      <c r="G118" s="2961">
        <v>9780</v>
      </c>
    </row>
    <row r="119" spans="1:7" s="2782" customFormat="1" ht="14.25" customHeight="1">
      <c r="A119" s="2948" t="s">
        <v>303</v>
      </c>
      <c r="B119" s="2948" t="s">
        <v>2993</v>
      </c>
      <c r="C119" s="2948">
        <v>16470</v>
      </c>
      <c r="D119" s="2948">
        <v>16400</v>
      </c>
      <c r="E119" s="2948"/>
      <c r="F119" s="2948"/>
      <c r="G119" s="2961">
        <v>10840</v>
      </c>
    </row>
    <row r="120" spans="1:7" s="2782" customFormat="1" ht="14.25" customHeight="1">
      <c r="A120" s="2948" t="s">
        <v>303</v>
      </c>
      <c r="B120" s="2948" t="s">
        <v>3079</v>
      </c>
      <c r="C120" s="2948"/>
      <c r="D120" s="2948"/>
      <c r="E120" s="2948"/>
      <c r="F120" s="2948">
        <v>4160</v>
      </c>
      <c r="G120" s="2961"/>
    </row>
    <row r="121" spans="1:7" s="2782" customFormat="1" ht="14.25" customHeight="1">
      <c r="A121" s="2948" t="s">
        <v>303</v>
      </c>
      <c r="B121" s="2948" t="s">
        <v>3080</v>
      </c>
      <c r="C121" s="2948"/>
      <c r="D121" s="2948"/>
      <c r="E121" s="2948"/>
      <c r="F121" s="2948">
        <v>3880</v>
      </c>
      <c r="G121" s="2961"/>
    </row>
    <row r="122" spans="1:7" s="2782" customFormat="1" ht="14.25" customHeight="1">
      <c r="A122" s="2948" t="s">
        <v>303</v>
      </c>
      <c r="B122" s="2948" t="s">
        <v>3081</v>
      </c>
      <c r="C122" s="2948">
        <v>13750</v>
      </c>
      <c r="D122" s="2948">
        <v>13680</v>
      </c>
      <c r="E122" s="2948">
        <v>16460</v>
      </c>
      <c r="F122" s="2948">
        <v>2880</v>
      </c>
      <c r="G122" s="2961">
        <v>9040</v>
      </c>
    </row>
    <row r="123" spans="1:7" s="2782" customFormat="1" ht="14.25" customHeight="1">
      <c r="A123" s="2948" t="s">
        <v>303</v>
      </c>
      <c r="B123" s="2948" t="s">
        <v>3012</v>
      </c>
      <c r="C123" s="2948">
        <v>13590</v>
      </c>
      <c r="D123" s="2948">
        <v>13520</v>
      </c>
      <c r="E123" s="2948">
        <v>16290</v>
      </c>
      <c r="F123" s="2948">
        <v>2790</v>
      </c>
      <c r="G123" s="2961">
        <v>8930</v>
      </c>
    </row>
    <row r="124" spans="1:7" s="2782" customFormat="1" ht="14.25" customHeight="1">
      <c r="A124" s="2948" t="s">
        <v>303</v>
      </c>
      <c r="B124" s="2948" t="s">
        <v>3017</v>
      </c>
      <c r="C124" s="2948">
        <v>13400</v>
      </c>
      <c r="D124" s="2948">
        <v>13320</v>
      </c>
      <c r="E124" s="2948">
        <v>16100</v>
      </c>
      <c r="F124" s="2948">
        <v>2320</v>
      </c>
      <c r="G124" s="2961">
        <v>8800</v>
      </c>
    </row>
    <row r="125" spans="1:7" s="2782" customFormat="1" ht="14.25" customHeight="1">
      <c r="A125" s="2948" t="s">
        <v>303</v>
      </c>
      <c r="B125" s="2948" t="s">
        <v>3022</v>
      </c>
      <c r="C125" s="2948">
        <v>12860</v>
      </c>
      <c r="D125" s="2948">
        <v>12790</v>
      </c>
      <c r="E125" s="2948">
        <v>15370</v>
      </c>
      <c r="F125" s="2948">
        <v>2280</v>
      </c>
      <c r="G125" s="2961">
        <v>8450</v>
      </c>
    </row>
    <row r="126" spans="1:7" s="2782" customFormat="1" ht="14.25" customHeight="1" thickBot="1">
      <c r="A126" s="2962" t="s">
        <v>303</v>
      </c>
      <c r="B126" s="2955" t="s">
        <v>3027</v>
      </c>
      <c r="C126" s="2955">
        <v>12960</v>
      </c>
      <c r="D126" s="2955">
        <v>12890</v>
      </c>
      <c r="E126" s="2955">
        <v>15530</v>
      </c>
      <c r="F126" s="2955">
        <v>2910</v>
      </c>
      <c r="G126" s="2963">
        <v>8520</v>
      </c>
    </row>
    <row r="127" spans="1:7" s="2782" customFormat="1" ht="14.25" customHeight="1">
      <c r="A127" s="2953" t="s">
        <v>29</v>
      </c>
      <c r="B127" s="2944" t="s">
        <v>3082</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3083</v>
      </c>
      <c r="C148" s="2948">
        <v>10370</v>
      </c>
      <c r="D148" s="2948">
        <v>10310</v>
      </c>
      <c r="E148" s="2948">
        <v>12970</v>
      </c>
      <c r="F148" s="2948"/>
      <c r="G148" s="2948">
        <v>6630</v>
      </c>
    </row>
    <row r="149" spans="1:7" s="2782" customFormat="1" ht="14.25" customHeight="1">
      <c r="A149" s="2948" t="s">
        <v>29</v>
      </c>
      <c r="B149" s="2948" t="s">
        <v>3084</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2958</v>
      </c>
      <c r="C153" s="2948">
        <v>10880</v>
      </c>
      <c r="D153" s="2948">
        <v>10820</v>
      </c>
      <c r="E153" s="2948">
        <v>13660</v>
      </c>
      <c r="F153" s="2948">
        <v>2260</v>
      </c>
      <c r="G153" s="2948">
        <v>6970</v>
      </c>
    </row>
    <row r="154" spans="1:7" s="2782" customFormat="1" ht="14.25" customHeight="1">
      <c r="A154" s="2948" t="s">
        <v>29</v>
      </c>
      <c r="B154" s="2948" t="s">
        <v>3085</v>
      </c>
      <c r="C154" s="2948">
        <v>11220</v>
      </c>
      <c r="D154" s="2948">
        <v>11160</v>
      </c>
      <c r="E154" s="2948">
        <v>14130</v>
      </c>
      <c r="F154" s="2948">
        <v>2230</v>
      </c>
      <c r="G154" s="2948">
        <v>7180</v>
      </c>
    </row>
    <row r="155" spans="1:7" s="2782" customFormat="1" ht="14.25" customHeight="1">
      <c r="A155" s="2948" t="s">
        <v>29</v>
      </c>
      <c r="B155" s="2948" t="s">
        <v>2971</v>
      </c>
      <c r="C155" s="2948">
        <v>10430</v>
      </c>
      <c r="D155" s="2948">
        <v>10380</v>
      </c>
      <c r="E155" s="2948">
        <v>13140</v>
      </c>
      <c r="F155" s="2948">
        <v>2080</v>
      </c>
      <c r="G155" s="2948">
        <v>6650</v>
      </c>
    </row>
    <row r="156" spans="1:7" s="2782" customFormat="1" ht="14.25" customHeight="1">
      <c r="A156" s="2948" t="s">
        <v>29</v>
      </c>
      <c r="B156" s="2948" t="s">
        <v>3086</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3087</v>
      </c>
      <c r="C160" s="2948">
        <v>11180</v>
      </c>
      <c r="D160" s="2948">
        <v>11140</v>
      </c>
      <c r="E160" s="2948">
        <v>14050</v>
      </c>
      <c r="F160" s="2948">
        <v>2270</v>
      </c>
      <c r="G160" s="2948">
        <v>7170</v>
      </c>
    </row>
    <row r="161" spans="1:7" s="2782" customFormat="1" ht="14.25" customHeight="1">
      <c r="A161" s="2948" t="s">
        <v>29</v>
      </c>
      <c r="B161" s="2948" t="s">
        <v>3003</v>
      </c>
      <c r="C161" s="2948">
        <v>11160</v>
      </c>
      <c r="D161" s="2948">
        <v>11120</v>
      </c>
      <c r="E161" s="2948">
        <v>14020</v>
      </c>
      <c r="F161" s="2948">
        <v>2150</v>
      </c>
      <c r="G161" s="2948">
        <v>7160</v>
      </c>
    </row>
    <row r="162" spans="1:7" s="2782" customFormat="1" ht="14.25" customHeight="1">
      <c r="A162" s="2948" t="s">
        <v>29</v>
      </c>
      <c r="B162" s="2948" t="s">
        <v>3008</v>
      </c>
      <c r="C162" s="2948">
        <v>9620</v>
      </c>
      <c r="D162" s="2948">
        <v>9570</v>
      </c>
      <c r="E162" s="2948">
        <v>12320</v>
      </c>
      <c r="F162" s="2948">
        <v>2010</v>
      </c>
      <c r="G162" s="2948">
        <v>6160</v>
      </c>
    </row>
    <row r="163" spans="1:7" s="2782" customFormat="1" ht="14.25" customHeight="1">
      <c r="A163" s="2948" t="s">
        <v>29</v>
      </c>
      <c r="B163" s="2948" t="s">
        <v>3013</v>
      </c>
      <c r="C163" s="2948">
        <v>9320</v>
      </c>
      <c r="D163" s="2948">
        <v>9270</v>
      </c>
      <c r="E163" s="2948">
        <v>11790</v>
      </c>
      <c r="F163" s="2948">
        <v>1920</v>
      </c>
      <c r="G163" s="2948">
        <v>5960</v>
      </c>
    </row>
    <row r="164" spans="1:7" s="2782" customFormat="1" ht="14.25" customHeight="1">
      <c r="A164" s="2948" t="s">
        <v>29</v>
      </c>
      <c r="B164" s="2948" t="s">
        <v>3018</v>
      </c>
      <c r="C164" s="2948"/>
      <c r="D164" s="2948"/>
      <c r="E164" s="2948"/>
      <c r="F164" s="2948">
        <v>1980</v>
      </c>
      <c r="G164" s="2948"/>
    </row>
    <row r="165" spans="1:7" s="2782" customFormat="1" ht="14.25" customHeight="1">
      <c r="A165" s="2948" t="s">
        <v>29</v>
      </c>
      <c r="B165" s="2948" t="s">
        <v>3088</v>
      </c>
      <c r="C165" s="2948">
        <v>11060</v>
      </c>
      <c r="D165" s="2948">
        <v>11030</v>
      </c>
      <c r="E165" s="2948">
        <v>13850</v>
      </c>
      <c r="F165" s="2948">
        <v>2170</v>
      </c>
      <c r="G165" s="2948">
        <v>7090</v>
      </c>
    </row>
    <row r="166" spans="1:7" s="2782" customFormat="1" ht="14.25" customHeight="1">
      <c r="A166" s="2948" t="s">
        <v>29</v>
      </c>
      <c r="B166" s="2948" t="s">
        <v>3028</v>
      </c>
      <c r="C166" s="2948">
        <v>11050</v>
      </c>
      <c r="D166" s="2948">
        <v>11010</v>
      </c>
      <c r="E166" s="2948">
        <v>13920</v>
      </c>
      <c r="F166" s="2948">
        <v>2140</v>
      </c>
      <c r="G166" s="2948">
        <v>7080</v>
      </c>
    </row>
    <row r="167" spans="1:7" s="2782" customFormat="1" ht="14.25" customHeight="1">
      <c r="A167" s="2948" t="s">
        <v>29</v>
      </c>
      <c r="B167" s="2948" t="s">
        <v>3032</v>
      </c>
      <c r="C167" s="2948">
        <v>10930</v>
      </c>
      <c r="D167" s="2948">
        <v>10890</v>
      </c>
      <c r="E167" s="2948">
        <v>13790</v>
      </c>
      <c r="F167" s="2948">
        <v>2010</v>
      </c>
      <c r="G167" s="2948">
        <v>7000</v>
      </c>
    </row>
    <row r="168" spans="1:7" s="2782" customFormat="1" ht="14.25" customHeight="1">
      <c r="A168" s="2948" t="s">
        <v>29</v>
      </c>
      <c r="B168" s="2948" t="s">
        <v>3037</v>
      </c>
      <c r="C168" s="2948">
        <v>9420</v>
      </c>
      <c r="D168" s="2948">
        <v>9380</v>
      </c>
      <c r="E168" s="2948">
        <v>11970</v>
      </c>
      <c r="F168" s="2948"/>
      <c r="G168" s="2948">
        <v>6040</v>
      </c>
    </row>
    <row r="169" spans="1:7" s="2782" customFormat="1" ht="14.25" customHeight="1">
      <c r="A169" s="2948" t="s">
        <v>29</v>
      </c>
      <c r="B169" s="2948" t="s">
        <v>3089</v>
      </c>
      <c r="C169" s="2948"/>
      <c r="D169" s="2948"/>
      <c r="E169" s="2948"/>
      <c r="F169" s="2948">
        <v>2880</v>
      </c>
      <c r="G169" s="2948"/>
    </row>
    <row r="170" spans="1:7" s="2782" customFormat="1" ht="14.25" customHeight="1">
      <c r="A170" s="2948" t="s">
        <v>29</v>
      </c>
      <c r="B170" s="2948" t="s">
        <v>3045</v>
      </c>
      <c r="C170" s="2948"/>
      <c r="D170" s="2948"/>
      <c r="E170" s="2948"/>
      <c r="F170" s="2948">
        <v>2880</v>
      </c>
      <c r="G170" s="2948"/>
    </row>
    <row r="171" spans="1:7" s="2782" customFormat="1" ht="14.25" customHeight="1">
      <c r="A171" s="2948" t="s">
        <v>29</v>
      </c>
      <c r="B171" s="2948" t="s">
        <v>3048</v>
      </c>
      <c r="C171" s="2948"/>
      <c r="D171" s="2948"/>
      <c r="E171" s="2948"/>
      <c r="F171" s="2948">
        <v>2880</v>
      </c>
      <c r="G171" s="2948"/>
    </row>
    <row r="172" spans="1:7" s="2782" customFormat="1" ht="14.25" customHeight="1">
      <c r="A172" s="2948" t="s">
        <v>29</v>
      </c>
      <c r="B172" s="2948" t="s">
        <v>3050</v>
      </c>
      <c r="C172" s="2948"/>
      <c r="D172" s="2948"/>
      <c r="E172" s="2948"/>
      <c r="F172" s="2948">
        <v>2880</v>
      </c>
      <c r="G172" s="2948"/>
    </row>
    <row r="173" spans="1:7" s="2782" customFormat="1" ht="14.25" customHeight="1">
      <c r="A173" s="2948" t="s">
        <v>29</v>
      </c>
      <c r="B173" s="2948" t="s">
        <v>3052</v>
      </c>
      <c r="C173" s="2948"/>
      <c r="D173" s="2948"/>
      <c r="E173" s="2948"/>
      <c r="F173" s="2948">
        <v>2150</v>
      </c>
      <c r="G173" s="2948"/>
    </row>
    <row r="174" spans="1:7" s="2782" customFormat="1" ht="14.25" customHeight="1">
      <c r="A174" s="2948" t="s">
        <v>29</v>
      </c>
      <c r="B174" s="2948" t="s">
        <v>3054</v>
      </c>
      <c r="C174" s="2948"/>
      <c r="D174" s="2948"/>
      <c r="E174" s="2948"/>
      <c r="F174" s="2948">
        <v>2030</v>
      </c>
      <c r="G174" s="2948"/>
    </row>
    <row r="175" spans="1:7" s="2782" customFormat="1" ht="14.25" customHeight="1">
      <c r="A175" s="2948" t="s">
        <v>29</v>
      </c>
      <c r="B175" s="2948" t="s">
        <v>3056</v>
      </c>
      <c r="C175" s="2948"/>
      <c r="D175" s="2948"/>
      <c r="E175" s="2948"/>
      <c r="F175" s="2948">
        <v>2780</v>
      </c>
      <c r="G175" s="2948"/>
    </row>
    <row r="176" spans="1:7" s="2782" customFormat="1" ht="14.25" customHeight="1">
      <c r="A176" s="2948" t="s">
        <v>29</v>
      </c>
      <c r="B176" s="2948" t="s">
        <v>3058</v>
      </c>
      <c r="C176" s="2948"/>
      <c r="D176" s="2948"/>
      <c r="E176" s="2948"/>
      <c r="F176" s="2948">
        <v>2780</v>
      </c>
      <c r="G176" s="2948"/>
    </row>
    <row r="177" spans="1:7" s="2782" customFormat="1" ht="14.25" customHeight="1">
      <c r="A177" s="2948" t="s">
        <v>29</v>
      </c>
      <c r="B177" s="2948" t="s">
        <v>3090</v>
      </c>
      <c r="C177" s="2948"/>
      <c r="D177" s="2948"/>
      <c r="E177" s="2948"/>
      <c r="F177" s="2948">
        <v>2780</v>
      </c>
      <c r="G177" s="2948"/>
    </row>
    <row r="178" spans="1:7" s="2782" customFormat="1" ht="14.25" customHeight="1">
      <c r="A178" s="2948" t="s">
        <v>29</v>
      </c>
      <c r="B178" s="2948" t="s">
        <v>3091</v>
      </c>
      <c r="C178" s="2948"/>
      <c r="D178" s="2948"/>
      <c r="E178" s="2948"/>
      <c r="F178" s="2948">
        <v>2060</v>
      </c>
      <c r="G178" s="2948"/>
    </row>
    <row r="179" spans="1:7" s="2782" customFormat="1" ht="14.25" customHeight="1">
      <c r="A179" s="2948" t="s">
        <v>29</v>
      </c>
      <c r="B179" s="2948" t="s">
        <v>3092</v>
      </c>
      <c r="C179" s="2948"/>
      <c r="D179" s="2948"/>
      <c r="E179" s="2948"/>
      <c r="F179" s="2948">
        <v>2120</v>
      </c>
      <c r="G179" s="2948"/>
    </row>
    <row r="180" spans="1:7" s="2782" customFormat="1" ht="14.25" customHeight="1">
      <c r="A180" s="2948" t="s">
        <v>29</v>
      </c>
      <c r="B180" s="2948" t="s">
        <v>3064</v>
      </c>
      <c r="C180" s="2948"/>
      <c r="D180" s="2948"/>
      <c r="E180" s="2948"/>
      <c r="F180" s="2948">
        <v>2340</v>
      </c>
      <c r="G180" s="2948"/>
    </row>
    <row r="181" spans="1:7" s="2782" customFormat="1" ht="14.25" customHeight="1">
      <c r="A181" s="2948" t="s">
        <v>29</v>
      </c>
      <c r="B181" s="2948" t="s">
        <v>3065</v>
      </c>
      <c r="C181" s="2948"/>
      <c r="D181" s="2948"/>
      <c r="E181" s="2948"/>
      <c r="F181" s="2948">
        <v>2340</v>
      </c>
      <c r="G181" s="2948"/>
    </row>
    <row r="182" spans="1:7" s="2782" customFormat="1" ht="14.25" customHeight="1">
      <c r="A182" s="2948" t="s">
        <v>29</v>
      </c>
      <c r="B182" s="2948" t="s">
        <v>3066</v>
      </c>
      <c r="C182" s="2948"/>
      <c r="D182" s="2948"/>
      <c r="E182" s="2948"/>
      <c r="F182" s="2948">
        <v>2340</v>
      </c>
      <c r="G182" s="2948"/>
    </row>
    <row r="183" spans="1:7" s="2782" customFormat="1" ht="14.25" customHeight="1">
      <c r="A183" s="2948" t="s">
        <v>29</v>
      </c>
      <c r="B183" s="2948" t="s">
        <v>3067</v>
      </c>
      <c r="C183" s="2948"/>
      <c r="D183" s="2948"/>
      <c r="E183" s="2948"/>
      <c r="F183" s="2948">
        <v>2340</v>
      </c>
      <c r="G183" s="2948"/>
    </row>
    <row r="184" spans="1:7" s="2782" customFormat="1" ht="14.25" customHeight="1">
      <c r="A184" s="2948" t="s">
        <v>29</v>
      </c>
      <c r="B184" s="2948" t="s">
        <v>3068</v>
      </c>
      <c r="C184" s="2948"/>
      <c r="D184" s="2948"/>
      <c r="E184" s="2948"/>
      <c r="F184" s="2948">
        <v>2340</v>
      </c>
      <c r="G184" s="2948"/>
    </row>
    <row r="185" spans="1:7" s="2782" customFormat="1" ht="14.25" customHeight="1">
      <c r="A185" s="2948" t="s">
        <v>29</v>
      </c>
      <c r="B185" s="2948" t="s">
        <v>3069</v>
      </c>
      <c r="C185" s="2948"/>
      <c r="D185" s="2948"/>
      <c r="E185" s="2948"/>
      <c r="F185" s="2948">
        <v>2530</v>
      </c>
      <c r="G185" s="2948"/>
    </row>
    <row r="186" spans="1:7" s="2782" customFormat="1" ht="14.25" customHeight="1">
      <c r="A186" s="2948" t="s">
        <v>29</v>
      </c>
      <c r="B186" s="2948" t="s">
        <v>3070</v>
      </c>
      <c r="C186" s="2948"/>
      <c r="D186" s="2948"/>
      <c r="E186" s="2948"/>
      <c r="F186" s="2948">
        <v>2550</v>
      </c>
      <c r="G186" s="2948"/>
    </row>
    <row r="187" spans="1:7" s="2782" customFormat="1" ht="14.25" customHeight="1">
      <c r="A187" s="2948" t="s">
        <v>29</v>
      </c>
      <c r="B187" s="2948" t="s">
        <v>3071</v>
      </c>
      <c r="C187" s="2948"/>
      <c r="D187" s="2948"/>
      <c r="E187" s="2948"/>
      <c r="F187" s="2948">
        <v>2070</v>
      </c>
      <c r="G187" s="2948"/>
    </row>
    <row r="188" spans="1:7" s="2782" customFormat="1" ht="14.25" customHeight="1">
      <c r="A188" s="2948" t="s">
        <v>29</v>
      </c>
      <c r="B188" s="2948" t="s">
        <v>3072</v>
      </c>
      <c r="C188" s="2948"/>
      <c r="D188" s="2948"/>
      <c r="E188" s="2948"/>
      <c r="F188" s="2948">
        <v>2340</v>
      </c>
      <c r="G188" s="2948"/>
    </row>
    <row r="189" spans="1:7" s="2782" customFormat="1" ht="14.25" customHeight="1" thickBot="1">
      <c r="A189" s="2956" t="s">
        <v>29</v>
      </c>
      <c r="B189" s="2959" t="s">
        <v>3073</v>
      </c>
      <c r="C189" s="2959"/>
      <c r="D189" s="2959"/>
      <c r="E189" s="2959"/>
      <c r="F189" s="2959">
        <v>2050</v>
      </c>
      <c r="G189" s="2959"/>
    </row>
    <row r="190" spans="1:7" s="2782" customFormat="1" ht="14.25" customHeight="1">
      <c r="A190" s="2953" t="s">
        <v>304</v>
      </c>
      <c r="B190" s="2944" t="s">
        <v>3093</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3094</v>
      </c>
      <c r="C199" s="2948">
        <v>8690</v>
      </c>
      <c r="D199" s="2948">
        <v>8630</v>
      </c>
      <c r="E199" s="2948">
        <v>11350</v>
      </c>
      <c r="F199" s="2948">
        <v>1600</v>
      </c>
      <c r="G199" s="2961">
        <v>5450</v>
      </c>
    </row>
    <row r="200" spans="1:7" s="2782" customFormat="1" ht="14.25" customHeight="1">
      <c r="A200" s="2948" t="s">
        <v>304</v>
      </c>
      <c r="B200" s="2948" t="s">
        <v>2905</v>
      </c>
      <c r="C200" s="2948"/>
      <c r="D200" s="2948"/>
      <c r="E200" s="2948"/>
      <c r="F200" s="2948">
        <v>1510</v>
      </c>
      <c r="G200" s="2961"/>
    </row>
    <row r="201" spans="1:7" s="2782" customFormat="1" ht="14.25" customHeight="1">
      <c r="A201" s="2948" t="s">
        <v>304</v>
      </c>
      <c r="B201" s="2948" t="s">
        <v>3095</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3096</v>
      </c>
      <c r="C203" s="2948">
        <v>8130</v>
      </c>
      <c r="D203" s="2948">
        <v>8070</v>
      </c>
      <c r="E203" s="2948">
        <v>10820</v>
      </c>
      <c r="F203" s="2948">
        <v>1690</v>
      </c>
      <c r="G203" s="2961">
        <v>5100</v>
      </c>
    </row>
    <row r="204" spans="1:7" s="2782" customFormat="1" ht="14.25" customHeight="1">
      <c r="A204" s="2948" t="s">
        <v>304</v>
      </c>
      <c r="B204" s="2948" t="s">
        <v>2916</v>
      </c>
      <c r="C204" s="2948">
        <v>8350</v>
      </c>
      <c r="D204" s="2948">
        <v>8290</v>
      </c>
      <c r="E204" s="2948">
        <v>11080</v>
      </c>
      <c r="F204" s="2948">
        <v>1450</v>
      </c>
      <c r="G204" s="2961">
        <v>5240</v>
      </c>
    </row>
    <row r="205" spans="1:7" s="2782" customFormat="1" ht="14.25" customHeight="1">
      <c r="A205" s="2948" t="s">
        <v>304</v>
      </c>
      <c r="B205" s="2948" t="s">
        <v>2918</v>
      </c>
      <c r="C205" s="2948">
        <v>7190</v>
      </c>
      <c r="D205" s="2948">
        <v>7130</v>
      </c>
      <c r="E205" s="2948">
        <v>9490</v>
      </c>
      <c r="F205" s="2948">
        <v>1470</v>
      </c>
      <c r="G205" s="2961">
        <v>4510</v>
      </c>
    </row>
    <row r="206" spans="1:7" s="2782" customFormat="1" ht="14.25" customHeight="1">
      <c r="A206" s="2948" t="s">
        <v>304</v>
      </c>
      <c r="B206" s="2948" t="s">
        <v>2921</v>
      </c>
      <c r="C206" s="2948">
        <v>7000</v>
      </c>
      <c r="D206" s="2948">
        <v>6950</v>
      </c>
      <c r="E206" s="2948">
        <v>9170</v>
      </c>
      <c r="F206" s="2948">
        <v>1400</v>
      </c>
      <c r="G206" s="2961">
        <v>4380</v>
      </c>
    </row>
    <row r="207" spans="1:7" s="2782" customFormat="1" ht="14.25" customHeight="1">
      <c r="A207" s="2948" t="s">
        <v>304</v>
      </c>
      <c r="B207" s="2948" t="s">
        <v>2923</v>
      </c>
      <c r="C207" s="2948">
        <v>6950</v>
      </c>
      <c r="D207" s="2948">
        <v>6900</v>
      </c>
      <c r="E207" s="2948">
        <v>9110</v>
      </c>
      <c r="F207" s="2948">
        <v>1790</v>
      </c>
      <c r="G207" s="2961">
        <v>4360</v>
      </c>
    </row>
    <row r="208" spans="1:7" s="2782" customFormat="1" ht="14.25" customHeight="1">
      <c r="A208" s="2948" t="s">
        <v>304</v>
      </c>
      <c r="B208" s="2948" t="s">
        <v>3097</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2933</v>
      </c>
      <c r="C210" s="2948">
        <v>8710</v>
      </c>
      <c r="D210" s="2948">
        <v>8660</v>
      </c>
      <c r="E210" s="2948">
        <v>11440</v>
      </c>
      <c r="F210" s="2948">
        <v>1740</v>
      </c>
      <c r="G210" s="2961">
        <v>5470</v>
      </c>
    </row>
    <row r="211" spans="1:7" s="2782" customFormat="1" ht="14.25" customHeight="1">
      <c r="A211" s="2948" t="s">
        <v>304</v>
      </c>
      <c r="B211" s="2948" t="s">
        <v>3098</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3099</v>
      </c>
      <c r="C214" s="2948">
        <v>8090</v>
      </c>
      <c r="D214" s="2948">
        <v>8030</v>
      </c>
      <c r="E214" s="2948">
        <v>10780</v>
      </c>
      <c r="F214" s="2948">
        <v>1570</v>
      </c>
      <c r="G214" s="2961">
        <v>5070</v>
      </c>
    </row>
    <row r="215" spans="1:7" s="2782" customFormat="1" ht="14.25" customHeight="1">
      <c r="A215" s="2948" t="s">
        <v>304</v>
      </c>
      <c r="B215" s="2948" t="s">
        <v>3100</v>
      </c>
      <c r="C215" s="2948">
        <v>7950</v>
      </c>
      <c r="D215" s="2948">
        <v>7900</v>
      </c>
      <c r="E215" s="2948">
        <v>10560</v>
      </c>
      <c r="F215" s="2948">
        <v>1630</v>
      </c>
      <c r="G215" s="2961">
        <v>4990</v>
      </c>
    </row>
    <row r="216" spans="1:7" s="2782" customFormat="1" ht="14.25" customHeight="1">
      <c r="A216" s="2948" t="s">
        <v>304</v>
      </c>
      <c r="B216" s="2948" t="s">
        <v>3101</v>
      </c>
      <c r="C216" s="2948">
        <v>8490</v>
      </c>
      <c r="D216" s="2948">
        <v>8440</v>
      </c>
      <c r="E216" s="2948">
        <v>11260</v>
      </c>
      <c r="F216" s="2948">
        <v>1690</v>
      </c>
      <c r="G216" s="2961">
        <v>5330</v>
      </c>
    </row>
    <row r="217" spans="1:7" s="2782" customFormat="1" ht="14.25" customHeight="1">
      <c r="A217" s="2948" t="s">
        <v>304</v>
      </c>
      <c r="B217" s="2948" t="s">
        <v>2966</v>
      </c>
      <c r="C217" s="2948">
        <v>8200</v>
      </c>
      <c r="D217" s="2948">
        <v>8150</v>
      </c>
      <c r="E217" s="2948">
        <v>10910</v>
      </c>
      <c r="F217" s="2948">
        <v>1670</v>
      </c>
      <c r="G217" s="2961">
        <v>5150</v>
      </c>
    </row>
    <row r="218" spans="1:7" s="2782" customFormat="1" ht="14.25" customHeight="1">
      <c r="A218" s="2948" t="s">
        <v>304</v>
      </c>
      <c r="B218" s="2948" t="s">
        <v>3102</v>
      </c>
      <c r="C218" s="2948"/>
      <c r="D218" s="2948"/>
      <c r="E218" s="2948"/>
      <c r="F218" s="2948">
        <v>2040</v>
      </c>
      <c r="G218" s="2961"/>
    </row>
    <row r="219" spans="1:7" s="2782" customFormat="1" ht="14.25" customHeight="1">
      <c r="A219" s="2948" t="s">
        <v>304</v>
      </c>
      <c r="B219" s="2948" t="s">
        <v>3103</v>
      </c>
      <c r="C219" s="2948"/>
      <c r="D219" s="2948"/>
      <c r="E219" s="2948"/>
      <c r="F219" s="2948">
        <v>2040</v>
      </c>
      <c r="G219" s="2961"/>
    </row>
    <row r="220" spans="1:7" s="2782" customFormat="1" ht="14.25" customHeight="1">
      <c r="A220" s="2948" t="s">
        <v>304</v>
      </c>
      <c r="B220" s="2948" t="s">
        <v>3104</v>
      </c>
      <c r="C220" s="2948"/>
      <c r="D220" s="2948"/>
      <c r="E220" s="2948"/>
      <c r="F220" s="2948">
        <v>2040</v>
      </c>
      <c r="G220" s="2961"/>
    </row>
    <row r="221" spans="1:7" s="2782" customFormat="1" ht="14.25" customHeight="1">
      <c r="A221" s="2948" t="s">
        <v>304</v>
      </c>
      <c r="B221" s="2948" t="s">
        <v>3105</v>
      </c>
      <c r="C221" s="2948"/>
      <c r="D221" s="2948"/>
      <c r="E221" s="2948"/>
      <c r="F221" s="2948">
        <v>2040</v>
      </c>
      <c r="G221" s="2961"/>
    </row>
    <row r="222" spans="1:7" s="2782" customFormat="1" ht="14.25" customHeight="1">
      <c r="A222" s="2948" t="s">
        <v>304</v>
      </c>
      <c r="B222" s="2948" t="s">
        <v>3106</v>
      </c>
      <c r="C222" s="2948"/>
      <c r="D222" s="2948"/>
      <c r="E222" s="2948"/>
      <c r="F222" s="2948">
        <v>2040</v>
      </c>
      <c r="G222" s="2961"/>
    </row>
    <row r="223" spans="1:7" s="2782" customFormat="1" ht="14.25" customHeight="1">
      <c r="A223" s="2948" t="s">
        <v>304</v>
      </c>
      <c r="B223" s="2948" t="s">
        <v>3107</v>
      </c>
      <c r="C223" s="2948"/>
      <c r="D223" s="2948"/>
      <c r="E223" s="2948"/>
      <c r="F223" s="2948">
        <v>1930</v>
      </c>
      <c r="G223" s="2961"/>
    </row>
    <row r="224" spans="1:7" s="2782" customFormat="1" ht="14.25" customHeight="1">
      <c r="A224" s="2948" t="s">
        <v>304</v>
      </c>
      <c r="B224" s="2948" t="s">
        <v>3108</v>
      </c>
      <c r="C224" s="2948"/>
      <c r="D224" s="2948"/>
      <c r="E224" s="2948"/>
      <c r="F224" s="2948">
        <v>1930</v>
      </c>
      <c r="G224" s="2961"/>
    </row>
    <row r="225" spans="1:7" s="2782" customFormat="1" ht="14.25" customHeight="1">
      <c r="A225" s="2948" t="s">
        <v>304</v>
      </c>
      <c r="B225" s="2948" t="s">
        <v>3109</v>
      </c>
      <c r="C225" s="2948"/>
      <c r="D225" s="2948"/>
      <c r="E225" s="2948"/>
      <c r="F225" s="2948">
        <v>1930</v>
      </c>
      <c r="G225" s="2961"/>
    </row>
    <row r="226" spans="1:7" s="2782" customFormat="1" ht="14.25" customHeight="1">
      <c r="A226" s="2948" t="s">
        <v>304</v>
      </c>
      <c r="B226" s="2948" t="s">
        <v>3110</v>
      </c>
      <c r="C226" s="2948"/>
      <c r="D226" s="2948"/>
      <c r="E226" s="2948"/>
      <c r="F226" s="2948">
        <v>1700</v>
      </c>
      <c r="G226" s="2961"/>
    </row>
    <row r="227" spans="1:7" s="2782" customFormat="1" ht="14.25" customHeight="1">
      <c r="A227" s="2948" t="s">
        <v>304</v>
      </c>
      <c r="B227" s="2948" t="s">
        <v>3111</v>
      </c>
      <c r="C227" s="2948"/>
      <c r="D227" s="2948"/>
      <c r="E227" s="2948"/>
      <c r="F227" s="2948">
        <v>1520</v>
      </c>
      <c r="G227" s="2961"/>
    </row>
    <row r="228" spans="1:7" s="2782" customFormat="1" ht="14.25" customHeight="1">
      <c r="A228" s="2948" t="s">
        <v>304</v>
      </c>
      <c r="B228" s="2948" t="s">
        <v>3112</v>
      </c>
      <c r="C228" s="2948"/>
      <c r="D228" s="2948"/>
      <c r="E228" s="2948"/>
      <c r="F228" s="2948">
        <v>1520</v>
      </c>
      <c r="G228" s="2961"/>
    </row>
    <row r="229" spans="1:7" s="2782" customFormat="1" ht="14.25" customHeight="1">
      <c r="A229" s="2948" t="s">
        <v>304</v>
      </c>
      <c r="B229" s="2948" t="s">
        <v>3029</v>
      </c>
      <c r="C229" s="2948"/>
      <c r="D229" s="2948"/>
      <c r="E229" s="2948"/>
      <c r="F229" s="2948">
        <v>1520</v>
      </c>
      <c r="G229" s="2961"/>
    </row>
    <row r="230" spans="1:7" s="2782" customFormat="1" ht="14.25" customHeight="1">
      <c r="A230" s="2948" t="s">
        <v>304</v>
      </c>
      <c r="B230" s="2948" t="s">
        <v>3113</v>
      </c>
      <c r="C230" s="2948"/>
      <c r="D230" s="2948"/>
      <c r="E230" s="2948"/>
      <c r="F230" s="2948">
        <v>1820</v>
      </c>
      <c r="G230" s="2961"/>
    </row>
    <row r="231" spans="1:7" s="2782" customFormat="1" ht="14.25" customHeight="1">
      <c r="A231" s="2948" t="s">
        <v>304</v>
      </c>
      <c r="B231" s="2948" t="s">
        <v>3114</v>
      </c>
      <c r="C231" s="2948"/>
      <c r="D231" s="2948"/>
      <c r="E231" s="2948"/>
      <c r="F231" s="2948">
        <v>1760</v>
      </c>
      <c r="G231" s="2961"/>
    </row>
    <row r="232" spans="1:7" s="2782" customFormat="1" ht="14.25" customHeight="1">
      <c r="A232" s="2948" t="s">
        <v>304</v>
      </c>
      <c r="B232" s="2948" t="s">
        <v>3115</v>
      </c>
      <c r="C232" s="2948"/>
      <c r="D232" s="2948"/>
      <c r="E232" s="2948"/>
      <c r="F232" s="2948">
        <v>1840</v>
      </c>
      <c r="G232" s="2961"/>
    </row>
    <row r="233" spans="1:7" s="2782" customFormat="1" ht="14.25" customHeight="1" thickBot="1">
      <c r="A233" s="2962" t="s">
        <v>304</v>
      </c>
      <c r="B233" s="2955" t="s">
        <v>3046</v>
      </c>
      <c r="C233" s="2955"/>
      <c r="D233" s="2955"/>
      <c r="E233" s="2955"/>
      <c r="F233" s="2955">
        <v>1770</v>
      </c>
      <c r="G233" s="2963"/>
    </row>
    <row r="234" spans="1:7" s="2782" customFormat="1" ht="14.25" customHeight="1">
      <c r="A234" s="2953" t="s">
        <v>305</v>
      </c>
      <c r="B234" s="2944" t="s">
        <v>3116</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2887</v>
      </c>
      <c r="C238" s="2948">
        <v>6920</v>
      </c>
      <c r="D238" s="2948">
        <v>6890</v>
      </c>
      <c r="E238" s="2948">
        <v>8640</v>
      </c>
      <c r="F238" s="2948">
        <v>1310</v>
      </c>
      <c r="G238" s="2948">
        <v>4230</v>
      </c>
    </row>
    <row r="239" spans="1:7" s="2782" customFormat="1" ht="14.25" customHeight="1">
      <c r="A239" s="2948" t="s">
        <v>305</v>
      </c>
      <c r="B239" s="2948" t="s">
        <v>3117</v>
      </c>
      <c r="C239" s="2948">
        <v>6780</v>
      </c>
      <c r="D239" s="2948">
        <v>6750</v>
      </c>
      <c r="E239" s="2948">
        <v>8440</v>
      </c>
      <c r="F239" s="2948">
        <v>1160</v>
      </c>
      <c r="G239" s="2948">
        <v>4140</v>
      </c>
    </row>
    <row r="240" spans="1:7" s="2782" customFormat="1" ht="14.25" customHeight="1">
      <c r="A240" s="2948" t="s">
        <v>305</v>
      </c>
      <c r="B240" s="2948" t="s">
        <v>3118</v>
      </c>
      <c r="C240" s="2948">
        <v>5420</v>
      </c>
      <c r="D240" s="2948">
        <v>5380</v>
      </c>
      <c r="E240" s="2948">
        <v>6640</v>
      </c>
      <c r="F240" s="2948">
        <v>1020</v>
      </c>
      <c r="G240" s="2948">
        <v>3300</v>
      </c>
    </row>
    <row r="241" spans="1:7" s="2782" customFormat="1" ht="14.25" customHeight="1">
      <c r="A241" s="2948" t="s">
        <v>305</v>
      </c>
      <c r="B241" s="2948" t="s">
        <v>3119</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3120</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3121</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3122</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3123</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3124</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2949</v>
      </c>
      <c r="C258" s="2948">
        <v>6190</v>
      </c>
      <c r="D258" s="2948">
        <v>6160</v>
      </c>
      <c r="E258" s="2948">
        <v>7680</v>
      </c>
      <c r="F258" s="2948">
        <v>1170</v>
      </c>
      <c r="G258" s="2948">
        <v>3780</v>
      </c>
    </row>
    <row r="259" spans="1:7" s="2782" customFormat="1" ht="14.25" customHeight="1">
      <c r="A259" s="2948" t="s">
        <v>305</v>
      </c>
      <c r="B259" s="2948" t="s">
        <v>3125</v>
      </c>
      <c r="C259" s="2948">
        <v>7610</v>
      </c>
      <c r="D259" s="2948">
        <v>7570</v>
      </c>
      <c r="E259" s="2948">
        <v>9350</v>
      </c>
      <c r="F259" s="2948">
        <v>1350</v>
      </c>
      <c r="G259" s="2948">
        <v>4650</v>
      </c>
    </row>
    <row r="260" spans="1:7" s="2782" customFormat="1" ht="14.25" customHeight="1">
      <c r="A260" s="2948" t="s">
        <v>305</v>
      </c>
      <c r="B260" s="2948" t="s">
        <v>3126</v>
      </c>
      <c r="C260" s="2948">
        <v>6920</v>
      </c>
      <c r="D260" s="2948">
        <v>6880</v>
      </c>
      <c r="E260" s="2948">
        <v>8380</v>
      </c>
      <c r="F260" s="2948">
        <v>1160</v>
      </c>
      <c r="G260" s="2948">
        <v>4220</v>
      </c>
    </row>
    <row r="261" spans="1:7" s="2782" customFormat="1" ht="14.25" customHeight="1">
      <c r="A261" s="2948" t="s">
        <v>305</v>
      </c>
      <c r="B261" s="2948" t="s">
        <v>3127</v>
      </c>
      <c r="C261" s="2948">
        <v>6850</v>
      </c>
      <c r="D261" s="2948">
        <v>6810</v>
      </c>
      <c r="E261" s="2948">
        <v>8290</v>
      </c>
      <c r="F261" s="2948">
        <v>1130</v>
      </c>
      <c r="G261" s="2948">
        <v>4180</v>
      </c>
    </row>
    <row r="262" spans="1:7" s="2782" customFormat="1" ht="14.25" customHeight="1">
      <c r="A262" s="2948" t="s">
        <v>305</v>
      </c>
      <c r="B262" s="2948" t="s">
        <v>3128</v>
      </c>
      <c r="C262" s="2948">
        <v>5860</v>
      </c>
      <c r="D262" s="2948">
        <v>5820</v>
      </c>
      <c r="E262" s="2948">
        <v>7640</v>
      </c>
      <c r="F262" s="2948">
        <v>1070</v>
      </c>
      <c r="G262" s="2948">
        <v>3570</v>
      </c>
    </row>
    <row r="263" spans="1:7" s="2782" customFormat="1" ht="14.25" customHeight="1">
      <c r="A263" s="2948" t="s">
        <v>305</v>
      </c>
      <c r="B263" s="2948" t="s">
        <v>3129</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3130</v>
      </c>
      <c r="C265" s="2948"/>
      <c r="D265" s="2948"/>
      <c r="E265" s="2948"/>
      <c r="F265" s="2948">
        <v>1500</v>
      </c>
      <c r="G265" s="2948"/>
    </row>
    <row r="266" spans="1:7" s="2782" customFormat="1" ht="14.25" customHeight="1">
      <c r="A266" s="2948" t="s">
        <v>305</v>
      </c>
      <c r="B266" s="2948" t="s">
        <v>3131</v>
      </c>
      <c r="C266" s="2948"/>
      <c r="D266" s="2948"/>
      <c r="E266" s="2948"/>
      <c r="F266" s="2948">
        <v>1500</v>
      </c>
      <c r="G266" s="2948"/>
    </row>
    <row r="267" spans="1:7" s="2782" customFormat="1" ht="14.25" customHeight="1">
      <c r="A267" s="2948" t="s">
        <v>305</v>
      </c>
      <c r="B267" s="2948" t="s">
        <v>3132</v>
      </c>
      <c r="C267" s="2948"/>
      <c r="D267" s="2948"/>
      <c r="E267" s="2948"/>
      <c r="F267" s="2948">
        <v>1500</v>
      </c>
      <c r="G267" s="2948"/>
    </row>
    <row r="268" spans="1:7" s="2782" customFormat="1" ht="14.25" customHeight="1">
      <c r="A268" s="2948" t="s">
        <v>305</v>
      </c>
      <c r="B268" s="2948" t="s">
        <v>3133</v>
      </c>
      <c r="C268" s="2948"/>
      <c r="D268" s="2948"/>
      <c r="E268" s="2948"/>
      <c r="F268" s="2948">
        <v>1290</v>
      </c>
      <c r="G268" s="2948"/>
    </row>
    <row r="269" spans="1:7" s="2782" customFormat="1" ht="14.25" customHeight="1">
      <c r="A269" s="2948" t="s">
        <v>305</v>
      </c>
      <c r="B269" s="2948" t="s">
        <v>3134</v>
      </c>
      <c r="C269" s="2948"/>
      <c r="D269" s="2948"/>
      <c r="E269" s="2948"/>
      <c r="F269" s="2948">
        <v>1150</v>
      </c>
      <c r="G269" s="2948"/>
    </row>
    <row r="270" spans="1:7" s="2782" customFormat="1" ht="14.25" customHeight="1">
      <c r="A270" s="2948" t="s">
        <v>305</v>
      </c>
      <c r="B270" s="2948" t="s">
        <v>3135</v>
      </c>
      <c r="C270" s="2948"/>
      <c r="D270" s="2948"/>
      <c r="E270" s="2948"/>
      <c r="F270" s="2948">
        <v>1380</v>
      </c>
      <c r="G270" s="2948"/>
    </row>
    <row r="271" spans="1:7" s="2782" customFormat="1" ht="14.25" customHeight="1">
      <c r="A271" s="2948" t="s">
        <v>305</v>
      </c>
      <c r="B271" s="2948" t="s">
        <v>3136</v>
      </c>
      <c r="C271" s="2948"/>
      <c r="D271" s="2948"/>
      <c r="E271" s="2948"/>
      <c r="F271" s="2948">
        <v>1460</v>
      </c>
      <c r="G271" s="2948"/>
    </row>
    <row r="272" spans="1:7" s="2782" customFormat="1" ht="14.25" customHeight="1">
      <c r="A272" s="2948" t="s">
        <v>305</v>
      </c>
      <c r="B272" s="2948" t="s">
        <v>3137</v>
      </c>
      <c r="C272" s="2948"/>
      <c r="D272" s="2948"/>
      <c r="E272" s="2948"/>
      <c r="F272" s="2948">
        <v>1460</v>
      </c>
      <c r="G272" s="2948"/>
    </row>
    <row r="273" spans="1:7" s="2782" customFormat="1" ht="14.25" customHeight="1">
      <c r="A273" s="2948" t="s">
        <v>305</v>
      </c>
      <c r="B273" s="2948" t="s">
        <v>3030</v>
      </c>
      <c r="C273" s="2948"/>
      <c r="D273" s="2948"/>
      <c r="E273" s="2948"/>
      <c r="F273" s="2948">
        <v>1490</v>
      </c>
      <c r="G273" s="2948"/>
    </row>
    <row r="274" spans="1:7" s="2782" customFormat="1" ht="14.25" customHeight="1">
      <c r="A274" s="2948" t="s">
        <v>305</v>
      </c>
      <c r="B274" s="2948" t="s">
        <v>3138</v>
      </c>
      <c r="C274" s="2948"/>
      <c r="D274" s="2948"/>
      <c r="E274" s="2948"/>
      <c r="F274" s="2948">
        <v>1490</v>
      </c>
      <c r="G274" s="2948"/>
    </row>
    <row r="275" spans="1:7" s="2782" customFormat="1" ht="14.25" customHeight="1">
      <c r="A275" s="2948" t="s">
        <v>305</v>
      </c>
      <c r="B275" s="2948" t="s">
        <v>3139</v>
      </c>
      <c r="C275" s="2948"/>
      <c r="D275" s="2948"/>
      <c r="E275" s="2948"/>
      <c r="F275" s="2948">
        <v>1220</v>
      </c>
      <c r="G275" s="2948"/>
    </row>
    <row r="276" spans="1:7" s="2782" customFormat="1" ht="14.25" customHeight="1" thickBot="1">
      <c r="A276" s="2956" t="s">
        <v>305</v>
      </c>
      <c r="B276" s="2958" t="s">
        <v>3140</v>
      </c>
      <c r="C276" s="2959"/>
      <c r="D276" s="2959"/>
      <c r="E276" s="2959"/>
      <c r="F276" s="2959">
        <v>1380</v>
      </c>
      <c r="G276" s="2959"/>
    </row>
    <row r="277" spans="1:7" s="2782" customFormat="1" ht="14.25" customHeight="1">
      <c r="A277" s="2953" t="s">
        <v>306</v>
      </c>
      <c r="B277" s="2944" t="s">
        <v>3141</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3142</v>
      </c>
      <c r="C279" s="2948">
        <v>4760</v>
      </c>
      <c r="D279" s="2948">
        <v>4720</v>
      </c>
      <c r="E279" s="2948">
        <v>5540</v>
      </c>
      <c r="F279" s="2948">
        <v>810</v>
      </c>
      <c r="G279" s="2961">
        <v>2850</v>
      </c>
    </row>
    <row r="280" spans="1:7" s="2782" customFormat="1" ht="14.25" customHeight="1">
      <c r="A280" s="2948" t="s">
        <v>306</v>
      </c>
      <c r="B280" s="2948" t="s">
        <v>3143</v>
      </c>
      <c r="C280" s="2948">
        <v>4010</v>
      </c>
      <c r="D280" s="2948">
        <v>3950</v>
      </c>
      <c r="E280" s="2948">
        <v>4710</v>
      </c>
      <c r="F280" s="2948">
        <v>800</v>
      </c>
      <c r="G280" s="2961">
        <v>2390</v>
      </c>
    </row>
    <row r="281" spans="1:7" s="2782" customFormat="1" ht="14.25" customHeight="1">
      <c r="A281" s="2948" t="s">
        <v>306</v>
      </c>
      <c r="B281" s="2948" t="s">
        <v>3144</v>
      </c>
      <c r="C281" s="2948">
        <v>4480</v>
      </c>
      <c r="D281" s="2948">
        <v>4420</v>
      </c>
      <c r="E281" s="2948">
        <v>5230</v>
      </c>
      <c r="F281" s="2948">
        <v>870</v>
      </c>
      <c r="G281" s="2961">
        <v>2660</v>
      </c>
    </row>
    <row r="282" spans="1:7" s="2782" customFormat="1" ht="14.25" customHeight="1">
      <c r="A282" s="2948" t="s">
        <v>306</v>
      </c>
      <c r="B282" s="2948" t="s">
        <v>3145</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3146</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3147</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2922</v>
      </c>
      <c r="C293" s="2948">
        <v>5320</v>
      </c>
      <c r="D293" s="2948">
        <v>5270</v>
      </c>
      <c r="E293" s="2948">
        <v>6160</v>
      </c>
      <c r="F293" s="2948">
        <v>990</v>
      </c>
      <c r="G293" s="2961">
        <v>3170</v>
      </c>
    </row>
    <row r="294" spans="1:7" s="2782" customFormat="1" ht="14.25" customHeight="1">
      <c r="A294" s="2948" t="s">
        <v>306</v>
      </c>
      <c r="B294" s="2948" t="s">
        <v>3148</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2941</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3149</v>
      </c>
      <c r="C302" s="2948">
        <v>5520</v>
      </c>
      <c r="D302" s="2948">
        <v>5470</v>
      </c>
      <c r="E302" s="2948">
        <v>6410</v>
      </c>
      <c r="F302" s="2948">
        <v>950</v>
      </c>
      <c r="G302" s="2961">
        <v>3300</v>
      </c>
    </row>
    <row r="303" spans="1:7" s="2782" customFormat="1" ht="14.25" customHeight="1">
      <c r="A303" s="2948" t="s">
        <v>306</v>
      </c>
      <c r="B303" s="2948" t="s">
        <v>2961</v>
      </c>
      <c r="C303" s="2948">
        <v>5630</v>
      </c>
      <c r="D303" s="2948">
        <v>5590</v>
      </c>
      <c r="E303" s="2948">
        <v>6550</v>
      </c>
      <c r="F303" s="2948">
        <v>1010</v>
      </c>
      <c r="G303" s="2961">
        <v>3370</v>
      </c>
    </row>
    <row r="304" spans="1:7" s="2782" customFormat="1" ht="14.25" customHeight="1">
      <c r="A304" s="2948" t="s">
        <v>306</v>
      </c>
      <c r="B304" s="2948" t="s">
        <v>2968</v>
      </c>
      <c r="C304" s="2948">
        <v>5680</v>
      </c>
      <c r="D304" s="2948">
        <v>5620</v>
      </c>
      <c r="E304" s="2948">
        <v>6620</v>
      </c>
      <c r="F304" s="2948">
        <v>1050</v>
      </c>
      <c r="G304" s="2961">
        <v>3390</v>
      </c>
    </row>
    <row r="305" spans="1:7" s="2782" customFormat="1" ht="14.25" customHeight="1">
      <c r="A305" s="2948" t="s">
        <v>306</v>
      </c>
      <c r="B305" s="2948" t="s">
        <v>2974</v>
      </c>
      <c r="C305" s="2948">
        <v>5590</v>
      </c>
      <c r="D305" s="2948">
        <v>5530</v>
      </c>
      <c r="E305" s="2948">
        <v>6460</v>
      </c>
      <c r="F305" s="2948">
        <v>900</v>
      </c>
      <c r="G305" s="2961">
        <v>3340</v>
      </c>
    </row>
    <row r="306" spans="1:7" s="2782" customFormat="1" ht="14.25" customHeight="1">
      <c r="A306" s="2948" t="s">
        <v>306</v>
      </c>
      <c r="B306" s="2948" t="s">
        <v>3150</v>
      </c>
      <c r="C306" s="2948">
        <v>5560</v>
      </c>
      <c r="D306" s="2948">
        <v>5510</v>
      </c>
      <c r="E306" s="2948">
        <v>6440</v>
      </c>
      <c r="F306" s="2948">
        <v>900</v>
      </c>
      <c r="G306" s="2961">
        <v>3320</v>
      </c>
    </row>
    <row r="307" spans="1:7" s="2782" customFormat="1" ht="14.25" customHeight="1">
      <c r="A307" s="2948" t="s">
        <v>306</v>
      </c>
      <c r="B307" s="2948" t="s">
        <v>2986</v>
      </c>
      <c r="C307" s="2948">
        <v>5650</v>
      </c>
      <c r="D307" s="2948">
        <v>5600</v>
      </c>
      <c r="E307" s="2948">
        <v>6590</v>
      </c>
      <c r="F307" s="2948">
        <v>930</v>
      </c>
      <c r="G307" s="2961">
        <v>3380</v>
      </c>
    </row>
    <row r="308" spans="1:7" s="2782" customFormat="1" ht="14.25" customHeight="1">
      <c r="A308" s="2948" t="s">
        <v>306</v>
      </c>
      <c r="B308" s="2948" t="s">
        <v>3151</v>
      </c>
      <c r="C308" s="2948">
        <v>5620</v>
      </c>
      <c r="D308" s="2948">
        <v>5580</v>
      </c>
      <c r="E308" s="2948">
        <v>6540</v>
      </c>
      <c r="F308" s="2948">
        <v>910</v>
      </c>
      <c r="G308" s="2961">
        <v>3370</v>
      </c>
    </row>
    <row r="309" spans="1:7" s="2782" customFormat="1" ht="14.25" customHeight="1">
      <c r="A309" s="2948" t="s">
        <v>306</v>
      </c>
      <c r="B309" s="2948" t="s">
        <v>3152</v>
      </c>
      <c r="C309" s="2948">
        <v>5060</v>
      </c>
      <c r="D309" s="2948">
        <v>5020</v>
      </c>
      <c r="E309" s="2948">
        <v>6370</v>
      </c>
      <c r="F309" s="2948">
        <v>800</v>
      </c>
      <c r="G309" s="2961">
        <v>3020</v>
      </c>
    </row>
    <row r="310" spans="1:7" s="2782" customFormat="1" ht="14.25" customHeight="1">
      <c r="A310" s="2948" t="s">
        <v>306</v>
      </c>
      <c r="B310" s="2948" t="s">
        <v>3001</v>
      </c>
      <c r="C310" s="2948">
        <v>5150</v>
      </c>
      <c r="D310" s="2948">
        <v>5110</v>
      </c>
      <c r="E310" s="2948">
        <v>6500</v>
      </c>
      <c r="F310" s="2948">
        <v>880</v>
      </c>
      <c r="G310" s="2961">
        <v>3080</v>
      </c>
    </row>
    <row r="311" spans="1:7" s="2782" customFormat="1" ht="14.25" customHeight="1">
      <c r="A311" s="2948" t="s">
        <v>306</v>
      </c>
      <c r="B311" s="2948" t="s">
        <v>3153</v>
      </c>
      <c r="C311" s="2948">
        <v>4750</v>
      </c>
      <c r="D311" s="2948">
        <v>4710</v>
      </c>
      <c r="E311" s="2948">
        <v>5510</v>
      </c>
      <c r="F311" s="2948">
        <v>880</v>
      </c>
      <c r="G311" s="2961">
        <v>2840</v>
      </c>
    </row>
    <row r="312" spans="1:7" s="2782" customFormat="1" ht="14.25" customHeight="1">
      <c r="A312" s="2948" t="s">
        <v>306</v>
      </c>
      <c r="B312" s="2948" t="s">
        <v>3011</v>
      </c>
      <c r="C312" s="2948">
        <v>4690</v>
      </c>
      <c r="D312" s="2948">
        <v>4640</v>
      </c>
      <c r="E312" s="2948">
        <v>5420</v>
      </c>
      <c r="F312" s="2948">
        <v>800</v>
      </c>
      <c r="G312" s="2961">
        <v>2800</v>
      </c>
    </row>
    <row r="313" spans="1:7" s="2782" customFormat="1" ht="14.25" customHeight="1">
      <c r="A313" s="2948" t="s">
        <v>306</v>
      </c>
      <c r="B313" s="2948" t="s">
        <v>3016</v>
      </c>
      <c r="C313" s="2948">
        <v>4810</v>
      </c>
      <c r="D313" s="2948">
        <v>4760</v>
      </c>
      <c r="E313" s="2948">
        <v>5550</v>
      </c>
      <c r="F313" s="2948">
        <v>920</v>
      </c>
      <c r="G313" s="2961">
        <v>2870</v>
      </c>
    </row>
    <row r="314" spans="1:7" s="2782" customFormat="1" ht="14.25" customHeight="1">
      <c r="A314" s="2948" t="s">
        <v>306</v>
      </c>
      <c r="B314" s="2948" t="s">
        <v>3154</v>
      </c>
      <c r="C314" s="2948"/>
      <c r="D314" s="2948"/>
      <c r="E314" s="2948"/>
      <c r="F314" s="2948">
        <v>1020</v>
      </c>
      <c r="G314" s="2961"/>
    </row>
    <row r="315" spans="1:7" s="2782" customFormat="1" ht="14.25" customHeight="1">
      <c r="A315" s="2948" t="s">
        <v>306</v>
      </c>
      <c r="B315" s="2948" t="s">
        <v>3155</v>
      </c>
      <c r="C315" s="2948"/>
      <c r="D315" s="2948"/>
      <c r="E315" s="2948"/>
      <c r="F315" s="2948">
        <v>1050</v>
      </c>
      <c r="G315" s="2961"/>
    </row>
    <row r="316" spans="1:7" s="2782" customFormat="1" ht="14.25" customHeight="1">
      <c r="A316" s="2948" t="s">
        <v>306</v>
      </c>
      <c r="B316" s="2948" t="s">
        <v>3031</v>
      </c>
      <c r="C316" s="2948"/>
      <c r="D316" s="2948"/>
      <c r="E316" s="2948"/>
      <c r="F316" s="2948">
        <v>900</v>
      </c>
      <c r="G316" s="2961"/>
    </row>
    <row r="317" spans="1:7" s="2782" customFormat="1" ht="14.25" customHeight="1">
      <c r="A317" s="2948" t="s">
        <v>306</v>
      </c>
      <c r="B317" s="2948" t="s">
        <v>3156</v>
      </c>
      <c r="C317" s="2948"/>
      <c r="D317" s="2948"/>
      <c r="E317" s="2948"/>
      <c r="F317" s="2948">
        <v>920</v>
      </c>
      <c r="G317" s="2961"/>
    </row>
    <row r="318" spans="1:7" s="2782" customFormat="1" ht="14.25" customHeight="1">
      <c r="A318" s="2948" t="s">
        <v>306</v>
      </c>
      <c r="B318" s="2948" t="s">
        <v>3157</v>
      </c>
      <c r="C318" s="2948"/>
      <c r="D318" s="2948"/>
      <c r="E318" s="2948"/>
      <c r="F318" s="2948">
        <v>1080</v>
      </c>
      <c r="G318" s="2961"/>
    </row>
    <row r="319" spans="1:7" s="2782" customFormat="1" ht="14.25" customHeight="1">
      <c r="A319" s="2948" t="s">
        <v>306</v>
      </c>
      <c r="B319" s="2948" t="s">
        <v>3044</v>
      </c>
      <c r="C319" s="2948"/>
      <c r="D319" s="2948"/>
      <c r="E319" s="2948"/>
      <c r="F319" s="2948">
        <v>1020</v>
      </c>
      <c r="G319" s="2961"/>
    </row>
    <row r="320" spans="1:7" s="2782" customFormat="1" ht="14.25" customHeight="1">
      <c r="A320" s="2948" t="s">
        <v>306</v>
      </c>
      <c r="B320" s="2948" t="s">
        <v>3047</v>
      </c>
      <c r="C320" s="2948"/>
      <c r="D320" s="2948"/>
      <c r="E320" s="2948"/>
      <c r="F320" s="2948">
        <v>1050</v>
      </c>
      <c r="G320" s="2961"/>
    </row>
    <row r="321" spans="1:7" s="2782" customFormat="1" ht="14.25" customHeight="1">
      <c r="A321" s="2948" t="s">
        <v>306</v>
      </c>
      <c r="B321" s="2948" t="s">
        <v>3049</v>
      </c>
      <c r="C321" s="2948"/>
      <c r="D321" s="2948"/>
      <c r="E321" s="2948"/>
      <c r="F321" s="2948">
        <v>960</v>
      </c>
      <c r="G321" s="2961"/>
    </row>
    <row r="322" spans="1:7" s="2782" customFormat="1" ht="14.25" customHeight="1">
      <c r="A322" s="2948" t="s">
        <v>306</v>
      </c>
      <c r="B322" s="2948" t="s">
        <v>3051</v>
      </c>
      <c r="C322" s="2948"/>
      <c r="D322" s="2948"/>
      <c r="E322" s="2948"/>
      <c r="F322" s="2948">
        <v>960</v>
      </c>
      <c r="G322" s="2961"/>
    </row>
    <row r="323" spans="1:7" s="2782" customFormat="1" ht="14.25" customHeight="1">
      <c r="A323" s="2948" t="s">
        <v>306</v>
      </c>
      <c r="B323" s="2948" t="s">
        <v>3053</v>
      </c>
      <c r="C323" s="2948"/>
      <c r="D323" s="2948"/>
      <c r="E323" s="2948"/>
      <c r="F323" s="2948">
        <v>880</v>
      </c>
      <c r="G323" s="2961"/>
    </row>
    <row r="324" spans="1:7" s="2782" customFormat="1" ht="14.25" customHeight="1">
      <c r="A324" s="2948" t="s">
        <v>306</v>
      </c>
      <c r="B324" s="2948" t="s">
        <v>3055</v>
      </c>
      <c r="C324" s="2948"/>
      <c r="D324" s="2948"/>
      <c r="E324" s="2948"/>
      <c r="F324" s="2948">
        <v>930</v>
      </c>
      <c r="G324" s="2961"/>
    </row>
    <row r="325" spans="1:7" s="2782" customFormat="1" ht="14.25" customHeight="1">
      <c r="A325" s="2948" t="s">
        <v>306</v>
      </c>
      <c r="B325" s="2949" t="s">
        <v>3057</v>
      </c>
      <c r="C325" s="2948"/>
      <c r="D325" s="2948"/>
      <c r="E325" s="2948"/>
      <c r="F325" s="2948">
        <v>900</v>
      </c>
      <c r="G325" s="2961"/>
    </row>
    <row r="326" spans="1:7" s="2782" customFormat="1" ht="14.25" customHeight="1" thickBot="1">
      <c r="A326" s="2962" t="s">
        <v>306</v>
      </c>
      <c r="B326" s="2955" t="s">
        <v>3059</v>
      </c>
      <c r="C326" s="2955"/>
      <c r="D326" s="2955"/>
      <c r="E326" s="2955"/>
      <c r="F326" s="2955">
        <v>790</v>
      </c>
      <c r="G326" s="2963"/>
    </row>
    <row r="327" spans="1:7" s="2782" customFormat="1" ht="14.25" customHeight="1">
      <c r="A327" s="2953" t="s">
        <v>307</v>
      </c>
      <c r="B327" s="2944" t="s">
        <v>3158</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3159</v>
      </c>
      <c r="C329" s="2948">
        <v>2730</v>
      </c>
      <c r="D329" s="2948">
        <v>2690</v>
      </c>
      <c r="E329" s="2948">
        <v>3100</v>
      </c>
      <c r="F329" s="2948">
        <v>660</v>
      </c>
      <c r="G329" s="2948">
        <v>1610</v>
      </c>
    </row>
    <row r="330" spans="1:7" s="2782" customFormat="1" ht="14.25" customHeight="1">
      <c r="A330" s="2948" t="s">
        <v>307</v>
      </c>
      <c r="B330" s="2948" t="s">
        <v>3160</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2893</v>
      </c>
      <c r="C332" s="2948">
        <v>3520</v>
      </c>
      <c r="D332" s="2948">
        <v>3480</v>
      </c>
      <c r="E332" s="2948">
        <v>3830</v>
      </c>
      <c r="F332" s="2948">
        <v>720</v>
      </c>
      <c r="G332" s="2948">
        <v>2090</v>
      </c>
    </row>
    <row r="333" spans="1:7" s="2782" customFormat="1" ht="14.25" customHeight="1">
      <c r="A333" s="2948" t="s">
        <v>307</v>
      </c>
      <c r="B333" s="2948" t="s">
        <v>3161</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2903</v>
      </c>
      <c r="C336" s="2948">
        <v>3570</v>
      </c>
      <c r="D336" s="2948">
        <v>3530</v>
      </c>
      <c r="E336" s="2948">
        <v>3880</v>
      </c>
      <c r="F336" s="2948">
        <v>770</v>
      </c>
      <c r="G336" s="2948">
        <v>2110</v>
      </c>
    </row>
    <row r="337" spans="1:10" s="2782" customFormat="1" ht="14.25" customHeight="1">
      <c r="A337" s="2948" t="s">
        <v>307</v>
      </c>
      <c r="B337" s="2948" t="s">
        <v>3162</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3163</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3164</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2928</v>
      </c>
      <c r="C345" s="2948">
        <v>3190</v>
      </c>
      <c r="D345" s="2948">
        <v>3140</v>
      </c>
      <c r="E345" s="2948">
        <v>3450</v>
      </c>
      <c r="F345" s="2948">
        <v>720</v>
      </c>
      <c r="G345" s="2948">
        <v>1880</v>
      </c>
      <c r="J345" s="2782"/>
    </row>
    <row r="346" spans="1:10">
      <c r="A346" s="2948" t="s">
        <v>307</v>
      </c>
      <c r="B346" s="2948" t="s">
        <v>3165</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2937</v>
      </c>
      <c r="C348" s="2948">
        <v>4000</v>
      </c>
      <c r="D348" s="2948">
        <v>3950</v>
      </c>
      <c r="E348" s="2948">
        <v>4430</v>
      </c>
      <c r="F348" s="2948">
        <v>760</v>
      </c>
      <c r="G348" s="2948">
        <v>2360</v>
      </c>
      <c r="J348" s="2782"/>
    </row>
    <row r="349" spans="1:10">
      <c r="A349" s="2948" t="s">
        <v>307</v>
      </c>
      <c r="B349" s="2948" t="s">
        <v>2942</v>
      </c>
      <c r="C349" s="2948">
        <v>3820</v>
      </c>
      <c r="D349" s="2948">
        <v>3780</v>
      </c>
      <c r="E349" s="2948">
        <v>4170</v>
      </c>
      <c r="F349" s="2948">
        <v>710</v>
      </c>
      <c r="G349" s="2948">
        <v>2260</v>
      </c>
      <c r="J349" s="2782"/>
    </row>
    <row r="350" spans="1:10">
      <c r="A350" s="2948" t="s">
        <v>307</v>
      </c>
      <c r="B350" s="2948" t="s">
        <v>3166</v>
      </c>
      <c r="C350" s="2948">
        <v>3760</v>
      </c>
      <c r="D350" s="2948">
        <v>3730</v>
      </c>
      <c r="E350" s="2948">
        <v>4100</v>
      </c>
      <c r="F350" s="2948">
        <v>800</v>
      </c>
      <c r="G350" s="2948">
        <v>2230</v>
      </c>
      <c r="J350" s="2782"/>
    </row>
    <row r="351" spans="1:10">
      <c r="A351" s="2948" t="s">
        <v>307</v>
      </c>
      <c r="B351" s="2948" t="s">
        <v>2950</v>
      </c>
      <c r="C351" s="2948">
        <v>3610</v>
      </c>
      <c r="D351" s="2948">
        <v>3580</v>
      </c>
      <c r="E351" s="2948">
        <v>3930</v>
      </c>
      <c r="F351" s="2948">
        <v>700</v>
      </c>
      <c r="G351" s="2948">
        <v>2140</v>
      </c>
      <c r="J351" s="2782"/>
    </row>
    <row r="352" spans="1:10">
      <c r="A352" s="2948" t="s">
        <v>307</v>
      </c>
      <c r="B352" s="2948" t="s">
        <v>2955</v>
      </c>
      <c r="C352" s="2948">
        <v>3670</v>
      </c>
      <c r="D352" s="2948">
        <v>3630</v>
      </c>
      <c r="E352" s="2948">
        <v>4000</v>
      </c>
      <c r="F352" s="2948">
        <v>750</v>
      </c>
      <c r="G352" s="2948">
        <v>2180</v>
      </c>
    </row>
    <row r="353" spans="1:7" s="2783" customFormat="1">
      <c r="A353" s="2948" t="s">
        <v>307</v>
      </c>
      <c r="B353" s="2948" t="s">
        <v>3167</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2975</v>
      </c>
      <c r="C355" s="2948">
        <v>3650</v>
      </c>
      <c r="D355" s="2948">
        <v>3610</v>
      </c>
      <c r="E355" s="2948">
        <v>4200</v>
      </c>
      <c r="F355" s="2948">
        <v>640</v>
      </c>
      <c r="G355" s="2948">
        <v>2160</v>
      </c>
    </row>
    <row r="356" spans="1:7" s="2783" customFormat="1">
      <c r="A356" s="2948" t="s">
        <v>307</v>
      </c>
      <c r="B356" s="2948" t="s">
        <v>2982</v>
      </c>
      <c r="C356" s="2948">
        <v>3260</v>
      </c>
      <c r="D356" s="2948">
        <v>3230</v>
      </c>
      <c r="E356" s="2948">
        <v>3740</v>
      </c>
      <c r="F356" s="2948">
        <v>600</v>
      </c>
      <c r="G356" s="2948">
        <v>1930</v>
      </c>
    </row>
    <row r="357" spans="1:7" s="2783" customFormat="1" ht="12" thickBot="1">
      <c r="A357" s="2956" t="s">
        <v>307</v>
      </c>
      <c r="B357" s="2959" t="s">
        <v>3168</v>
      </c>
      <c r="C357" s="2959">
        <v>3690</v>
      </c>
      <c r="D357" s="2959">
        <v>3650</v>
      </c>
      <c r="E357" s="2959">
        <v>4020</v>
      </c>
      <c r="F357" s="2959">
        <v>700</v>
      </c>
      <c r="G357" s="2959">
        <v>2190</v>
      </c>
    </row>
    <row r="358" spans="1:7" s="2783" customFormat="1">
      <c r="A358" s="2953" t="s">
        <v>3169</v>
      </c>
      <c r="B358" s="2944" t="s">
        <v>3170</v>
      </c>
      <c r="C358" s="2944">
        <v>2080</v>
      </c>
      <c r="D358" s="2944">
        <v>2040</v>
      </c>
      <c r="E358" s="2944">
        <v>2010</v>
      </c>
      <c r="F358" s="2944">
        <v>530</v>
      </c>
      <c r="G358" s="2960">
        <v>1230</v>
      </c>
    </row>
    <row r="359" spans="1:7" s="2783" customFormat="1">
      <c r="A359" s="2948" t="s">
        <v>3169</v>
      </c>
      <c r="B359" s="2948" t="s">
        <v>3171</v>
      </c>
      <c r="C359" s="2948">
        <v>1850</v>
      </c>
      <c r="D359" s="2948">
        <v>1820</v>
      </c>
      <c r="E359" s="2948">
        <v>1780</v>
      </c>
      <c r="F359" s="2948">
        <v>520</v>
      </c>
      <c r="G359" s="2961">
        <v>1100</v>
      </c>
    </row>
    <row r="360" spans="1:7" s="2783" customFormat="1">
      <c r="A360" s="2948" t="s">
        <v>3169</v>
      </c>
      <c r="B360" s="2948" t="s">
        <v>3172</v>
      </c>
      <c r="C360" s="2948">
        <v>2020</v>
      </c>
      <c r="D360" s="2948">
        <v>1990</v>
      </c>
      <c r="E360" s="2948">
        <v>1950</v>
      </c>
      <c r="F360" s="2948">
        <v>500</v>
      </c>
      <c r="G360" s="2961">
        <v>1200</v>
      </c>
    </row>
    <row r="361" spans="1:7" s="2783" customFormat="1">
      <c r="A361" s="2948" t="s">
        <v>3169</v>
      </c>
      <c r="B361" s="2948" t="s">
        <v>153</v>
      </c>
      <c r="C361" s="2948">
        <v>2260</v>
      </c>
      <c r="D361" s="2948">
        <v>2220</v>
      </c>
      <c r="E361" s="2948">
        <v>2180</v>
      </c>
      <c r="F361" s="2948">
        <v>580</v>
      </c>
      <c r="G361" s="2961">
        <v>1340</v>
      </c>
    </row>
    <row r="362" spans="1:7" s="2783" customFormat="1">
      <c r="A362" s="2948" t="s">
        <v>3169</v>
      </c>
      <c r="B362" s="2948" t="s">
        <v>3173</v>
      </c>
      <c r="C362" s="2948">
        <v>2650</v>
      </c>
      <c r="D362" s="2948">
        <v>2610</v>
      </c>
      <c r="E362" s="2948">
        <v>2570</v>
      </c>
      <c r="F362" s="2948">
        <v>630</v>
      </c>
      <c r="G362" s="2961">
        <v>1570</v>
      </c>
    </row>
    <row r="363" spans="1:7" s="2783" customFormat="1">
      <c r="A363" s="2948" t="s">
        <v>3169</v>
      </c>
      <c r="B363" s="2948" t="s">
        <v>2894</v>
      </c>
      <c r="C363" s="2948">
        <v>2390</v>
      </c>
      <c r="D363" s="2948">
        <v>2360</v>
      </c>
      <c r="E363" s="2948">
        <v>2320</v>
      </c>
      <c r="F363" s="2948">
        <v>600</v>
      </c>
      <c r="G363" s="2961">
        <v>1420</v>
      </c>
    </row>
    <row r="364" spans="1:7" s="2783" customFormat="1">
      <c r="A364" s="2948" t="s">
        <v>3169</v>
      </c>
      <c r="B364" s="2948" t="s">
        <v>3174</v>
      </c>
      <c r="C364" s="2948">
        <v>2050</v>
      </c>
      <c r="D364" s="2948">
        <v>2030</v>
      </c>
      <c r="E364" s="2948">
        <v>1990</v>
      </c>
      <c r="F364" s="2948">
        <v>550</v>
      </c>
      <c r="G364" s="2961">
        <v>1220</v>
      </c>
    </row>
    <row r="365" spans="1:7" s="2783" customFormat="1">
      <c r="A365" s="2948" t="s">
        <v>3169</v>
      </c>
      <c r="B365" s="2948" t="s">
        <v>200</v>
      </c>
      <c r="C365" s="2948">
        <v>2140</v>
      </c>
      <c r="D365" s="2948">
        <v>2100</v>
      </c>
      <c r="E365" s="2948">
        <v>2060</v>
      </c>
      <c r="F365" s="2948">
        <v>540</v>
      </c>
      <c r="G365" s="2961">
        <v>1270</v>
      </c>
    </row>
    <row r="366" spans="1:7" s="2783" customFormat="1">
      <c r="A366" s="2948" t="s">
        <v>3169</v>
      </c>
      <c r="B366" s="2948" t="s">
        <v>2901</v>
      </c>
      <c r="C366" s="2948">
        <v>2410</v>
      </c>
      <c r="D366" s="2948">
        <v>2370</v>
      </c>
      <c r="E366" s="2948">
        <v>2330</v>
      </c>
      <c r="F366" s="2948">
        <v>570</v>
      </c>
      <c r="G366" s="2961">
        <v>1440</v>
      </c>
    </row>
    <row r="367" spans="1:7" s="2783" customFormat="1">
      <c r="A367" s="2948" t="s">
        <v>3169</v>
      </c>
      <c r="B367" s="2948" t="s">
        <v>3175</v>
      </c>
      <c r="C367" s="2948">
        <v>2300</v>
      </c>
      <c r="D367" s="2948">
        <v>2260</v>
      </c>
      <c r="E367" s="2948">
        <v>2220</v>
      </c>
      <c r="F367" s="2948">
        <v>560</v>
      </c>
      <c r="G367" s="2961">
        <v>1370</v>
      </c>
    </row>
    <row r="368" spans="1:7" s="2783" customFormat="1">
      <c r="A368" s="2948" t="s">
        <v>3169</v>
      </c>
      <c r="B368" s="2948" t="s">
        <v>3176</v>
      </c>
      <c r="C368" s="2948">
        <v>2430</v>
      </c>
      <c r="D368" s="2948">
        <v>2390</v>
      </c>
      <c r="E368" s="2948">
        <v>2350</v>
      </c>
      <c r="F368" s="2948">
        <v>570</v>
      </c>
      <c r="G368" s="2961">
        <v>1450</v>
      </c>
    </row>
    <row r="369" spans="1:7" s="2783" customFormat="1">
      <c r="A369" s="2948" t="s">
        <v>3169</v>
      </c>
      <c r="B369" s="2948" t="s">
        <v>214</v>
      </c>
      <c r="C369" s="2948">
        <v>2320</v>
      </c>
      <c r="D369" s="2948">
        <v>2290</v>
      </c>
      <c r="E369" s="2948">
        <v>2250</v>
      </c>
      <c r="F369" s="2948">
        <v>550</v>
      </c>
      <c r="G369" s="2961">
        <v>1380</v>
      </c>
    </row>
    <row r="370" spans="1:7" s="2783" customFormat="1">
      <c r="A370" s="2948" t="s">
        <v>3169</v>
      </c>
      <c r="B370" s="2948" t="s">
        <v>221</v>
      </c>
      <c r="C370" s="2948">
        <v>2190</v>
      </c>
      <c r="D370" s="2948">
        <v>2170</v>
      </c>
      <c r="E370" s="2948">
        <v>2130</v>
      </c>
      <c r="F370" s="2948">
        <v>530</v>
      </c>
      <c r="G370" s="2961">
        <v>1310</v>
      </c>
    </row>
    <row r="371" spans="1:7" s="2783" customFormat="1">
      <c r="A371" s="2948" t="s">
        <v>3169</v>
      </c>
      <c r="B371" s="2948" t="s">
        <v>229</v>
      </c>
      <c r="C371" s="2948">
        <v>2460</v>
      </c>
      <c r="D371" s="2948">
        <v>2420</v>
      </c>
      <c r="E371" s="2948">
        <v>2370</v>
      </c>
      <c r="F371" s="2948">
        <v>560</v>
      </c>
      <c r="G371" s="2961">
        <v>1470</v>
      </c>
    </row>
    <row r="372" spans="1:7" s="2783" customFormat="1">
      <c r="A372" s="2948" t="s">
        <v>3169</v>
      </c>
      <c r="B372" s="2948" t="s">
        <v>3177</v>
      </c>
      <c r="C372" s="2948">
        <v>2250</v>
      </c>
      <c r="D372" s="2948">
        <v>2210</v>
      </c>
      <c r="E372" s="2948">
        <v>2180</v>
      </c>
      <c r="F372" s="2948">
        <v>550</v>
      </c>
      <c r="G372" s="2961">
        <v>1340</v>
      </c>
    </row>
    <row r="373" spans="1:7" s="2783" customFormat="1">
      <c r="A373" s="2948" t="s">
        <v>3169</v>
      </c>
      <c r="B373" s="2948" t="s">
        <v>258</v>
      </c>
      <c r="C373" s="2948">
        <v>2210</v>
      </c>
      <c r="D373" s="2948">
        <v>2190</v>
      </c>
      <c r="E373" s="2948">
        <v>2150</v>
      </c>
      <c r="F373" s="2948">
        <v>530</v>
      </c>
      <c r="G373" s="2961">
        <v>1320</v>
      </c>
    </row>
    <row r="374" spans="1:7" s="2783" customFormat="1">
      <c r="A374" s="2948" t="s">
        <v>3169</v>
      </c>
      <c r="B374" s="2948" t="s">
        <v>266</v>
      </c>
      <c r="C374" s="2948">
        <v>2320</v>
      </c>
      <c r="D374" s="2948">
        <v>2280</v>
      </c>
      <c r="E374" s="2948">
        <v>2230</v>
      </c>
      <c r="F374" s="2948">
        <v>580</v>
      </c>
      <c r="G374" s="2961">
        <v>1380</v>
      </c>
    </row>
    <row r="375" spans="1:7" s="2783" customFormat="1">
      <c r="A375" s="2948" t="s">
        <v>3169</v>
      </c>
      <c r="B375" s="2948" t="s">
        <v>3178</v>
      </c>
      <c r="C375" s="2948">
        <v>2090</v>
      </c>
      <c r="D375" s="2948">
        <v>2050</v>
      </c>
      <c r="E375" s="2948">
        <v>2020</v>
      </c>
      <c r="F375" s="2948">
        <v>520</v>
      </c>
      <c r="G375" s="2961">
        <v>1240</v>
      </c>
    </row>
    <row r="376" spans="1:7" s="2783" customFormat="1">
      <c r="A376" s="2948" t="s">
        <v>3169</v>
      </c>
      <c r="B376" s="2948" t="s">
        <v>277</v>
      </c>
      <c r="C376" s="2948">
        <v>2010</v>
      </c>
      <c r="D376" s="2948">
        <v>1980</v>
      </c>
      <c r="E376" s="2948">
        <v>1940</v>
      </c>
      <c r="F376" s="2948">
        <v>540</v>
      </c>
      <c r="G376" s="2961">
        <v>1190</v>
      </c>
    </row>
    <row r="377" spans="1:7" s="2783" customFormat="1" ht="12" thickBot="1">
      <c r="A377" s="2956" t="s">
        <v>3169</v>
      </c>
      <c r="B377" s="2959" t="s">
        <v>2931</v>
      </c>
      <c r="C377" s="2959">
        <v>1930</v>
      </c>
      <c r="D377" s="2959">
        <v>1890</v>
      </c>
      <c r="E377" s="2959">
        <v>1860</v>
      </c>
      <c r="F377" s="2959">
        <v>530</v>
      </c>
      <c r="G377" s="2964">
        <v>1150</v>
      </c>
    </row>
    <row r="378" spans="1:7" s="2783" customFormat="1">
      <c r="A378" s="2965" t="s">
        <v>3179</v>
      </c>
      <c r="B378" s="2944" t="s">
        <v>3180</v>
      </c>
      <c r="C378" s="2944">
        <v>1520</v>
      </c>
      <c r="D378" s="2944">
        <v>1490</v>
      </c>
      <c r="E378" s="2944">
        <v>1460</v>
      </c>
      <c r="F378" s="2944">
        <v>460</v>
      </c>
      <c r="G378" s="2960">
        <v>940</v>
      </c>
    </row>
    <row r="379" spans="1:7" s="2783" customFormat="1">
      <c r="A379" s="2966" t="s">
        <v>3179</v>
      </c>
      <c r="B379" s="2948" t="s">
        <v>3181</v>
      </c>
      <c r="C379" s="2948">
        <v>1500</v>
      </c>
      <c r="D379" s="2948">
        <v>1470</v>
      </c>
      <c r="E379" s="2948">
        <v>1430</v>
      </c>
      <c r="F379" s="2948">
        <v>460</v>
      </c>
      <c r="G379" s="2961">
        <v>920</v>
      </c>
    </row>
    <row r="380" spans="1:7" s="2783" customFormat="1">
      <c r="A380" s="2966" t="s">
        <v>3179</v>
      </c>
      <c r="B380" s="2948" t="s">
        <v>3182</v>
      </c>
      <c r="C380" s="2948">
        <v>1620</v>
      </c>
      <c r="D380" s="2948">
        <v>1590</v>
      </c>
      <c r="E380" s="2948">
        <v>1560</v>
      </c>
      <c r="F380" s="2948">
        <v>480</v>
      </c>
      <c r="G380" s="2961">
        <v>1000</v>
      </c>
    </row>
    <row r="381" spans="1:7" s="2783" customFormat="1">
      <c r="A381" s="2966" t="s">
        <v>3179</v>
      </c>
      <c r="B381" s="2948" t="s">
        <v>3183</v>
      </c>
      <c r="C381" s="2948">
        <v>1460</v>
      </c>
      <c r="D381" s="2948">
        <v>1430</v>
      </c>
      <c r="E381" s="2948">
        <v>1390</v>
      </c>
      <c r="F381" s="2948">
        <v>450</v>
      </c>
      <c r="G381" s="2961">
        <v>900</v>
      </c>
    </row>
    <row r="382" spans="1:7" s="2783" customFormat="1">
      <c r="A382" s="2966" t="s">
        <v>3179</v>
      </c>
      <c r="B382" s="2948" t="s">
        <v>3184</v>
      </c>
      <c r="C382" s="2948">
        <v>1310</v>
      </c>
      <c r="D382" s="2948">
        <v>1280</v>
      </c>
      <c r="E382" s="2948">
        <v>1250</v>
      </c>
      <c r="F382" s="2948">
        <v>440</v>
      </c>
      <c r="G382" s="2961">
        <v>800</v>
      </c>
    </row>
    <row r="383" spans="1:7" s="2783" customFormat="1">
      <c r="A383" s="2966" t="s">
        <v>3179</v>
      </c>
      <c r="B383" s="2948" t="s">
        <v>3185</v>
      </c>
      <c r="C383" s="2948">
        <v>1260</v>
      </c>
      <c r="D383" s="2948">
        <v>1230</v>
      </c>
      <c r="E383" s="2948">
        <v>1200</v>
      </c>
      <c r="F383" s="2948">
        <v>420</v>
      </c>
      <c r="G383" s="2961">
        <v>770</v>
      </c>
    </row>
    <row r="384" spans="1:7" s="2783" customFormat="1" ht="12" thickBot="1">
      <c r="A384" s="2967" t="s">
        <v>3179</v>
      </c>
      <c r="B384" s="2955" t="s">
        <v>3186</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9" t="s">
        <v>3187</v>
      </c>
      <c r="B1" s="3479"/>
    </row>
    <row r="2" spans="1:7" ht="14.25" thickBot="1">
      <c r="A2" s="2969"/>
      <c r="B2" s="2969"/>
    </row>
    <row r="3" spans="1:7" ht="14.25" thickBot="1">
      <c r="A3" s="2969"/>
      <c r="B3" s="2969"/>
      <c r="C3" s="2970" t="s">
        <v>2813</v>
      </c>
      <c r="D3" s="2970" t="s">
        <v>2873</v>
      </c>
      <c r="E3" s="2970" t="s">
        <v>2815</v>
      </c>
      <c r="F3" s="2970" t="s">
        <v>2874</v>
      </c>
      <c r="G3" s="2970" t="s">
        <v>2633</v>
      </c>
    </row>
    <row r="4" spans="1:7" ht="14.25" thickBot="1">
      <c r="A4" s="2971" t="s">
        <v>2872</v>
      </c>
      <c r="B4" s="2972" t="s">
        <v>2878</v>
      </c>
      <c r="C4" s="2970"/>
      <c r="D4" s="2970"/>
      <c r="E4" s="2970"/>
      <c r="F4" s="2970"/>
      <c r="G4" s="2970"/>
    </row>
    <row r="5" spans="1:7">
      <c r="A5" s="2973" t="s">
        <v>2846</v>
      </c>
      <c r="B5" s="2974" t="s">
        <v>2860</v>
      </c>
      <c r="C5" s="2975">
        <v>9.8000000000000004E-2</v>
      </c>
      <c r="D5" s="2975">
        <v>8.6999999999999994E-2</v>
      </c>
      <c r="E5" s="2975">
        <v>8.6999999999999994E-2</v>
      </c>
      <c r="F5" s="2975">
        <v>9.8000000000000004E-2</v>
      </c>
      <c r="G5" s="2976">
        <v>9.5000000000000001E-2</v>
      </c>
    </row>
    <row r="6" spans="1:7">
      <c r="A6" s="2977" t="s">
        <v>144</v>
      </c>
      <c r="B6" s="2978" t="s">
        <v>2875</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2861</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2911</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2929</v>
      </c>
      <c r="C29" s="2987"/>
      <c r="D29" s="2983">
        <v>5.1999999999999998E-2</v>
      </c>
      <c r="E29" s="2983">
        <v>7.0000000000000007E-2</v>
      </c>
      <c r="F29" s="2987"/>
      <c r="G29" s="2985">
        <v>7.0999999999999994E-2</v>
      </c>
    </row>
    <row r="30" spans="1:7">
      <c r="A30" s="2988" t="s">
        <v>296</v>
      </c>
      <c r="B30" s="2974" t="s">
        <v>2862</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2848</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2932</v>
      </c>
      <c r="C50" s="2979">
        <v>9.8000000000000004E-2</v>
      </c>
      <c r="D50" s="2979">
        <v>7.2999999999999995E-2</v>
      </c>
      <c r="E50" s="2979">
        <v>7.0999999999999994E-2</v>
      </c>
      <c r="F50" s="2990"/>
      <c r="G50" s="2980">
        <v>7.2999999999999995E-2</v>
      </c>
    </row>
    <row r="51" spans="1:7">
      <c r="A51" s="2989" t="s">
        <v>296</v>
      </c>
      <c r="B51" s="2978" t="s">
        <v>2934</v>
      </c>
      <c r="C51" s="2979">
        <v>9.9000000000000005E-2</v>
      </c>
      <c r="D51" s="2979">
        <v>8.5000000000000006E-2</v>
      </c>
      <c r="E51" s="2979">
        <v>6.3E-2</v>
      </c>
      <c r="F51" s="2990"/>
      <c r="G51" s="2980">
        <v>9.6000000000000002E-2</v>
      </c>
    </row>
    <row r="52" spans="1:7">
      <c r="A52" s="2989" t="s">
        <v>296</v>
      </c>
      <c r="B52" s="2978" t="s">
        <v>2938</v>
      </c>
      <c r="C52" s="2979">
        <v>7.3999999999999996E-2</v>
      </c>
      <c r="D52" s="2979">
        <v>9.6000000000000002E-2</v>
      </c>
      <c r="E52" s="2979">
        <v>0.05</v>
      </c>
      <c r="F52" s="2990"/>
      <c r="G52" s="2980">
        <v>9.8000000000000004E-2</v>
      </c>
    </row>
    <row r="53" spans="1:7">
      <c r="A53" s="2989" t="s">
        <v>296</v>
      </c>
      <c r="B53" s="2978" t="s">
        <v>2943</v>
      </c>
      <c r="C53" s="2979">
        <v>8.5999999999999993E-2</v>
      </c>
      <c r="D53" s="2990"/>
      <c r="E53" s="2979">
        <v>9.1999999999999998E-2</v>
      </c>
      <c r="F53" s="2990"/>
      <c r="G53" s="2991"/>
    </row>
    <row r="54" spans="1:7" ht="14.25" thickBot="1">
      <c r="A54" s="2992" t="s">
        <v>296</v>
      </c>
      <c r="B54" s="2982" t="s">
        <v>2946</v>
      </c>
      <c r="C54" s="2983">
        <v>9.6000000000000002E-2</v>
      </c>
      <c r="D54" s="2984"/>
      <c r="E54" s="2993"/>
      <c r="F54" s="2984"/>
      <c r="G54" s="2994"/>
    </row>
    <row r="55" spans="1:7">
      <c r="A55" s="2988" t="s">
        <v>110</v>
      </c>
      <c r="B55" s="2974" t="s">
        <v>2863</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2944</v>
      </c>
      <c r="C78" s="2979">
        <v>0.1</v>
      </c>
      <c r="D78" s="2979">
        <v>8.5000000000000006E-2</v>
      </c>
      <c r="E78" s="2979">
        <v>9.6000000000000002E-2</v>
      </c>
      <c r="F78" s="2990"/>
      <c r="G78" s="2980">
        <v>9.6000000000000002E-2</v>
      </c>
    </row>
    <row r="79" spans="1:7">
      <c r="A79" s="2989" t="s">
        <v>110</v>
      </c>
      <c r="B79" s="2978" t="s">
        <v>2947</v>
      </c>
      <c r="C79" s="2979">
        <v>0.05</v>
      </c>
      <c r="D79" s="2979">
        <v>9.6000000000000002E-2</v>
      </c>
      <c r="E79" s="2979">
        <v>9.5000000000000001E-2</v>
      </c>
      <c r="F79" s="2990"/>
      <c r="G79" s="2980">
        <v>9.8000000000000004E-2</v>
      </c>
    </row>
    <row r="80" spans="1:7">
      <c r="A80" s="2989" t="s">
        <v>110</v>
      </c>
      <c r="B80" s="2978" t="s">
        <v>2951</v>
      </c>
      <c r="C80" s="2979">
        <v>8.5999999999999993E-2</v>
      </c>
      <c r="D80" s="2995"/>
      <c r="E80" s="2979">
        <v>0.1</v>
      </c>
      <c r="F80" s="2990"/>
      <c r="G80" s="2991"/>
    </row>
    <row r="81" spans="1:7">
      <c r="A81" s="2989" t="s">
        <v>110</v>
      </c>
      <c r="B81" s="2978" t="s">
        <v>2956</v>
      </c>
      <c r="C81" s="2979">
        <v>9.6000000000000002E-2</v>
      </c>
      <c r="D81" s="2990"/>
      <c r="E81" s="2979">
        <v>9.8000000000000004E-2</v>
      </c>
      <c r="F81" s="2990"/>
      <c r="G81" s="2991"/>
    </row>
    <row r="82" spans="1:7">
      <c r="A82" s="2989" t="s">
        <v>110</v>
      </c>
      <c r="B82" s="2978" t="s">
        <v>2963</v>
      </c>
      <c r="C82" s="2995"/>
      <c r="D82" s="2990"/>
      <c r="E82" s="2979">
        <v>7.6999999999999999E-2</v>
      </c>
      <c r="F82" s="2990"/>
      <c r="G82" s="2991"/>
    </row>
    <row r="83" spans="1:7">
      <c r="A83" s="2989" t="s">
        <v>110</v>
      </c>
      <c r="B83" s="2978" t="s">
        <v>2969</v>
      </c>
      <c r="C83" s="2990"/>
      <c r="D83" s="2990"/>
      <c r="E83" s="2990"/>
      <c r="F83" s="2979">
        <v>0.1</v>
      </c>
      <c r="G83" s="2996"/>
    </row>
    <row r="84" spans="1:7">
      <c r="A84" s="2989" t="s">
        <v>110</v>
      </c>
      <c r="B84" s="2978" t="s">
        <v>2976</v>
      </c>
      <c r="C84" s="2990"/>
      <c r="D84" s="2990"/>
      <c r="E84" s="2990"/>
      <c r="F84" s="2979">
        <v>0.1</v>
      </c>
      <c r="G84" s="2996"/>
    </row>
    <row r="85" spans="1:7">
      <c r="A85" s="2989" t="s">
        <v>110</v>
      </c>
      <c r="B85" s="2978" t="s">
        <v>2983</v>
      </c>
      <c r="C85" s="2990"/>
      <c r="D85" s="2990"/>
      <c r="E85" s="2990"/>
      <c r="F85" s="2979">
        <v>0.1</v>
      </c>
      <c r="G85" s="2996"/>
    </row>
    <row r="86" spans="1:7" ht="14.25" thickBot="1">
      <c r="A86" s="2992" t="s">
        <v>110</v>
      </c>
      <c r="B86" s="2982" t="s">
        <v>2988</v>
      </c>
      <c r="C86" s="2983">
        <v>9.8000000000000004E-2</v>
      </c>
      <c r="D86" s="2983">
        <v>9.8000000000000004E-2</v>
      </c>
      <c r="E86" s="2983">
        <v>9.6000000000000002E-2</v>
      </c>
      <c r="F86" s="2993"/>
      <c r="G86" s="2985">
        <v>0.1</v>
      </c>
    </row>
    <row r="87" spans="1:7">
      <c r="A87" s="2988" t="s">
        <v>303</v>
      </c>
      <c r="B87" s="2974" t="s">
        <v>2864</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2957</v>
      </c>
      <c r="C113" s="2979">
        <v>0.1</v>
      </c>
      <c r="D113" s="2979">
        <v>0.1</v>
      </c>
      <c r="E113" s="2990"/>
      <c r="F113" s="2990"/>
      <c r="G113" s="2980">
        <v>0.1</v>
      </c>
    </row>
    <row r="114" spans="1:7">
      <c r="A114" s="2989" t="s">
        <v>303</v>
      </c>
      <c r="B114" s="2978" t="s">
        <v>2964</v>
      </c>
      <c r="C114" s="2979">
        <v>9.7000000000000003E-2</v>
      </c>
      <c r="D114" s="2979">
        <v>9.7000000000000003E-2</v>
      </c>
      <c r="E114" s="2990"/>
      <c r="F114" s="2990"/>
      <c r="G114" s="2980">
        <v>9.9000000000000005E-2</v>
      </c>
    </row>
    <row r="115" spans="1:7">
      <c r="A115" s="2989" t="s">
        <v>303</v>
      </c>
      <c r="B115" s="2978" t="s">
        <v>2970</v>
      </c>
      <c r="C115" s="2979">
        <v>0.1</v>
      </c>
      <c r="D115" s="2979">
        <v>0.1</v>
      </c>
      <c r="E115" s="2990"/>
      <c r="F115" s="2990"/>
      <c r="G115" s="2980">
        <v>0.1</v>
      </c>
    </row>
    <row r="116" spans="1:7">
      <c r="A116" s="2989" t="s">
        <v>303</v>
      </c>
      <c r="B116" s="2978" t="s">
        <v>2977</v>
      </c>
      <c r="C116" s="2979">
        <v>0.1</v>
      </c>
      <c r="D116" s="2979">
        <v>0.1</v>
      </c>
      <c r="E116" s="2990"/>
      <c r="F116" s="2990"/>
      <c r="G116" s="2980">
        <v>0.1</v>
      </c>
    </row>
    <row r="117" spans="1:7">
      <c r="A117" s="2989" t="s">
        <v>303</v>
      </c>
      <c r="B117" s="2978" t="s">
        <v>2984</v>
      </c>
      <c r="C117" s="2979">
        <v>9.7000000000000003E-2</v>
      </c>
      <c r="D117" s="2979">
        <v>9.7000000000000003E-2</v>
      </c>
      <c r="E117" s="2990"/>
      <c r="F117" s="2990"/>
      <c r="G117" s="2980">
        <v>9.7000000000000003E-2</v>
      </c>
    </row>
    <row r="118" spans="1:7">
      <c r="A118" s="2989" t="s">
        <v>303</v>
      </c>
      <c r="B118" s="2978" t="s">
        <v>2989</v>
      </c>
      <c r="C118" s="2979">
        <v>0.1</v>
      </c>
      <c r="D118" s="2979">
        <v>0.1</v>
      </c>
      <c r="E118" s="2990"/>
      <c r="F118" s="2990"/>
      <c r="G118" s="2980">
        <v>0.1</v>
      </c>
    </row>
    <row r="119" spans="1:7">
      <c r="A119" s="2989" t="s">
        <v>303</v>
      </c>
      <c r="B119" s="2978" t="s">
        <v>2993</v>
      </c>
      <c r="C119" s="2979">
        <v>5.0999999999999997E-2</v>
      </c>
      <c r="D119" s="2979">
        <v>5.1999999999999998E-2</v>
      </c>
      <c r="E119" s="2990"/>
      <c r="F119" s="2995"/>
      <c r="G119" s="2980">
        <v>0.06</v>
      </c>
    </row>
    <row r="120" spans="1:7">
      <c r="A120" s="2989" t="s">
        <v>303</v>
      </c>
      <c r="B120" s="2978" t="s">
        <v>2997</v>
      </c>
      <c r="C120" s="2990"/>
      <c r="D120" s="2990"/>
      <c r="E120" s="2990"/>
      <c r="F120" s="2979">
        <v>0.1</v>
      </c>
      <c r="G120" s="2996"/>
    </row>
    <row r="121" spans="1:7">
      <c r="A121" s="2989" t="s">
        <v>303</v>
      </c>
      <c r="B121" s="2978" t="s">
        <v>3002</v>
      </c>
      <c r="C121" s="2990"/>
      <c r="D121" s="2990"/>
      <c r="E121" s="2990"/>
      <c r="F121" s="2979">
        <v>0.1</v>
      </c>
      <c r="G121" s="2996"/>
    </row>
    <row r="122" spans="1:7">
      <c r="A122" s="2989" t="s">
        <v>303</v>
      </c>
      <c r="B122" s="2978" t="s">
        <v>3007</v>
      </c>
      <c r="C122" s="2979">
        <v>0.1</v>
      </c>
      <c r="D122" s="2979">
        <v>0.1</v>
      </c>
      <c r="E122" s="2979">
        <v>9.8000000000000004E-2</v>
      </c>
      <c r="F122" s="2979">
        <v>0.1</v>
      </c>
      <c r="G122" s="2980">
        <v>0.1</v>
      </c>
    </row>
    <row r="123" spans="1:7">
      <c r="A123" s="2989" t="s">
        <v>303</v>
      </c>
      <c r="B123" s="2978" t="s">
        <v>3012</v>
      </c>
      <c r="C123" s="2979">
        <v>0.1</v>
      </c>
      <c r="D123" s="2979">
        <v>0.1</v>
      </c>
      <c r="E123" s="2979">
        <v>9.8000000000000004E-2</v>
      </c>
      <c r="F123" s="2979">
        <v>0.1</v>
      </c>
      <c r="G123" s="2980">
        <v>0.1</v>
      </c>
    </row>
    <row r="124" spans="1:7">
      <c r="A124" s="2989" t="s">
        <v>303</v>
      </c>
      <c r="B124" s="2978" t="s">
        <v>3017</v>
      </c>
      <c r="C124" s="2979">
        <v>0.1</v>
      </c>
      <c r="D124" s="2979">
        <v>0.1</v>
      </c>
      <c r="E124" s="2979">
        <v>9.8000000000000004E-2</v>
      </c>
      <c r="F124" s="2995"/>
      <c r="G124" s="2980">
        <v>0.1</v>
      </c>
    </row>
    <row r="125" spans="1:7">
      <c r="A125" s="2989" t="s">
        <v>303</v>
      </c>
      <c r="B125" s="2978" t="s">
        <v>3022</v>
      </c>
      <c r="C125" s="2979">
        <v>9.8000000000000004E-2</v>
      </c>
      <c r="D125" s="2979">
        <v>9.8000000000000004E-2</v>
      </c>
      <c r="E125" s="2979">
        <v>9.6000000000000002E-2</v>
      </c>
      <c r="F125" s="2995"/>
      <c r="G125" s="2980">
        <v>0.1</v>
      </c>
    </row>
    <row r="126" spans="1:7" ht="14.25" thickBot="1">
      <c r="A126" s="2992" t="s">
        <v>303</v>
      </c>
      <c r="B126" s="2982" t="s">
        <v>3188</v>
      </c>
      <c r="C126" s="2983">
        <v>0.1</v>
      </c>
      <c r="D126" s="2983">
        <v>0.1</v>
      </c>
      <c r="E126" s="2983">
        <v>9.8000000000000004E-2</v>
      </c>
      <c r="F126" s="2983">
        <v>0.1</v>
      </c>
      <c r="G126" s="2985">
        <v>0.1</v>
      </c>
    </row>
    <row r="127" spans="1:7">
      <c r="A127" s="2988" t="s">
        <v>29</v>
      </c>
      <c r="B127" s="2974" t="s">
        <v>2865</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2935</v>
      </c>
      <c r="C148" s="2979">
        <v>0.13</v>
      </c>
      <c r="D148" s="2979">
        <v>0.13</v>
      </c>
      <c r="E148" s="2979">
        <v>0.13</v>
      </c>
      <c r="F148" s="2990"/>
      <c r="G148" s="2980">
        <v>0.13</v>
      </c>
    </row>
    <row r="149" spans="1:7">
      <c r="A149" s="2989" t="s">
        <v>29</v>
      </c>
      <c r="B149" s="2978" t="s">
        <v>2939</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2958</v>
      </c>
      <c r="C153" s="2979">
        <v>0.13</v>
      </c>
      <c r="D153" s="2979">
        <v>0.13</v>
      </c>
      <c r="E153" s="2979">
        <v>0.13</v>
      </c>
      <c r="F153" s="2979">
        <v>0.13</v>
      </c>
      <c r="G153" s="2980">
        <v>0.13</v>
      </c>
    </row>
    <row r="154" spans="1:7">
      <c r="A154" s="2989" t="s">
        <v>29</v>
      </c>
      <c r="B154" s="2978" t="s">
        <v>2965</v>
      </c>
      <c r="C154" s="2979">
        <v>0.121</v>
      </c>
      <c r="D154" s="2979">
        <v>0.121</v>
      </c>
      <c r="E154" s="2979">
        <v>0.105</v>
      </c>
      <c r="F154" s="2979">
        <v>0.121</v>
      </c>
      <c r="G154" s="2980">
        <v>0.123</v>
      </c>
    </row>
    <row r="155" spans="1:7">
      <c r="A155" s="2989" t="s">
        <v>29</v>
      </c>
      <c r="B155" s="2978" t="s">
        <v>2971</v>
      </c>
      <c r="C155" s="2979">
        <v>0.1</v>
      </c>
      <c r="D155" s="2979">
        <v>0.1</v>
      </c>
      <c r="E155" s="2979">
        <v>0.1</v>
      </c>
      <c r="F155" s="2979">
        <v>0.1</v>
      </c>
      <c r="G155" s="2980">
        <v>0.1</v>
      </c>
    </row>
    <row r="156" spans="1:7">
      <c r="A156" s="2989" t="s">
        <v>29</v>
      </c>
      <c r="B156" s="2978" t="s">
        <v>2978</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2998</v>
      </c>
      <c r="C160" s="2979">
        <v>0.13</v>
      </c>
      <c r="D160" s="2979">
        <v>0.13</v>
      </c>
      <c r="E160" s="2979">
        <v>0.124</v>
      </c>
      <c r="F160" s="2979">
        <v>0.126</v>
      </c>
      <c r="G160" s="2980">
        <v>0.13</v>
      </c>
    </row>
    <row r="161" spans="1:7">
      <c r="A161" s="2989" t="s">
        <v>29</v>
      </c>
      <c r="B161" s="2978" t="s">
        <v>3003</v>
      </c>
      <c r="C161" s="2979">
        <v>0.13</v>
      </c>
      <c r="D161" s="2979">
        <v>0.13</v>
      </c>
      <c r="E161" s="2979">
        <v>0.124</v>
      </c>
      <c r="F161" s="2979">
        <v>0.127</v>
      </c>
      <c r="G161" s="2980">
        <v>0.13</v>
      </c>
    </row>
    <row r="162" spans="1:7">
      <c r="A162" s="2989" t="s">
        <v>29</v>
      </c>
      <c r="B162" s="2978" t="s">
        <v>3008</v>
      </c>
      <c r="C162" s="2979">
        <v>0.1</v>
      </c>
      <c r="D162" s="2979">
        <v>0.1</v>
      </c>
      <c r="E162" s="2979">
        <v>0.1</v>
      </c>
      <c r="F162" s="2979">
        <v>0.121</v>
      </c>
      <c r="G162" s="2980">
        <v>0.105</v>
      </c>
    </row>
    <row r="163" spans="1:7">
      <c r="A163" s="2989" t="s">
        <v>29</v>
      </c>
      <c r="B163" s="2978" t="s">
        <v>3013</v>
      </c>
      <c r="C163" s="2979">
        <v>0.1</v>
      </c>
      <c r="D163" s="2979">
        <v>0.1</v>
      </c>
      <c r="E163" s="2979">
        <v>0.1</v>
      </c>
      <c r="F163" s="2979">
        <v>0.1</v>
      </c>
      <c r="G163" s="2980">
        <v>0.1</v>
      </c>
    </row>
    <row r="164" spans="1:7">
      <c r="A164" s="2989" t="s">
        <v>29</v>
      </c>
      <c r="B164" s="2978" t="s">
        <v>3018</v>
      </c>
      <c r="C164" s="2995"/>
      <c r="D164" s="2995"/>
      <c r="E164" s="2995"/>
      <c r="F164" s="2979">
        <v>0.1</v>
      </c>
      <c r="G164" s="2991"/>
    </row>
    <row r="165" spans="1:7">
      <c r="A165" s="2989" t="s">
        <v>29</v>
      </c>
      <c r="B165" s="2978" t="s">
        <v>3189</v>
      </c>
      <c r="C165" s="2979">
        <v>0.126</v>
      </c>
      <c r="D165" s="2979">
        <v>0.126</v>
      </c>
      <c r="E165" s="2979">
        <v>0.11899999999999999</v>
      </c>
      <c r="F165" s="2979">
        <v>0.13</v>
      </c>
      <c r="G165" s="2980">
        <v>0.128</v>
      </c>
    </row>
    <row r="166" spans="1:7">
      <c r="A166" s="2989" t="s">
        <v>29</v>
      </c>
      <c r="B166" s="2978" t="s">
        <v>3028</v>
      </c>
      <c r="C166" s="2979">
        <v>0.129</v>
      </c>
      <c r="D166" s="2979">
        <v>0.129</v>
      </c>
      <c r="E166" s="2979">
        <v>0.123</v>
      </c>
      <c r="F166" s="2979">
        <v>0.128</v>
      </c>
      <c r="G166" s="2980">
        <v>0.13</v>
      </c>
    </row>
    <row r="167" spans="1:7">
      <c r="A167" s="2989" t="s">
        <v>29</v>
      </c>
      <c r="B167" s="2978" t="s">
        <v>3032</v>
      </c>
      <c r="C167" s="2979">
        <v>0.125</v>
      </c>
      <c r="D167" s="2979">
        <v>0.125</v>
      </c>
      <c r="E167" s="2979">
        <v>0.11700000000000001</v>
      </c>
      <c r="F167" s="2979">
        <v>0.13</v>
      </c>
      <c r="G167" s="2980">
        <v>0.126</v>
      </c>
    </row>
    <row r="168" spans="1:7">
      <c r="A168" s="2989" t="s">
        <v>29</v>
      </c>
      <c r="B168" s="2978" t="s">
        <v>3037</v>
      </c>
      <c r="C168" s="2979">
        <v>0.128</v>
      </c>
      <c r="D168" s="2979">
        <v>0.128</v>
      </c>
      <c r="E168" s="2979">
        <v>0.123</v>
      </c>
      <c r="F168" s="2990"/>
      <c r="G168" s="2980">
        <v>0.13</v>
      </c>
    </row>
    <row r="169" spans="1:7">
      <c r="A169" s="2989" t="s">
        <v>29</v>
      </c>
      <c r="B169" s="2978" t="s">
        <v>3190</v>
      </c>
      <c r="C169" s="2995"/>
      <c r="D169" s="2995"/>
      <c r="E169" s="2995"/>
      <c r="F169" s="2979">
        <v>0.05</v>
      </c>
      <c r="G169" s="2991"/>
    </row>
    <row r="170" spans="1:7">
      <c r="A170" s="2989" t="s">
        <v>29</v>
      </c>
      <c r="B170" s="2978" t="s">
        <v>3191</v>
      </c>
      <c r="C170" s="2995"/>
      <c r="D170" s="2995"/>
      <c r="E170" s="2995"/>
      <c r="F170" s="2979">
        <v>0.05</v>
      </c>
      <c r="G170" s="2991"/>
    </row>
    <row r="171" spans="1:7">
      <c r="A171" s="2989" t="s">
        <v>29</v>
      </c>
      <c r="B171" s="2978" t="s">
        <v>3192</v>
      </c>
      <c r="C171" s="2995"/>
      <c r="D171" s="2995"/>
      <c r="E171" s="2995"/>
      <c r="F171" s="2979">
        <v>0.05</v>
      </c>
      <c r="G171" s="2996"/>
    </row>
    <row r="172" spans="1:7">
      <c r="A172" s="2989" t="s">
        <v>29</v>
      </c>
      <c r="B172" s="2978" t="s">
        <v>3193</v>
      </c>
      <c r="C172" s="2995"/>
      <c r="D172" s="2995"/>
      <c r="E172" s="2995"/>
      <c r="F172" s="2979">
        <v>0.05</v>
      </c>
      <c r="G172" s="2996"/>
    </row>
    <row r="173" spans="1:7">
      <c r="A173" s="2989" t="s">
        <v>29</v>
      </c>
      <c r="B173" s="2978" t="s">
        <v>3194</v>
      </c>
      <c r="C173" s="2995"/>
      <c r="D173" s="2995"/>
      <c r="E173" s="2995"/>
      <c r="F173" s="2979">
        <v>0.05</v>
      </c>
      <c r="G173" s="2991"/>
    </row>
    <row r="174" spans="1:7">
      <c r="A174" s="2989" t="s">
        <v>29</v>
      </c>
      <c r="B174" s="2978" t="s">
        <v>3195</v>
      </c>
      <c r="C174" s="2995"/>
      <c r="D174" s="2995"/>
      <c r="E174" s="2995"/>
      <c r="F174" s="2979">
        <v>0.05</v>
      </c>
      <c r="G174" s="2991"/>
    </row>
    <row r="175" spans="1:7">
      <c r="A175" s="2989" t="s">
        <v>29</v>
      </c>
      <c r="B175" s="2978" t="s">
        <v>3196</v>
      </c>
      <c r="C175" s="2995"/>
      <c r="D175" s="2995"/>
      <c r="E175" s="2995"/>
      <c r="F175" s="2979">
        <v>0.05</v>
      </c>
      <c r="G175" s="2991"/>
    </row>
    <row r="176" spans="1:7">
      <c r="A176" s="2989" t="s">
        <v>29</v>
      </c>
      <c r="B176" s="2978" t="s">
        <v>3197</v>
      </c>
      <c r="C176" s="2995"/>
      <c r="D176" s="2995"/>
      <c r="E176" s="2995"/>
      <c r="F176" s="2979">
        <v>0.05</v>
      </c>
      <c r="G176" s="2991"/>
    </row>
    <row r="177" spans="1:7">
      <c r="A177" s="2989" t="s">
        <v>29</v>
      </c>
      <c r="B177" s="2978" t="s">
        <v>3198</v>
      </c>
      <c r="C177" s="2990"/>
      <c r="D177" s="2990"/>
      <c r="E177" s="2990"/>
      <c r="F177" s="2979">
        <v>0.05</v>
      </c>
      <c r="G177" s="2996"/>
    </row>
    <row r="178" spans="1:7">
      <c r="A178" s="2989" t="s">
        <v>29</v>
      </c>
      <c r="B178" s="2978" t="s">
        <v>3199</v>
      </c>
      <c r="C178" s="2990"/>
      <c r="D178" s="2990"/>
      <c r="E178" s="2990"/>
      <c r="F178" s="2979">
        <v>0.05</v>
      </c>
      <c r="G178" s="2996"/>
    </row>
    <row r="179" spans="1:7">
      <c r="A179" s="2989" t="s">
        <v>29</v>
      </c>
      <c r="B179" s="2978" t="s">
        <v>3200</v>
      </c>
      <c r="C179" s="2990"/>
      <c r="D179" s="2990"/>
      <c r="E179" s="2990"/>
      <c r="F179" s="2979">
        <v>0.05</v>
      </c>
      <c r="G179" s="2996"/>
    </row>
    <row r="180" spans="1:7">
      <c r="A180" s="2989" t="s">
        <v>29</v>
      </c>
      <c r="B180" s="2978" t="s">
        <v>3201</v>
      </c>
      <c r="C180" s="2990"/>
      <c r="D180" s="2990"/>
      <c r="E180" s="2990"/>
      <c r="F180" s="2979">
        <v>0.05</v>
      </c>
      <c r="G180" s="2996"/>
    </row>
    <row r="181" spans="1:7">
      <c r="A181" s="2989" t="s">
        <v>29</v>
      </c>
      <c r="B181" s="2978" t="s">
        <v>3202</v>
      </c>
      <c r="C181" s="2990"/>
      <c r="D181" s="2990"/>
      <c r="E181" s="2990"/>
      <c r="F181" s="2979">
        <v>0.05</v>
      </c>
      <c r="G181" s="2996"/>
    </row>
    <row r="182" spans="1:7">
      <c r="A182" s="2989" t="s">
        <v>29</v>
      </c>
      <c r="B182" s="2978" t="s">
        <v>3203</v>
      </c>
      <c r="C182" s="2990"/>
      <c r="D182" s="2990"/>
      <c r="E182" s="2990"/>
      <c r="F182" s="2979">
        <v>0.05</v>
      </c>
      <c r="G182" s="2996"/>
    </row>
    <row r="183" spans="1:7">
      <c r="A183" s="2989" t="s">
        <v>29</v>
      </c>
      <c r="B183" s="2978" t="s">
        <v>3204</v>
      </c>
      <c r="C183" s="2990"/>
      <c r="D183" s="2990"/>
      <c r="E183" s="2990"/>
      <c r="F183" s="2979">
        <v>0.05</v>
      </c>
      <c r="G183" s="2996"/>
    </row>
    <row r="184" spans="1:7">
      <c r="A184" s="2989" t="s">
        <v>29</v>
      </c>
      <c r="B184" s="2978" t="s">
        <v>3205</v>
      </c>
      <c r="C184" s="2990"/>
      <c r="D184" s="2990"/>
      <c r="E184" s="2990"/>
      <c r="F184" s="2979">
        <v>0.05</v>
      </c>
      <c r="G184" s="2996"/>
    </row>
    <row r="185" spans="1:7">
      <c r="A185" s="2989" t="s">
        <v>29</v>
      </c>
      <c r="B185" s="2978" t="s">
        <v>3206</v>
      </c>
      <c r="C185" s="2990"/>
      <c r="D185" s="2990"/>
      <c r="E185" s="2990"/>
      <c r="F185" s="2979">
        <v>0.05</v>
      </c>
      <c r="G185" s="2996"/>
    </row>
    <row r="186" spans="1:7">
      <c r="A186" s="2989" t="s">
        <v>29</v>
      </c>
      <c r="B186" s="2978" t="s">
        <v>3207</v>
      </c>
      <c r="C186" s="2990"/>
      <c r="D186" s="2990"/>
      <c r="E186" s="2990"/>
      <c r="F186" s="2979">
        <v>0.05</v>
      </c>
      <c r="G186" s="2996"/>
    </row>
    <row r="187" spans="1:7">
      <c r="A187" s="2989" t="s">
        <v>29</v>
      </c>
      <c r="B187" s="2978" t="s">
        <v>3208</v>
      </c>
      <c r="C187" s="2990"/>
      <c r="D187" s="2990"/>
      <c r="E187" s="2990"/>
      <c r="F187" s="2979">
        <v>0.05</v>
      </c>
      <c r="G187" s="2996"/>
    </row>
    <row r="188" spans="1:7">
      <c r="A188" s="2989" t="s">
        <v>29</v>
      </c>
      <c r="B188" s="2978" t="s">
        <v>3209</v>
      </c>
      <c r="C188" s="2990"/>
      <c r="D188" s="2990"/>
      <c r="E188" s="2990"/>
      <c r="F188" s="2979">
        <v>0.05</v>
      </c>
      <c r="G188" s="2996"/>
    </row>
    <row r="189" spans="1:7" ht="14.25" thickBot="1">
      <c r="A189" s="2992" t="s">
        <v>29</v>
      </c>
      <c r="B189" s="2982" t="s">
        <v>3210</v>
      </c>
      <c r="C189" s="2984"/>
      <c r="D189" s="2984"/>
      <c r="E189" s="2984"/>
      <c r="F189" s="2983">
        <v>0.05</v>
      </c>
      <c r="G189" s="2997"/>
    </row>
    <row r="190" spans="1:7">
      <c r="A190" s="2988" t="s">
        <v>304</v>
      </c>
      <c r="B190" s="2974" t="s">
        <v>2866</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2902</v>
      </c>
      <c r="C199" s="2979">
        <v>0.13</v>
      </c>
      <c r="D199" s="2979">
        <v>0.13</v>
      </c>
      <c r="E199" s="2979">
        <v>0.13</v>
      </c>
      <c r="F199" s="2979">
        <v>0.13</v>
      </c>
      <c r="G199" s="2980">
        <v>0.13</v>
      </c>
    </row>
    <row r="200" spans="1:7">
      <c r="A200" s="2989" t="s">
        <v>304</v>
      </c>
      <c r="B200" s="2978" t="s">
        <v>2905</v>
      </c>
      <c r="C200" s="2995"/>
      <c r="D200" s="2995"/>
      <c r="E200" s="2995"/>
      <c r="F200" s="2979">
        <v>0.13</v>
      </c>
      <c r="G200" s="2991"/>
    </row>
    <row r="201" spans="1:7">
      <c r="A201" s="2989" t="s">
        <v>304</v>
      </c>
      <c r="B201" s="2978" t="s">
        <v>2910</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2913</v>
      </c>
      <c r="C203" s="2979">
        <v>0.129</v>
      </c>
      <c r="D203" s="2979">
        <v>0.129</v>
      </c>
      <c r="E203" s="2979">
        <v>0.13</v>
      </c>
      <c r="F203" s="2979">
        <v>0.13</v>
      </c>
      <c r="G203" s="2980">
        <v>0.13</v>
      </c>
    </row>
    <row r="204" spans="1:7">
      <c r="A204" s="2989" t="s">
        <v>304</v>
      </c>
      <c r="B204" s="2978" t="s">
        <v>2916</v>
      </c>
      <c r="C204" s="2979">
        <v>0.129</v>
      </c>
      <c r="D204" s="2979">
        <v>0.129</v>
      </c>
      <c r="E204" s="2979">
        <v>0.123</v>
      </c>
      <c r="F204" s="2979">
        <v>0.13</v>
      </c>
      <c r="G204" s="2980">
        <v>0.13</v>
      </c>
    </row>
    <row r="205" spans="1:7">
      <c r="A205" s="2989" t="s">
        <v>304</v>
      </c>
      <c r="B205" s="2978" t="s">
        <v>2918</v>
      </c>
      <c r="C205" s="2979">
        <v>0.13</v>
      </c>
      <c r="D205" s="2979">
        <v>0.13</v>
      </c>
      <c r="E205" s="2979">
        <v>0.13</v>
      </c>
      <c r="F205" s="2979">
        <v>0.13</v>
      </c>
      <c r="G205" s="2980">
        <v>0.13</v>
      </c>
    </row>
    <row r="206" spans="1:7">
      <c r="A206" s="2989" t="s">
        <v>304</v>
      </c>
      <c r="B206" s="2978" t="s">
        <v>2921</v>
      </c>
      <c r="C206" s="2979">
        <v>0.13</v>
      </c>
      <c r="D206" s="2979">
        <v>0.13</v>
      </c>
      <c r="E206" s="2979">
        <v>0.13</v>
      </c>
      <c r="F206" s="2979">
        <v>0.128</v>
      </c>
      <c r="G206" s="2980">
        <v>0.13</v>
      </c>
    </row>
    <row r="207" spans="1:7">
      <c r="A207" s="2989" t="s">
        <v>304</v>
      </c>
      <c r="B207" s="2978" t="s">
        <v>2923</v>
      </c>
      <c r="C207" s="2979">
        <v>0.13</v>
      </c>
      <c r="D207" s="2979">
        <v>0.13</v>
      </c>
      <c r="E207" s="2979">
        <v>0.13</v>
      </c>
      <c r="F207" s="2979">
        <v>0.13</v>
      </c>
      <c r="G207" s="2980">
        <v>0.13</v>
      </c>
    </row>
    <row r="208" spans="1:7">
      <c r="A208" s="2989" t="s">
        <v>304</v>
      </c>
      <c r="B208" s="2978" t="s">
        <v>2926</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2933</v>
      </c>
      <c r="C210" s="2979">
        <v>0.121</v>
      </c>
      <c r="D210" s="2979">
        <v>0.121</v>
      </c>
      <c r="E210" s="2979">
        <v>0.125</v>
      </c>
      <c r="F210" s="2979">
        <v>0.13</v>
      </c>
      <c r="G210" s="2980">
        <v>0.123</v>
      </c>
    </row>
    <row r="211" spans="1:7">
      <c r="A211" s="2989" t="s">
        <v>304</v>
      </c>
      <c r="B211" s="2978" t="s">
        <v>2936</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2948</v>
      </c>
      <c r="C214" s="2979">
        <v>0.128</v>
      </c>
      <c r="D214" s="2979">
        <v>0.128</v>
      </c>
      <c r="E214" s="2979">
        <v>0.13</v>
      </c>
      <c r="F214" s="2979">
        <v>0.13</v>
      </c>
      <c r="G214" s="2980">
        <v>0.13</v>
      </c>
    </row>
    <row r="215" spans="1:7">
      <c r="A215" s="2989" t="s">
        <v>304</v>
      </c>
      <c r="B215" s="2978" t="s">
        <v>2952</v>
      </c>
      <c r="C215" s="2979">
        <v>0.13</v>
      </c>
      <c r="D215" s="2979">
        <v>0.13</v>
      </c>
      <c r="E215" s="2979">
        <v>0.13</v>
      </c>
      <c r="F215" s="2979">
        <v>0.129</v>
      </c>
      <c r="G215" s="2980">
        <v>0.13</v>
      </c>
    </row>
    <row r="216" spans="1:7">
      <c r="A216" s="2989" t="s">
        <v>304</v>
      </c>
      <c r="B216" s="2978" t="s">
        <v>2959</v>
      </c>
      <c r="C216" s="2979">
        <v>0.13</v>
      </c>
      <c r="D216" s="2979">
        <v>0.13</v>
      </c>
      <c r="E216" s="2979">
        <v>0.13</v>
      </c>
      <c r="F216" s="2979">
        <v>0.13</v>
      </c>
      <c r="G216" s="2980">
        <v>0.13</v>
      </c>
    </row>
    <row r="217" spans="1:7">
      <c r="A217" s="2989" t="s">
        <v>304</v>
      </c>
      <c r="B217" s="2978" t="s">
        <v>2966</v>
      </c>
      <c r="C217" s="2979">
        <v>0.129</v>
      </c>
      <c r="D217" s="2979">
        <v>0.129</v>
      </c>
      <c r="E217" s="2979">
        <v>0.13</v>
      </c>
      <c r="F217" s="2979">
        <v>0.13</v>
      </c>
      <c r="G217" s="2980">
        <v>0.13</v>
      </c>
    </row>
    <row r="218" spans="1:7">
      <c r="A218" s="2989" t="s">
        <v>304</v>
      </c>
      <c r="B218" s="2978" t="s">
        <v>2972</v>
      </c>
      <c r="C218" s="2990"/>
      <c r="D218" s="2990"/>
      <c r="E218" s="2990"/>
      <c r="F218" s="2979">
        <v>0.05</v>
      </c>
      <c r="G218" s="2996"/>
    </row>
    <row r="219" spans="1:7">
      <c r="A219" s="2989" t="s">
        <v>304</v>
      </c>
      <c r="B219" s="2978" t="s">
        <v>2979</v>
      </c>
      <c r="C219" s="2990"/>
      <c r="D219" s="2990"/>
      <c r="E219" s="2990"/>
      <c r="F219" s="2979">
        <v>0.05</v>
      </c>
      <c r="G219" s="2996"/>
    </row>
    <row r="220" spans="1:7">
      <c r="A220" s="2989" t="s">
        <v>304</v>
      </c>
      <c r="B220" s="2978" t="s">
        <v>2985</v>
      </c>
      <c r="C220" s="2990"/>
      <c r="D220" s="2990"/>
      <c r="E220" s="2990"/>
      <c r="F220" s="2979">
        <v>0.05</v>
      </c>
      <c r="G220" s="2996"/>
    </row>
    <row r="221" spans="1:7">
      <c r="A221" s="2989" t="s">
        <v>304</v>
      </c>
      <c r="B221" s="2978" t="s">
        <v>2990</v>
      </c>
      <c r="C221" s="2990"/>
      <c r="D221" s="2990"/>
      <c r="E221" s="2990"/>
      <c r="F221" s="2979">
        <v>0.05</v>
      </c>
      <c r="G221" s="2996"/>
    </row>
    <row r="222" spans="1:7">
      <c r="A222" s="2989" t="s">
        <v>304</v>
      </c>
      <c r="B222" s="2978" t="s">
        <v>2994</v>
      </c>
      <c r="C222" s="2990"/>
      <c r="D222" s="2990"/>
      <c r="E222" s="2990"/>
      <c r="F222" s="2979">
        <v>0.05</v>
      </c>
      <c r="G222" s="2996"/>
    </row>
    <row r="223" spans="1:7">
      <c r="A223" s="2989" t="s">
        <v>304</v>
      </c>
      <c r="B223" s="2978" t="s">
        <v>2999</v>
      </c>
      <c r="C223" s="2990"/>
      <c r="D223" s="2990"/>
      <c r="E223" s="2990"/>
      <c r="F223" s="2979">
        <v>0.05</v>
      </c>
      <c r="G223" s="2996"/>
    </row>
    <row r="224" spans="1:7">
      <c r="A224" s="2989" t="s">
        <v>304</v>
      </c>
      <c r="B224" s="2978" t="s">
        <v>3004</v>
      </c>
      <c r="C224" s="2990"/>
      <c r="D224" s="2990"/>
      <c r="E224" s="2990"/>
      <c r="F224" s="2979">
        <v>0.05</v>
      </c>
      <c r="G224" s="2996"/>
    </row>
    <row r="225" spans="1:7">
      <c r="A225" s="2989" t="s">
        <v>304</v>
      </c>
      <c r="B225" s="2978" t="s">
        <v>3009</v>
      </c>
      <c r="C225" s="2990"/>
      <c r="D225" s="2990"/>
      <c r="E225" s="2990"/>
      <c r="F225" s="2979">
        <v>0.05</v>
      </c>
      <c r="G225" s="2996"/>
    </row>
    <row r="226" spans="1:7">
      <c r="A226" s="2989" t="s">
        <v>304</v>
      </c>
      <c r="B226" s="2978" t="s">
        <v>3211</v>
      </c>
      <c r="C226" s="2990"/>
      <c r="D226" s="2990"/>
      <c r="E226" s="2990"/>
      <c r="F226" s="2979">
        <v>0.05</v>
      </c>
      <c r="G226" s="2996"/>
    </row>
    <row r="227" spans="1:7">
      <c r="A227" s="2989" t="s">
        <v>304</v>
      </c>
      <c r="B227" s="2978" t="s">
        <v>3212</v>
      </c>
      <c r="C227" s="2990"/>
      <c r="D227" s="2990"/>
      <c r="E227" s="2990"/>
      <c r="F227" s="2979">
        <v>0.05</v>
      </c>
      <c r="G227" s="2996"/>
    </row>
    <row r="228" spans="1:7">
      <c r="A228" s="2989" t="s">
        <v>304</v>
      </c>
      <c r="B228" s="2978" t="s">
        <v>3213</v>
      </c>
      <c r="C228" s="2990"/>
      <c r="D228" s="2990"/>
      <c r="E228" s="2990"/>
      <c r="F228" s="2979">
        <v>0.05</v>
      </c>
      <c r="G228" s="2996"/>
    </row>
    <row r="229" spans="1:7">
      <c r="A229" s="2989" t="s">
        <v>304</v>
      </c>
      <c r="B229" s="2978" t="s">
        <v>3214</v>
      </c>
      <c r="C229" s="2990"/>
      <c r="D229" s="2990"/>
      <c r="E229" s="2990"/>
      <c r="F229" s="2979">
        <v>0.05</v>
      </c>
      <c r="G229" s="2996"/>
    </row>
    <row r="230" spans="1:7">
      <c r="A230" s="2989" t="s">
        <v>304</v>
      </c>
      <c r="B230" s="2978" t="s">
        <v>3215</v>
      </c>
      <c r="C230" s="2990"/>
      <c r="D230" s="2990"/>
      <c r="E230" s="2990"/>
      <c r="F230" s="2979">
        <v>0.05</v>
      </c>
      <c r="G230" s="2996"/>
    </row>
    <row r="231" spans="1:7">
      <c r="A231" s="2989" t="s">
        <v>304</v>
      </c>
      <c r="B231" s="2978" t="s">
        <v>3216</v>
      </c>
      <c r="C231" s="2990"/>
      <c r="D231" s="2990"/>
      <c r="E231" s="2990"/>
      <c r="F231" s="2979">
        <v>0.05</v>
      </c>
      <c r="G231" s="2996"/>
    </row>
    <row r="232" spans="1:7">
      <c r="A232" s="2989" t="s">
        <v>304</v>
      </c>
      <c r="B232" s="2978" t="s">
        <v>3217</v>
      </c>
      <c r="C232" s="2990"/>
      <c r="D232" s="2990"/>
      <c r="E232" s="2990"/>
      <c r="F232" s="2979">
        <v>0.05</v>
      </c>
      <c r="G232" s="2996"/>
    </row>
    <row r="233" spans="1:7" ht="14.25" thickBot="1">
      <c r="A233" s="2992" t="s">
        <v>304</v>
      </c>
      <c r="B233" s="2982" t="s">
        <v>3218</v>
      </c>
      <c r="C233" s="2984"/>
      <c r="D233" s="2984"/>
      <c r="E233" s="2984"/>
      <c r="F233" s="2983">
        <v>0.05</v>
      </c>
      <c r="G233" s="2997"/>
    </row>
    <row r="234" spans="1:7">
      <c r="A234" s="2988" t="s">
        <v>305</v>
      </c>
      <c r="B234" s="2974" t="s">
        <v>2867</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2887</v>
      </c>
      <c r="C238" s="2979">
        <v>0.14899999999999999</v>
      </c>
      <c r="D238" s="2979">
        <v>0.14899999999999999</v>
      </c>
      <c r="E238" s="2979">
        <v>0.15</v>
      </c>
      <c r="F238" s="2979">
        <v>0.15</v>
      </c>
      <c r="G238" s="2980">
        <v>0.15</v>
      </c>
    </row>
    <row r="239" spans="1:7">
      <c r="A239" s="2989" t="s">
        <v>305</v>
      </c>
      <c r="B239" s="2978" t="s">
        <v>2891</v>
      </c>
      <c r="C239" s="2979">
        <v>0.15</v>
      </c>
      <c r="D239" s="2979">
        <v>0.15</v>
      </c>
      <c r="E239" s="2979">
        <v>0.15</v>
      </c>
      <c r="F239" s="2979">
        <v>0.15</v>
      </c>
      <c r="G239" s="2980">
        <v>0.15</v>
      </c>
    </row>
    <row r="240" spans="1:7">
      <c r="A240" s="2989" t="s">
        <v>305</v>
      </c>
      <c r="B240" s="2978" t="s">
        <v>2896</v>
      </c>
      <c r="C240" s="2979">
        <v>0.15</v>
      </c>
      <c r="D240" s="2979">
        <v>0.15</v>
      </c>
      <c r="E240" s="2979">
        <v>0.15</v>
      </c>
      <c r="F240" s="2979">
        <v>0.15</v>
      </c>
      <c r="G240" s="2980">
        <v>0.15</v>
      </c>
    </row>
    <row r="241" spans="1:7">
      <c r="A241" s="2989" t="s">
        <v>305</v>
      </c>
      <c r="B241" s="2978" t="s">
        <v>2900</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2906</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2914</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2919</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2927</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2940</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2949</v>
      </c>
      <c r="C258" s="2979">
        <v>0.14299999999999999</v>
      </c>
      <c r="D258" s="2979">
        <v>0.14299999999999999</v>
      </c>
      <c r="E258" s="2979">
        <v>0.15</v>
      </c>
      <c r="F258" s="2979">
        <v>0.14799999999999999</v>
      </c>
      <c r="G258" s="2980">
        <v>0.14599999999999999</v>
      </c>
    </row>
    <row r="259" spans="1:7">
      <c r="A259" s="2989" t="s">
        <v>305</v>
      </c>
      <c r="B259" s="2978" t="s">
        <v>2953</v>
      </c>
      <c r="C259" s="2979">
        <v>0.14399999999999999</v>
      </c>
      <c r="D259" s="2979">
        <v>0.14399999999999999</v>
      </c>
      <c r="E259" s="2979">
        <v>0.14899999999999999</v>
      </c>
      <c r="F259" s="2979">
        <v>0.14699999999999999</v>
      </c>
      <c r="G259" s="2980">
        <v>0.14599999999999999</v>
      </c>
    </row>
    <row r="260" spans="1:7">
      <c r="A260" s="2989" t="s">
        <v>305</v>
      </c>
      <c r="B260" s="2978" t="s">
        <v>2960</v>
      </c>
      <c r="C260" s="2979">
        <v>0.109</v>
      </c>
      <c r="D260" s="2979">
        <v>0.111</v>
      </c>
      <c r="E260" s="2979">
        <v>0.13100000000000001</v>
      </c>
      <c r="F260" s="2979">
        <v>0.126</v>
      </c>
      <c r="G260" s="2980">
        <v>0.11899999999999999</v>
      </c>
    </row>
    <row r="261" spans="1:7">
      <c r="A261" s="2989" t="s">
        <v>305</v>
      </c>
      <c r="B261" s="2978" t="s">
        <v>2967</v>
      </c>
      <c r="C261" s="2979">
        <v>0.1</v>
      </c>
      <c r="D261" s="2979">
        <v>0.1</v>
      </c>
      <c r="E261" s="2979">
        <v>0.11799999999999999</v>
      </c>
      <c r="F261" s="2979">
        <v>0.108</v>
      </c>
      <c r="G261" s="2980">
        <v>0.107</v>
      </c>
    </row>
    <row r="262" spans="1:7">
      <c r="A262" s="2989" t="s">
        <v>305</v>
      </c>
      <c r="B262" s="2978" t="s">
        <v>2973</v>
      </c>
      <c r="C262" s="2979">
        <v>0.1</v>
      </c>
      <c r="D262" s="2979">
        <v>0.1</v>
      </c>
      <c r="E262" s="2979">
        <v>0.1</v>
      </c>
      <c r="F262" s="2979">
        <v>0.14099999999999999</v>
      </c>
      <c r="G262" s="2980">
        <v>0.1</v>
      </c>
    </row>
    <row r="263" spans="1:7">
      <c r="A263" s="2989" t="s">
        <v>305</v>
      </c>
      <c r="B263" s="2978" t="s">
        <v>2980</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2991</v>
      </c>
      <c r="C265" s="2990"/>
      <c r="D265" s="2990"/>
      <c r="E265" s="2990"/>
      <c r="F265" s="2979">
        <v>0.05</v>
      </c>
      <c r="G265" s="2996"/>
    </row>
    <row r="266" spans="1:7">
      <c r="A266" s="2989" t="s">
        <v>305</v>
      </c>
      <c r="B266" s="2978" t="s">
        <v>2995</v>
      </c>
      <c r="C266" s="2990"/>
      <c r="D266" s="2990"/>
      <c r="E266" s="2990"/>
      <c r="F266" s="2979">
        <v>0.05</v>
      </c>
      <c r="G266" s="2996"/>
    </row>
    <row r="267" spans="1:7">
      <c r="A267" s="2989" t="s">
        <v>305</v>
      </c>
      <c r="B267" s="2978" t="s">
        <v>3000</v>
      </c>
      <c r="C267" s="2990"/>
      <c r="D267" s="2990"/>
      <c r="E267" s="2990"/>
      <c r="F267" s="2979">
        <v>0.05</v>
      </c>
      <c r="G267" s="2996"/>
    </row>
    <row r="268" spans="1:7">
      <c r="A268" s="2989" t="s">
        <v>305</v>
      </c>
      <c r="B268" s="2978" t="s">
        <v>3005</v>
      </c>
      <c r="C268" s="2990"/>
      <c r="D268" s="2990"/>
      <c r="E268" s="2990"/>
      <c r="F268" s="2979">
        <v>0.05</v>
      </c>
      <c r="G268" s="2996"/>
    </row>
    <row r="269" spans="1:7">
      <c r="A269" s="2989" t="s">
        <v>305</v>
      </c>
      <c r="B269" s="2978" t="s">
        <v>3010</v>
      </c>
      <c r="C269" s="2990"/>
      <c r="D269" s="2990"/>
      <c r="E269" s="2990"/>
      <c r="F269" s="2979">
        <v>0.05</v>
      </c>
      <c r="G269" s="2996"/>
    </row>
    <row r="270" spans="1:7">
      <c r="A270" s="2989" t="s">
        <v>305</v>
      </c>
      <c r="B270" s="2978" t="s">
        <v>3015</v>
      </c>
      <c r="C270" s="2990"/>
      <c r="D270" s="2990"/>
      <c r="E270" s="2990"/>
      <c r="F270" s="2979">
        <v>0.05</v>
      </c>
      <c r="G270" s="2996"/>
    </row>
    <row r="271" spans="1:7">
      <c r="A271" s="2989" t="s">
        <v>305</v>
      </c>
      <c r="B271" s="2978" t="s">
        <v>3219</v>
      </c>
      <c r="C271" s="2990"/>
      <c r="D271" s="2990"/>
      <c r="E271" s="2990"/>
      <c r="F271" s="2979">
        <v>0.05</v>
      </c>
      <c r="G271" s="2996"/>
    </row>
    <row r="272" spans="1:7">
      <c r="A272" s="2989" t="s">
        <v>305</v>
      </c>
      <c r="B272" s="2978" t="s">
        <v>3220</v>
      </c>
      <c r="C272" s="2990"/>
      <c r="D272" s="2990"/>
      <c r="E272" s="2990"/>
      <c r="F272" s="2979">
        <v>0.05</v>
      </c>
      <c r="G272" s="2996"/>
    </row>
    <row r="273" spans="1:7">
      <c r="A273" s="2989" t="s">
        <v>305</v>
      </c>
      <c r="B273" s="2978" t="s">
        <v>3221</v>
      </c>
      <c r="C273" s="2990"/>
      <c r="D273" s="2990"/>
      <c r="E273" s="2990"/>
      <c r="F273" s="2979">
        <v>0.05</v>
      </c>
      <c r="G273" s="2996"/>
    </row>
    <row r="274" spans="1:7">
      <c r="A274" s="2989" t="s">
        <v>305</v>
      </c>
      <c r="B274" s="2978" t="s">
        <v>3222</v>
      </c>
      <c r="C274" s="2990"/>
      <c r="D274" s="2990"/>
      <c r="E274" s="2990"/>
      <c r="F274" s="2979">
        <v>0.05</v>
      </c>
      <c r="G274" s="2996"/>
    </row>
    <row r="275" spans="1:7">
      <c r="A275" s="2989" t="s">
        <v>305</v>
      </c>
      <c r="B275" s="2978" t="s">
        <v>3223</v>
      </c>
      <c r="C275" s="2990"/>
      <c r="D275" s="2990"/>
      <c r="E275" s="2990"/>
      <c r="F275" s="2979">
        <v>0.05</v>
      </c>
      <c r="G275" s="2996"/>
    </row>
    <row r="276" spans="1:7" ht="14.25" thickBot="1">
      <c r="A276" s="2992" t="s">
        <v>305</v>
      </c>
      <c r="B276" s="2982" t="s">
        <v>3224</v>
      </c>
      <c r="C276" s="2984"/>
      <c r="D276" s="2984"/>
      <c r="E276" s="2984"/>
      <c r="F276" s="2983">
        <v>0.05</v>
      </c>
      <c r="G276" s="2997"/>
    </row>
    <row r="277" spans="1:7">
      <c r="A277" s="2988" t="s">
        <v>306</v>
      </c>
      <c r="B277" s="2974" t="s">
        <v>2868</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2880</v>
      </c>
      <c r="C279" s="2979">
        <v>0.15</v>
      </c>
      <c r="D279" s="2979">
        <v>0.15</v>
      </c>
      <c r="E279" s="2979">
        <v>0.15</v>
      </c>
      <c r="F279" s="2979">
        <v>0.15</v>
      </c>
      <c r="G279" s="2980">
        <v>0.15</v>
      </c>
    </row>
    <row r="280" spans="1:7">
      <c r="A280" s="2989" t="s">
        <v>306</v>
      </c>
      <c r="B280" s="2978" t="s">
        <v>2884</v>
      </c>
      <c r="C280" s="2979">
        <v>0.15</v>
      </c>
      <c r="D280" s="2979">
        <v>0.15</v>
      </c>
      <c r="E280" s="2979">
        <v>0.15</v>
      </c>
      <c r="F280" s="2979">
        <v>0.15</v>
      </c>
      <c r="G280" s="2980">
        <v>0.15</v>
      </c>
    </row>
    <row r="281" spans="1:7">
      <c r="A281" s="2989" t="s">
        <v>306</v>
      </c>
      <c r="B281" s="2978" t="s">
        <v>2888</v>
      </c>
      <c r="C281" s="2979">
        <v>0.15</v>
      </c>
      <c r="D281" s="2979">
        <v>0.15</v>
      </c>
      <c r="E281" s="2979">
        <v>0.15</v>
      </c>
      <c r="F281" s="2979">
        <v>0.15</v>
      </c>
      <c r="G281" s="2980">
        <v>0.15</v>
      </c>
    </row>
    <row r="282" spans="1:7">
      <c r="A282" s="2989" t="s">
        <v>306</v>
      </c>
      <c r="B282" s="2978" t="s">
        <v>2892</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2907</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2912</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2922</v>
      </c>
      <c r="C293" s="2979">
        <v>0.15</v>
      </c>
      <c r="D293" s="2979">
        <v>0.15</v>
      </c>
      <c r="E293" s="2979">
        <v>0.15</v>
      </c>
      <c r="F293" s="2979">
        <v>0.14499999999999999</v>
      </c>
      <c r="G293" s="2980">
        <v>0.15</v>
      </c>
    </row>
    <row r="294" spans="1:7">
      <c r="A294" s="2989" t="s">
        <v>306</v>
      </c>
      <c r="B294" s="2978" t="s">
        <v>2924</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2941</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2954</v>
      </c>
      <c r="C302" s="2979">
        <v>0.15</v>
      </c>
      <c r="D302" s="2979">
        <v>0.15</v>
      </c>
      <c r="E302" s="2979">
        <v>0.15</v>
      </c>
      <c r="F302" s="2979">
        <v>0.14699999999999999</v>
      </c>
      <c r="G302" s="2980">
        <v>0.15</v>
      </c>
    </row>
    <row r="303" spans="1:7">
      <c r="A303" s="2989" t="s">
        <v>306</v>
      </c>
      <c r="B303" s="2978" t="s">
        <v>2961</v>
      </c>
      <c r="C303" s="2979">
        <v>0.15</v>
      </c>
      <c r="D303" s="2979">
        <v>0.15</v>
      </c>
      <c r="E303" s="2979">
        <v>0.15</v>
      </c>
      <c r="F303" s="2979">
        <v>0.14199999999999999</v>
      </c>
      <c r="G303" s="2980">
        <v>0.15</v>
      </c>
    </row>
    <row r="304" spans="1:7">
      <c r="A304" s="2989" t="s">
        <v>306</v>
      </c>
      <c r="B304" s="2978" t="s">
        <v>2968</v>
      </c>
      <c r="C304" s="2979">
        <v>0.15</v>
      </c>
      <c r="D304" s="2979">
        <v>0.15</v>
      </c>
      <c r="E304" s="2979">
        <v>0.15</v>
      </c>
      <c r="F304" s="2979">
        <v>0.14499999999999999</v>
      </c>
      <c r="G304" s="2980">
        <v>0.15</v>
      </c>
    </row>
    <row r="305" spans="1:7">
      <c r="A305" s="2989" t="s">
        <v>306</v>
      </c>
      <c r="B305" s="2978" t="s">
        <v>2974</v>
      </c>
      <c r="C305" s="2979">
        <v>0.15</v>
      </c>
      <c r="D305" s="2979">
        <v>0.15</v>
      </c>
      <c r="E305" s="2979">
        <v>0.15</v>
      </c>
      <c r="F305" s="2979">
        <v>0.111</v>
      </c>
      <c r="G305" s="2980">
        <v>0.15</v>
      </c>
    </row>
    <row r="306" spans="1:7">
      <c r="A306" s="2989" t="s">
        <v>306</v>
      </c>
      <c r="B306" s="2978" t="s">
        <v>2981</v>
      </c>
      <c r="C306" s="2979">
        <v>0.15</v>
      </c>
      <c r="D306" s="2979">
        <v>0.15</v>
      </c>
      <c r="E306" s="2979">
        <v>0.15</v>
      </c>
      <c r="F306" s="2979">
        <v>0.126</v>
      </c>
      <c r="G306" s="2980">
        <v>0.15</v>
      </c>
    </row>
    <row r="307" spans="1:7">
      <c r="A307" s="2989" t="s">
        <v>306</v>
      </c>
      <c r="B307" s="2978" t="s">
        <v>2986</v>
      </c>
      <c r="C307" s="2979">
        <v>0.15</v>
      </c>
      <c r="D307" s="2979">
        <v>0.15</v>
      </c>
      <c r="E307" s="2979">
        <v>0.15</v>
      </c>
      <c r="F307" s="2979">
        <v>0.12</v>
      </c>
      <c r="G307" s="2980">
        <v>0.15</v>
      </c>
    </row>
    <row r="308" spans="1:7">
      <c r="A308" s="2989" t="s">
        <v>306</v>
      </c>
      <c r="B308" s="2978" t="s">
        <v>2992</v>
      </c>
      <c r="C308" s="2979">
        <v>0.15</v>
      </c>
      <c r="D308" s="2979">
        <v>0.15</v>
      </c>
      <c r="E308" s="2979">
        <v>0.15</v>
      </c>
      <c r="F308" s="2979">
        <v>0.13</v>
      </c>
      <c r="G308" s="2980">
        <v>0.15</v>
      </c>
    </row>
    <row r="309" spans="1:7">
      <c r="A309" s="2989" t="s">
        <v>306</v>
      </c>
      <c r="B309" s="2978" t="s">
        <v>2996</v>
      </c>
      <c r="C309" s="2979">
        <v>0.15</v>
      </c>
      <c r="D309" s="2979">
        <v>0.15</v>
      </c>
      <c r="E309" s="2979">
        <v>0.15</v>
      </c>
      <c r="F309" s="2979">
        <v>0.14099999999999999</v>
      </c>
      <c r="G309" s="2980">
        <v>0.15</v>
      </c>
    </row>
    <row r="310" spans="1:7">
      <c r="A310" s="2989" t="s">
        <v>306</v>
      </c>
      <c r="B310" s="2978" t="s">
        <v>3001</v>
      </c>
      <c r="C310" s="2979">
        <v>0.15</v>
      </c>
      <c r="D310" s="2979">
        <v>0.15</v>
      </c>
      <c r="E310" s="2979">
        <v>0.15</v>
      </c>
      <c r="F310" s="2979">
        <v>0.15</v>
      </c>
      <c r="G310" s="2980">
        <v>0.15</v>
      </c>
    </row>
    <row r="311" spans="1:7">
      <c r="A311" s="2989" t="s">
        <v>306</v>
      </c>
      <c r="B311" s="2978" t="s">
        <v>3006</v>
      </c>
      <c r="C311" s="2979">
        <v>0.13200000000000001</v>
      </c>
      <c r="D311" s="2979">
        <v>0.13300000000000001</v>
      </c>
      <c r="E311" s="2979">
        <v>0.14499999999999999</v>
      </c>
      <c r="F311" s="2979">
        <v>0.14199999999999999</v>
      </c>
      <c r="G311" s="2980">
        <v>0.14000000000000001</v>
      </c>
    </row>
    <row r="312" spans="1:7">
      <c r="A312" s="2989" t="s">
        <v>306</v>
      </c>
      <c r="B312" s="2978" t="s">
        <v>3011</v>
      </c>
      <c r="C312" s="2979">
        <v>0.13800000000000001</v>
      </c>
      <c r="D312" s="2979">
        <v>0.14000000000000001</v>
      </c>
      <c r="E312" s="2979">
        <v>0.14599999999999999</v>
      </c>
      <c r="F312" s="2979">
        <v>0.14899999999999999</v>
      </c>
      <c r="G312" s="2980">
        <v>0.14199999999999999</v>
      </c>
    </row>
    <row r="313" spans="1:7">
      <c r="A313" s="2989" t="s">
        <v>306</v>
      </c>
      <c r="B313" s="2978" t="s">
        <v>3016</v>
      </c>
      <c r="C313" s="2979">
        <v>0.125</v>
      </c>
      <c r="D313" s="2979">
        <v>0.127</v>
      </c>
      <c r="E313" s="2979">
        <v>0.14399999999999999</v>
      </c>
      <c r="F313" s="2979">
        <v>0.115</v>
      </c>
      <c r="G313" s="2980">
        <v>0.13600000000000001</v>
      </c>
    </row>
    <row r="314" spans="1:7">
      <c r="A314" s="2989" t="s">
        <v>306</v>
      </c>
      <c r="B314" s="2978" t="s">
        <v>3225</v>
      </c>
      <c r="C314" s="2995"/>
      <c r="D314" s="2995"/>
      <c r="E314" s="2995"/>
      <c r="F314" s="2979">
        <v>0.05</v>
      </c>
      <c r="G314" s="2996"/>
    </row>
    <row r="315" spans="1:7">
      <c r="A315" s="2989" t="s">
        <v>306</v>
      </c>
      <c r="B315" s="2978" t="s">
        <v>3226</v>
      </c>
      <c r="C315" s="2995"/>
      <c r="D315" s="2995"/>
      <c r="E315" s="2995"/>
      <c r="F315" s="2979">
        <v>0.05</v>
      </c>
      <c r="G315" s="2996"/>
    </row>
    <row r="316" spans="1:7">
      <c r="A316" s="2989" t="s">
        <v>306</v>
      </c>
      <c r="B316" s="2978" t="s">
        <v>3227</v>
      </c>
      <c r="C316" s="2990"/>
      <c r="D316" s="2990"/>
      <c r="E316" s="2990"/>
      <c r="F316" s="2979">
        <v>0.05</v>
      </c>
      <c r="G316" s="2996"/>
    </row>
    <row r="317" spans="1:7">
      <c r="A317" s="2989" t="s">
        <v>306</v>
      </c>
      <c r="B317" s="2978" t="s">
        <v>3228</v>
      </c>
      <c r="C317" s="2990"/>
      <c r="D317" s="2990"/>
      <c r="E317" s="2990"/>
      <c r="F317" s="2979">
        <v>0.05</v>
      </c>
      <c r="G317" s="2996"/>
    </row>
    <row r="318" spans="1:7">
      <c r="A318" s="2989" t="s">
        <v>306</v>
      </c>
      <c r="B318" s="2978" t="s">
        <v>3229</v>
      </c>
      <c r="C318" s="2990"/>
      <c r="D318" s="2990"/>
      <c r="E318" s="2990"/>
      <c r="F318" s="2979">
        <v>0.05</v>
      </c>
      <c r="G318" s="2996"/>
    </row>
    <row r="319" spans="1:7">
      <c r="A319" s="2989" t="s">
        <v>306</v>
      </c>
      <c r="B319" s="2978" t="s">
        <v>3230</v>
      </c>
      <c r="C319" s="2990"/>
      <c r="D319" s="2990"/>
      <c r="E319" s="2990"/>
      <c r="F319" s="2979">
        <v>0.05</v>
      </c>
      <c r="G319" s="2996"/>
    </row>
    <row r="320" spans="1:7">
      <c r="A320" s="2989" t="s">
        <v>306</v>
      </c>
      <c r="B320" s="2978" t="s">
        <v>3231</v>
      </c>
      <c r="C320" s="2990"/>
      <c r="D320" s="2990"/>
      <c r="E320" s="2990"/>
      <c r="F320" s="2979">
        <v>0.05</v>
      </c>
      <c r="G320" s="2996"/>
    </row>
    <row r="321" spans="1:7">
      <c r="A321" s="2989" t="s">
        <v>306</v>
      </c>
      <c r="B321" s="2978" t="s">
        <v>3232</v>
      </c>
      <c r="C321" s="2990"/>
      <c r="D321" s="2990"/>
      <c r="E321" s="2990"/>
      <c r="F321" s="2979">
        <v>0.05</v>
      </c>
      <c r="G321" s="2996"/>
    </row>
    <row r="322" spans="1:7">
      <c r="A322" s="2989" t="s">
        <v>306</v>
      </c>
      <c r="B322" s="2978" t="s">
        <v>3233</v>
      </c>
      <c r="C322" s="2990"/>
      <c r="D322" s="2990"/>
      <c r="E322" s="2990"/>
      <c r="F322" s="2979">
        <v>0.05</v>
      </c>
      <c r="G322" s="2996"/>
    </row>
    <row r="323" spans="1:7">
      <c r="A323" s="2989" t="s">
        <v>306</v>
      </c>
      <c r="B323" s="2978" t="s">
        <v>3234</v>
      </c>
      <c r="C323" s="2990"/>
      <c r="D323" s="2990"/>
      <c r="E323" s="2990"/>
      <c r="F323" s="2979">
        <v>0.05</v>
      </c>
      <c r="G323" s="2996"/>
    </row>
    <row r="324" spans="1:7">
      <c r="A324" s="2989" t="s">
        <v>306</v>
      </c>
      <c r="B324" s="2978" t="s">
        <v>3235</v>
      </c>
      <c r="C324" s="2990"/>
      <c r="D324" s="2990"/>
      <c r="E324" s="2990"/>
      <c r="F324" s="2979">
        <v>0.05</v>
      </c>
      <c r="G324" s="2996"/>
    </row>
    <row r="325" spans="1:7">
      <c r="A325" s="2989" t="s">
        <v>306</v>
      </c>
      <c r="B325" s="2978" t="s">
        <v>3236</v>
      </c>
      <c r="C325" s="2990"/>
      <c r="D325" s="2990"/>
      <c r="E325" s="2990"/>
      <c r="F325" s="2979">
        <v>0.05</v>
      </c>
      <c r="G325" s="2996"/>
    </row>
    <row r="326" spans="1:7" ht="14.25" thickBot="1">
      <c r="A326" s="2992" t="s">
        <v>306</v>
      </c>
      <c r="B326" s="2982" t="s">
        <v>3237</v>
      </c>
      <c r="C326" s="2984"/>
      <c r="D326" s="2984"/>
      <c r="E326" s="2984"/>
      <c r="F326" s="2983">
        <v>0.05</v>
      </c>
      <c r="G326" s="2997"/>
    </row>
    <row r="327" spans="1:7">
      <c r="A327" s="2988" t="s">
        <v>307</v>
      </c>
      <c r="B327" s="2974" t="s">
        <v>2869</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2881</v>
      </c>
      <c r="C329" s="2979">
        <v>0.15</v>
      </c>
      <c r="D329" s="2979">
        <v>0.15</v>
      </c>
      <c r="E329" s="2979">
        <v>0.15</v>
      </c>
      <c r="F329" s="2979">
        <v>0.15</v>
      </c>
      <c r="G329" s="2980">
        <v>0.15</v>
      </c>
    </row>
    <row r="330" spans="1:7">
      <c r="A330" s="2989" t="s">
        <v>307</v>
      </c>
      <c r="B330" s="2978" t="s">
        <v>2885</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2893</v>
      </c>
      <c r="C332" s="2979">
        <v>0.15</v>
      </c>
      <c r="D332" s="2979">
        <v>0.15</v>
      </c>
      <c r="E332" s="2979">
        <v>0.15</v>
      </c>
      <c r="F332" s="2979">
        <v>0.15</v>
      </c>
      <c r="G332" s="2980">
        <v>0.15</v>
      </c>
    </row>
    <row r="333" spans="1:7">
      <c r="A333" s="2989" t="s">
        <v>307</v>
      </c>
      <c r="B333" s="2978" t="s">
        <v>2897</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2903</v>
      </c>
      <c r="C336" s="2979">
        <v>0.15</v>
      </c>
      <c r="D336" s="2979">
        <v>0.15</v>
      </c>
      <c r="E336" s="2979">
        <v>0.15</v>
      </c>
      <c r="F336" s="2979">
        <v>0.14199999999999999</v>
      </c>
      <c r="G336" s="2980">
        <v>0.15</v>
      </c>
    </row>
    <row r="337" spans="1:7">
      <c r="A337" s="2989" t="s">
        <v>307</v>
      </c>
      <c r="B337" s="2978" t="s">
        <v>2908</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2915</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2920</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2928</v>
      </c>
      <c r="C345" s="2979">
        <v>0.15</v>
      </c>
      <c r="D345" s="2979">
        <v>0.15</v>
      </c>
      <c r="E345" s="2979">
        <v>0.15</v>
      </c>
      <c r="F345" s="2979">
        <v>0.13800000000000001</v>
      </c>
      <c r="G345" s="2980">
        <v>0.15</v>
      </c>
    </row>
    <row r="346" spans="1:7">
      <c r="A346" s="2989" t="s">
        <v>307</v>
      </c>
      <c r="B346" s="2978" t="s">
        <v>2930</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2937</v>
      </c>
      <c r="C348" s="2979">
        <v>0.15</v>
      </c>
      <c r="D348" s="2979">
        <v>0.15</v>
      </c>
      <c r="E348" s="2979">
        <v>0.15</v>
      </c>
      <c r="F348" s="2979">
        <v>0.14399999999999999</v>
      </c>
      <c r="G348" s="2980">
        <v>0.15</v>
      </c>
    </row>
    <row r="349" spans="1:7">
      <c r="A349" s="2989" t="s">
        <v>307</v>
      </c>
      <c r="B349" s="2978" t="s">
        <v>2942</v>
      </c>
      <c r="C349" s="2979">
        <v>0.15</v>
      </c>
      <c r="D349" s="2979">
        <v>0.15</v>
      </c>
      <c r="E349" s="2979">
        <v>0.15</v>
      </c>
      <c r="F349" s="2979">
        <v>0.15</v>
      </c>
      <c r="G349" s="2980">
        <v>0.15</v>
      </c>
    </row>
    <row r="350" spans="1:7">
      <c r="A350" s="2989" t="s">
        <v>307</v>
      </c>
      <c r="B350" s="2978" t="s">
        <v>2945</v>
      </c>
      <c r="C350" s="2979">
        <v>0.15</v>
      </c>
      <c r="D350" s="2979">
        <v>0.15</v>
      </c>
      <c r="E350" s="2979">
        <v>0.15</v>
      </c>
      <c r="F350" s="2979">
        <v>0.14699999999999999</v>
      </c>
      <c r="G350" s="2980">
        <v>0.15</v>
      </c>
    </row>
    <row r="351" spans="1:7">
      <c r="A351" s="2989" t="s">
        <v>307</v>
      </c>
      <c r="B351" s="2978" t="s">
        <v>2950</v>
      </c>
      <c r="C351" s="2979">
        <v>0.15</v>
      </c>
      <c r="D351" s="2979">
        <v>0.15</v>
      </c>
      <c r="E351" s="2979">
        <v>0.15</v>
      </c>
      <c r="F351" s="2979">
        <v>0.13</v>
      </c>
      <c r="G351" s="2980">
        <v>0.15</v>
      </c>
    </row>
    <row r="352" spans="1:7">
      <c r="A352" s="2989" t="s">
        <v>307</v>
      </c>
      <c r="B352" s="2978" t="s">
        <v>2955</v>
      </c>
      <c r="C352" s="2979">
        <v>0.15</v>
      </c>
      <c r="D352" s="2979">
        <v>0.15</v>
      </c>
      <c r="E352" s="2979">
        <v>0.15</v>
      </c>
      <c r="F352" s="2979">
        <v>0.14599999999999999</v>
      </c>
      <c r="G352" s="2980">
        <v>0.15</v>
      </c>
    </row>
    <row r="353" spans="1:7">
      <c r="A353" s="2989" t="s">
        <v>307</v>
      </c>
      <c r="B353" s="2978" t="s">
        <v>2962</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2975</v>
      </c>
      <c r="C355" s="2979">
        <v>0.15</v>
      </c>
      <c r="D355" s="2979">
        <v>0.15</v>
      </c>
      <c r="E355" s="2979">
        <v>0.15</v>
      </c>
      <c r="F355" s="2979">
        <v>0.15</v>
      </c>
      <c r="G355" s="2980">
        <v>0.15</v>
      </c>
    </row>
    <row r="356" spans="1:7">
      <c r="A356" s="2989" t="s">
        <v>307</v>
      </c>
      <c r="B356" s="2978" t="s">
        <v>2982</v>
      </c>
      <c r="C356" s="2979">
        <v>0.15</v>
      </c>
      <c r="D356" s="2979">
        <v>0.15</v>
      </c>
      <c r="E356" s="2979">
        <v>0.15</v>
      </c>
      <c r="F356" s="2979">
        <v>0.15</v>
      </c>
      <c r="G356" s="2980">
        <v>0.15</v>
      </c>
    </row>
    <row r="357" spans="1:7" ht="14.25" thickBot="1">
      <c r="A357" s="2992" t="s">
        <v>307</v>
      </c>
      <c r="B357" s="2982" t="s">
        <v>2987</v>
      </c>
      <c r="C357" s="2983">
        <v>0.126</v>
      </c>
      <c r="D357" s="2983">
        <v>0.127</v>
      </c>
      <c r="E357" s="2983">
        <v>0.14299999999999999</v>
      </c>
      <c r="F357" s="2983">
        <v>0.125</v>
      </c>
      <c r="G357" s="2985">
        <v>0.129</v>
      </c>
    </row>
    <row r="358" spans="1:7">
      <c r="A358" s="2988" t="s">
        <v>2856</v>
      </c>
      <c r="B358" s="2974" t="s">
        <v>2870</v>
      </c>
      <c r="C358" s="2975">
        <v>0.15</v>
      </c>
      <c r="D358" s="2975">
        <v>0.15</v>
      </c>
      <c r="E358" s="2975">
        <v>0.15</v>
      </c>
      <c r="F358" s="2975">
        <v>0.15</v>
      </c>
      <c r="G358" s="2976">
        <v>0.15</v>
      </c>
    </row>
    <row r="359" spans="1:7">
      <c r="A359" s="2989" t="s">
        <v>2856</v>
      </c>
      <c r="B359" s="2978" t="s">
        <v>2876</v>
      </c>
      <c r="C359" s="2979">
        <v>0.1</v>
      </c>
      <c r="D359" s="2979">
        <v>0.1</v>
      </c>
      <c r="E359" s="2979">
        <v>0.1</v>
      </c>
      <c r="F359" s="2979">
        <v>0.1</v>
      </c>
      <c r="G359" s="2980">
        <v>0.1</v>
      </c>
    </row>
    <row r="360" spans="1:7">
      <c r="A360" s="2989" t="s">
        <v>2856</v>
      </c>
      <c r="B360" s="2978" t="s">
        <v>2882</v>
      </c>
      <c r="C360" s="2979">
        <v>0.15</v>
      </c>
      <c r="D360" s="2979">
        <v>0.15</v>
      </c>
      <c r="E360" s="2979">
        <v>0.15</v>
      </c>
      <c r="F360" s="2979">
        <v>0.14899999999999999</v>
      </c>
      <c r="G360" s="2980">
        <v>0.15</v>
      </c>
    </row>
    <row r="361" spans="1:7">
      <c r="A361" s="2989" t="s">
        <v>2856</v>
      </c>
      <c r="B361" s="2978" t="s">
        <v>153</v>
      </c>
      <c r="C361" s="2979">
        <v>0.15</v>
      </c>
      <c r="D361" s="2979">
        <v>0.15</v>
      </c>
      <c r="E361" s="2979">
        <v>0.15</v>
      </c>
      <c r="F361" s="2979">
        <v>0.115</v>
      </c>
      <c r="G361" s="2980">
        <v>0.15</v>
      </c>
    </row>
    <row r="362" spans="1:7">
      <c r="A362" s="2989" t="s">
        <v>2856</v>
      </c>
      <c r="B362" s="2978" t="s">
        <v>2889</v>
      </c>
      <c r="C362" s="2979">
        <v>0.15</v>
      </c>
      <c r="D362" s="2979">
        <v>0.15</v>
      </c>
      <c r="E362" s="2979">
        <v>0.15</v>
      </c>
      <c r="F362" s="2979">
        <v>0.106</v>
      </c>
      <c r="G362" s="2980">
        <v>0.15</v>
      </c>
    </row>
    <row r="363" spans="1:7">
      <c r="A363" s="2989" t="s">
        <v>2856</v>
      </c>
      <c r="B363" s="2978" t="s">
        <v>2894</v>
      </c>
      <c r="C363" s="2979">
        <v>0.15</v>
      </c>
      <c r="D363" s="2979">
        <v>0.15</v>
      </c>
      <c r="E363" s="2979">
        <v>0.15</v>
      </c>
      <c r="F363" s="2979">
        <v>0.14699999999999999</v>
      </c>
      <c r="G363" s="2980">
        <v>0.15</v>
      </c>
    </row>
    <row r="364" spans="1:7">
      <c r="A364" s="2989" t="s">
        <v>2856</v>
      </c>
      <c r="B364" s="2978" t="s">
        <v>2898</v>
      </c>
      <c r="C364" s="2979">
        <v>0.15</v>
      </c>
      <c r="D364" s="2979">
        <v>0.15</v>
      </c>
      <c r="E364" s="2979">
        <v>0.15</v>
      </c>
      <c r="F364" s="2979">
        <v>0.14799999999999999</v>
      </c>
      <c r="G364" s="2980">
        <v>0.15</v>
      </c>
    </row>
    <row r="365" spans="1:7">
      <c r="A365" s="2989" t="s">
        <v>2856</v>
      </c>
      <c r="B365" s="2978" t="s">
        <v>200</v>
      </c>
      <c r="C365" s="2979">
        <v>0.15</v>
      </c>
      <c r="D365" s="2979">
        <v>0.15</v>
      </c>
      <c r="E365" s="2979">
        <v>0.15</v>
      </c>
      <c r="F365" s="2979">
        <v>0.15</v>
      </c>
      <c r="G365" s="2980">
        <v>0.15</v>
      </c>
    </row>
    <row r="366" spans="1:7">
      <c r="A366" s="2989" t="s">
        <v>2856</v>
      </c>
      <c r="B366" s="2978" t="s">
        <v>2901</v>
      </c>
      <c r="C366" s="2979">
        <v>0.15</v>
      </c>
      <c r="D366" s="2979">
        <v>0.15</v>
      </c>
      <c r="E366" s="2979">
        <v>0.15</v>
      </c>
      <c r="F366" s="2979">
        <v>0.15</v>
      </c>
      <c r="G366" s="2980">
        <v>0.15</v>
      </c>
    </row>
    <row r="367" spans="1:7">
      <c r="A367" s="2989" t="s">
        <v>2856</v>
      </c>
      <c r="B367" s="2978" t="s">
        <v>2904</v>
      </c>
      <c r="C367" s="2979">
        <v>0.15</v>
      </c>
      <c r="D367" s="2979">
        <v>0.15</v>
      </c>
      <c r="E367" s="2979">
        <v>0.15</v>
      </c>
      <c r="F367" s="2979">
        <v>0.14699999999999999</v>
      </c>
      <c r="G367" s="2980">
        <v>0.15</v>
      </c>
    </row>
    <row r="368" spans="1:7">
      <c r="A368" s="2989" t="s">
        <v>2856</v>
      </c>
      <c r="B368" s="2978" t="s">
        <v>2909</v>
      </c>
      <c r="C368" s="2979">
        <v>0.15</v>
      </c>
      <c r="D368" s="2979">
        <v>0.15</v>
      </c>
      <c r="E368" s="2979">
        <v>0.15</v>
      </c>
      <c r="F368" s="2979">
        <v>0.13600000000000001</v>
      </c>
      <c r="G368" s="2980">
        <v>0.15</v>
      </c>
    </row>
    <row r="369" spans="1:7">
      <c r="A369" s="2989" t="s">
        <v>2856</v>
      </c>
      <c r="B369" s="2978" t="s">
        <v>214</v>
      </c>
      <c r="C369" s="2979">
        <v>0.15</v>
      </c>
      <c r="D369" s="2979">
        <v>0.15</v>
      </c>
      <c r="E369" s="2979">
        <v>0.15</v>
      </c>
      <c r="F369" s="2979">
        <v>0.14399999999999999</v>
      </c>
      <c r="G369" s="2980">
        <v>0.15</v>
      </c>
    </row>
    <row r="370" spans="1:7">
      <c r="A370" s="2989" t="s">
        <v>2856</v>
      </c>
      <c r="B370" s="2978" t="s">
        <v>221</v>
      </c>
      <c r="C370" s="2979">
        <v>0.15</v>
      </c>
      <c r="D370" s="2979">
        <v>0.15</v>
      </c>
      <c r="E370" s="2979">
        <v>0.15</v>
      </c>
      <c r="F370" s="2979">
        <v>0.14599999999999999</v>
      </c>
      <c r="G370" s="2980">
        <v>0.15</v>
      </c>
    </row>
    <row r="371" spans="1:7">
      <c r="A371" s="2989" t="s">
        <v>2856</v>
      </c>
      <c r="B371" s="2978" t="s">
        <v>229</v>
      </c>
      <c r="C371" s="2979">
        <v>0.15</v>
      </c>
      <c r="D371" s="2979">
        <v>0.15</v>
      </c>
      <c r="E371" s="2979">
        <v>0.15</v>
      </c>
      <c r="F371" s="2979">
        <v>0.12</v>
      </c>
      <c r="G371" s="2980">
        <v>0.15</v>
      </c>
    </row>
    <row r="372" spans="1:7">
      <c r="A372" s="2989" t="s">
        <v>2856</v>
      </c>
      <c r="B372" s="2978" t="s">
        <v>2917</v>
      </c>
      <c r="C372" s="2979">
        <v>0.15</v>
      </c>
      <c r="D372" s="2979">
        <v>0.15</v>
      </c>
      <c r="E372" s="2979">
        <v>0.15</v>
      </c>
      <c r="F372" s="2979">
        <v>0.14299999999999999</v>
      </c>
      <c r="G372" s="2980">
        <v>0.15</v>
      </c>
    </row>
    <row r="373" spans="1:7">
      <c r="A373" s="2989" t="s">
        <v>2856</v>
      </c>
      <c r="B373" s="2978" t="s">
        <v>258</v>
      </c>
      <c r="C373" s="2979">
        <v>0.15</v>
      </c>
      <c r="D373" s="2979">
        <v>0.15</v>
      </c>
      <c r="E373" s="2979">
        <v>0.15</v>
      </c>
      <c r="F373" s="2979">
        <v>0.14599999999999999</v>
      </c>
      <c r="G373" s="2980">
        <v>0.15</v>
      </c>
    </row>
    <row r="374" spans="1:7">
      <c r="A374" s="2989" t="s">
        <v>2856</v>
      </c>
      <c r="B374" s="2978" t="s">
        <v>266</v>
      </c>
      <c r="C374" s="2979">
        <v>0.15</v>
      </c>
      <c r="D374" s="2979">
        <v>0.15</v>
      </c>
      <c r="E374" s="2979">
        <v>0.15</v>
      </c>
      <c r="F374" s="2979">
        <v>0.14399999999999999</v>
      </c>
      <c r="G374" s="2980">
        <v>0.15</v>
      </c>
    </row>
    <row r="375" spans="1:7">
      <c r="A375" s="2989" t="s">
        <v>2856</v>
      </c>
      <c r="B375" s="2978" t="s">
        <v>2925</v>
      </c>
      <c r="C375" s="2979">
        <v>0.15</v>
      </c>
      <c r="D375" s="2979">
        <v>0.15</v>
      </c>
      <c r="E375" s="2979">
        <v>0.15</v>
      </c>
      <c r="F375" s="2979">
        <v>0.13</v>
      </c>
      <c r="G375" s="2980">
        <v>0.15</v>
      </c>
    </row>
    <row r="376" spans="1:7">
      <c r="A376" s="2989" t="s">
        <v>2856</v>
      </c>
      <c r="B376" s="2978" t="s">
        <v>277</v>
      </c>
      <c r="C376" s="2979">
        <v>0.15</v>
      </c>
      <c r="D376" s="2979">
        <v>0.15</v>
      </c>
      <c r="E376" s="2979">
        <v>0.15</v>
      </c>
      <c r="F376" s="2979">
        <v>0.14199999999999999</v>
      </c>
      <c r="G376" s="2980">
        <v>0.15</v>
      </c>
    </row>
    <row r="377" spans="1:7" ht="14.25" thickBot="1">
      <c r="A377" s="2992" t="s">
        <v>2856</v>
      </c>
      <c r="B377" s="2982" t="s">
        <v>2931</v>
      </c>
      <c r="C377" s="2983">
        <v>0.15</v>
      </c>
      <c r="D377" s="2983">
        <v>0.15</v>
      </c>
      <c r="E377" s="2983">
        <v>0.15</v>
      </c>
      <c r="F377" s="2983">
        <v>0.14000000000000001</v>
      </c>
      <c r="G377" s="2985">
        <v>0.15</v>
      </c>
    </row>
    <row r="378" spans="1:7">
      <c r="A378" s="2988" t="s">
        <v>2857</v>
      </c>
      <c r="B378" s="2974" t="s">
        <v>2871</v>
      </c>
      <c r="C378" s="2975">
        <v>0.15</v>
      </c>
      <c r="D378" s="2975">
        <v>0.15</v>
      </c>
      <c r="E378" s="2975">
        <v>0.15</v>
      </c>
      <c r="F378" s="2975">
        <v>0.107</v>
      </c>
      <c r="G378" s="2976">
        <v>0.15</v>
      </c>
    </row>
    <row r="379" spans="1:7">
      <c r="A379" s="2989" t="s">
        <v>2857</v>
      </c>
      <c r="B379" s="2978" t="s">
        <v>2877</v>
      </c>
      <c r="C379" s="2979">
        <v>0.15</v>
      </c>
      <c r="D379" s="2979">
        <v>0.15</v>
      </c>
      <c r="E379" s="2979">
        <v>0.15</v>
      </c>
      <c r="F379" s="2979">
        <v>0.115</v>
      </c>
      <c r="G379" s="2980">
        <v>0.14899999999999999</v>
      </c>
    </row>
    <row r="380" spans="1:7">
      <c r="A380" s="2989" t="s">
        <v>2857</v>
      </c>
      <c r="B380" s="2978" t="s">
        <v>2883</v>
      </c>
      <c r="C380" s="2979">
        <v>0.15</v>
      </c>
      <c r="D380" s="2979">
        <v>0.15</v>
      </c>
      <c r="E380" s="2979">
        <v>0.15</v>
      </c>
      <c r="F380" s="2979">
        <v>0.1</v>
      </c>
      <c r="G380" s="2980">
        <v>0.14799999999999999</v>
      </c>
    </row>
    <row r="381" spans="1:7">
      <c r="A381" s="2989" t="s">
        <v>2857</v>
      </c>
      <c r="B381" s="2978" t="s">
        <v>2886</v>
      </c>
      <c r="C381" s="2979">
        <v>0.15</v>
      </c>
      <c r="D381" s="2979">
        <v>0.15</v>
      </c>
      <c r="E381" s="2979">
        <v>0.15</v>
      </c>
      <c r="F381" s="2979">
        <v>0.126</v>
      </c>
      <c r="G381" s="2980">
        <v>0.15</v>
      </c>
    </row>
    <row r="382" spans="1:7">
      <c r="A382" s="2989" t="s">
        <v>2857</v>
      </c>
      <c r="B382" s="2978" t="s">
        <v>2890</v>
      </c>
      <c r="C382" s="2979">
        <v>0.15</v>
      </c>
      <c r="D382" s="2979">
        <v>0.15</v>
      </c>
      <c r="E382" s="2979">
        <v>0.15</v>
      </c>
      <c r="F382" s="2979">
        <v>0.15</v>
      </c>
      <c r="G382" s="2980">
        <v>0.15</v>
      </c>
    </row>
    <row r="383" spans="1:7">
      <c r="A383" s="2989" t="s">
        <v>2857</v>
      </c>
      <c r="B383" s="2978" t="s">
        <v>2895</v>
      </c>
      <c r="C383" s="2979">
        <v>0.15</v>
      </c>
      <c r="D383" s="2979">
        <v>0.15</v>
      </c>
      <c r="E383" s="2979">
        <v>0.15</v>
      </c>
      <c r="F383" s="2979">
        <v>0.14699999999999999</v>
      </c>
      <c r="G383" s="2980">
        <v>0.15</v>
      </c>
    </row>
    <row r="384" spans="1:7" ht="14.25" thickBot="1">
      <c r="A384" s="2999" t="s">
        <v>2857</v>
      </c>
      <c r="B384" s="3000" t="s">
        <v>2899</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ht="15">
      <c r="A1" s="3480" t="s">
        <v>3238</v>
      </c>
      <c r="B1" s="3480"/>
      <c r="C1" s="3480"/>
      <c r="D1" s="3480"/>
      <c r="E1" s="3480"/>
      <c r="F1" s="3481"/>
    </row>
    <row r="2" spans="1:6" ht="15">
      <c r="A2" s="3003" t="s">
        <v>3239</v>
      </c>
    </row>
    <row r="3" spans="1:6" ht="15">
      <c r="A3" s="3003" t="s">
        <v>3240</v>
      </c>
      <c r="F3" s="3004" t="s">
        <v>3241</v>
      </c>
    </row>
    <row r="4" spans="1:6">
      <c r="A4" s="3005" t="s">
        <v>672</v>
      </c>
      <c r="B4" s="3005" t="s">
        <v>673</v>
      </c>
      <c r="C4" s="3005" t="s">
        <v>21</v>
      </c>
      <c r="D4" s="3005" t="s">
        <v>674</v>
      </c>
      <c r="E4" s="3005" t="s">
        <v>3</v>
      </c>
      <c r="F4" s="3005" t="s">
        <v>3242</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44993</v>
      </c>
      <c r="B1" s="2930" t="s">
        <v>2844</v>
      </c>
      <c r="C1" s="2931"/>
      <c r="D1" s="2931"/>
      <c r="E1" s="2931"/>
      <c r="F1" s="2931"/>
      <c r="G1" s="2931"/>
      <c r="H1" s="2931"/>
      <c r="I1" s="2931"/>
      <c r="J1" s="2897"/>
      <c r="K1" s="2931" t="s">
        <v>454</v>
      </c>
      <c r="L1" s="2931"/>
      <c r="M1" s="2931"/>
      <c r="N1" s="2931"/>
      <c r="O1" s="2931"/>
      <c r="P1" s="2931"/>
      <c r="Q1" s="2897"/>
      <c r="R1" s="3482" t="s">
        <v>456</v>
      </c>
      <c r="S1" s="3483"/>
      <c r="T1" s="3483"/>
      <c r="U1" s="3483"/>
      <c r="V1" s="3483"/>
      <c r="W1" s="3483"/>
      <c r="X1" s="2897"/>
      <c r="Y1" s="3482" t="s">
        <v>457</v>
      </c>
      <c r="Z1" s="3483"/>
      <c r="AA1" s="3483"/>
      <c r="AB1" s="3483"/>
      <c r="AC1" s="3483"/>
      <c r="AD1" s="3483"/>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ROUND(AVERAGEIF(D4:D16,"&lt;&gt;0"),2)</f>
        <v>0.81</v>
      </c>
      <c r="E3" s="2887">
        <f t="shared" ref="E3:H3" si="0">ROUND(AVERAGEIF(E4:E16,"&lt;&gt;0"),2)</f>
        <v>0.33</v>
      </c>
      <c r="F3" s="2887">
        <f t="shared" si="0"/>
        <v>0.15</v>
      </c>
      <c r="G3" s="2887">
        <f t="shared" si="0"/>
        <v>0.89</v>
      </c>
      <c r="H3" s="2887">
        <f t="shared" si="0"/>
        <v>0.66</v>
      </c>
      <c r="I3" s="2887">
        <f>F3</f>
        <v>0.15</v>
      </c>
      <c r="J3" s="2888"/>
      <c r="K3" s="2889">
        <f>ROUND(AVERAGEIF(K4:K16,"&lt;&gt;0"),4)</f>
        <v>8.0999999999999996E-3</v>
      </c>
      <c r="L3" s="2890">
        <f t="shared" ref="L3:O3" si="1">ROUND(AVERAGEIF(L4:L16,"&lt;&gt;0"),4)</f>
        <v>3.3E-3</v>
      </c>
      <c r="M3" s="2890">
        <f t="shared" si="1"/>
        <v>1.5E-3</v>
      </c>
      <c r="N3" s="2890">
        <f t="shared" si="1"/>
        <v>8.8999999999999999E-3</v>
      </c>
      <c r="O3" s="2890">
        <f t="shared" si="1"/>
        <v>6.6E-3</v>
      </c>
      <c r="P3" s="2890">
        <f>M3</f>
        <v>1.5E-3</v>
      </c>
      <c r="Q3" s="2888"/>
      <c r="R3" s="2891">
        <f>ROUND(SUMPRODUCT(PRODUCT(1+K4:K16)),4)</f>
        <v>1.0668</v>
      </c>
      <c r="S3" s="2892">
        <f t="shared" ref="S3:V3" si="2">ROUND(SUMPRODUCT(PRODUCT(1+L4:L16)),4)</f>
        <v>1.0266999999999999</v>
      </c>
      <c r="T3" s="2892">
        <f t="shared" si="2"/>
        <v>1.0119</v>
      </c>
      <c r="U3" s="2892">
        <f t="shared" si="2"/>
        <v>1.0734999999999999</v>
      </c>
      <c r="V3" s="2892">
        <f t="shared" si="2"/>
        <v>1.054</v>
      </c>
      <c r="W3" s="2891">
        <f>T3</f>
        <v>1.0119</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3376</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3377</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7"/>
      <c r="Y6" s="2028"/>
      <c r="Z6" s="2028"/>
      <c r="AA6" s="2028"/>
      <c r="AB6" s="2028"/>
      <c r="AC6" s="2028"/>
      <c r="AD6" s="2028"/>
    </row>
    <row r="7" spans="1:30" s="2045" customFormat="1" ht="12.75">
      <c r="A7" s="2906" t="s">
        <v>3375</v>
      </c>
      <c r="B7" s="2031">
        <v>2023</v>
      </c>
      <c r="C7" s="2042">
        <v>2</v>
      </c>
      <c r="D7" s="2007">
        <v>0</v>
      </c>
      <c r="E7" s="2007">
        <v>0</v>
      </c>
      <c r="F7" s="2007">
        <v>0</v>
      </c>
      <c r="G7" s="2007">
        <v>0</v>
      </c>
      <c r="H7" s="2007">
        <v>0</v>
      </c>
      <c r="I7" s="2008">
        <f t="shared" si="4"/>
        <v>0</v>
      </c>
      <c r="J7" s="2907"/>
      <c r="K7" s="2043">
        <f t="shared" si="8"/>
        <v>0</v>
      </c>
      <c r="L7" s="2028">
        <f t="shared" si="9"/>
        <v>0</v>
      </c>
      <c r="M7" s="2028">
        <f t="shared" si="10"/>
        <v>0</v>
      </c>
      <c r="N7" s="2028">
        <f t="shared" si="11"/>
        <v>0</v>
      </c>
      <c r="O7" s="2028">
        <f t="shared" si="12"/>
        <v>0</v>
      </c>
      <c r="P7" s="2028">
        <f t="shared" si="13"/>
        <v>0</v>
      </c>
      <c r="Q7" s="2907"/>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7"/>
      <c r="Y7" s="2028"/>
      <c r="Z7" s="2028"/>
      <c r="AA7" s="2028"/>
      <c r="AB7" s="2028"/>
      <c r="AC7" s="2028"/>
      <c r="AD7" s="2028"/>
    </row>
    <row r="8" spans="1:30" s="2045" customFormat="1" ht="12.75">
      <c r="A8" s="2906" t="s">
        <v>2822</v>
      </c>
      <c r="B8" s="2031">
        <v>2023</v>
      </c>
      <c r="C8" s="2042">
        <v>1</v>
      </c>
      <c r="D8" s="2007">
        <v>0</v>
      </c>
      <c r="E8" s="2007">
        <v>0</v>
      </c>
      <c r="F8" s="2007">
        <v>0</v>
      </c>
      <c r="G8" s="2007">
        <v>0</v>
      </c>
      <c r="H8" s="2007">
        <v>0</v>
      </c>
      <c r="I8" s="2008">
        <f t="shared" si="4"/>
        <v>0</v>
      </c>
      <c r="J8" s="2907"/>
      <c r="K8" s="2043">
        <f t="shared" si="8"/>
        <v>0</v>
      </c>
      <c r="L8" s="2028">
        <f t="shared" si="9"/>
        <v>0</v>
      </c>
      <c r="M8" s="2028">
        <f t="shared" si="10"/>
        <v>0</v>
      </c>
      <c r="N8" s="2028">
        <f t="shared" si="11"/>
        <v>0</v>
      </c>
      <c r="O8" s="2028">
        <f t="shared" si="12"/>
        <v>0</v>
      </c>
      <c r="P8" s="2028">
        <f t="shared" si="13"/>
        <v>0</v>
      </c>
      <c r="Q8" s="2907"/>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7"/>
      <c r="Y8" s="2028"/>
      <c r="Z8" s="2028"/>
      <c r="AA8" s="2028"/>
      <c r="AB8" s="2028"/>
      <c r="AC8" s="2028"/>
      <c r="AD8" s="2028"/>
    </row>
    <row r="9" spans="1:30" s="2917" customFormat="1" ht="12.75">
      <c r="A9" s="2908" t="s">
        <v>2823</v>
      </c>
      <c r="B9" s="2909">
        <v>2022</v>
      </c>
      <c r="C9" s="2910">
        <v>4</v>
      </c>
      <c r="D9" s="2911">
        <v>0.62</v>
      </c>
      <c r="E9" s="2911">
        <v>0.2</v>
      </c>
      <c r="F9" s="2911">
        <v>0.11</v>
      </c>
      <c r="G9" s="2911">
        <v>0.69</v>
      </c>
      <c r="H9" s="2912">
        <v>0.53</v>
      </c>
      <c r="I9" s="2913">
        <f t="shared" si="4"/>
        <v>0.11</v>
      </c>
      <c r="J9" s="2914"/>
      <c r="K9" s="2915">
        <f t="shared" si="5"/>
        <v>6.1999999999999998E-3</v>
      </c>
      <c r="L9" s="2916">
        <f t="shared" si="5"/>
        <v>2E-3</v>
      </c>
      <c r="M9" s="2916">
        <f t="shared" si="5"/>
        <v>1.1000000000000001E-3</v>
      </c>
      <c r="N9" s="2916">
        <f t="shared" si="5"/>
        <v>6.8999999999999999E-3</v>
      </c>
      <c r="O9" s="2916">
        <f t="shared" si="5"/>
        <v>5.3E-3</v>
      </c>
      <c r="P9" s="2916">
        <f t="shared" ref="P9:P16" si="15">M9</f>
        <v>1.1000000000000001E-3</v>
      </c>
      <c r="Q9" s="2914"/>
      <c r="R9" s="2914">
        <f>ROUND(IF([2]项目基本情况!B8="出让",SUMPRODUCT(PRODUCT(1+K9:K16)),SUMPRODUCT(PRODUCT(1+K9:K15))),4)</f>
        <v>1.0565</v>
      </c>
      <c r="S9" s="2914">
        <f>ROUND(IF([2]项目基本情况!B8="出让",SUMPRODUCT(PRODUCT(1+L9:L16)),SUMPRODUCT(PRODUCT(1+L9:L15))),4)</f>
        <v>1.0250999999999999</v>
      </c>
      <c r="T9" s="2914">
        <f>ROUND(IF([2]项目基本情况!B8="出让",SUMPRODUCT(PRODUCT(1+M9:M16)),SUMPRODUCT(PRODUCT(1+M9:M15))),4)</f>
        <v>1.0145</v>
      </c>
      <c r="U9" s="2914">
        <f>ROUND(IF([2]项目基本情况!B8="出让",SUMPRODUCT(PRODUCT(1+N9:N16)),SUMPRODUCT(PRODUCT(1+N9:N15))),4)</f>
        <v>1.0618000000000001</v>
      </c>
      <c r="V9" s="2914">
        <f>ROUND(IF([2]项目基本情况!B8="出让",SUMPRODUCT(PRODUCT(1+O9:O16)),SUMPRODUCT(PRODUCT(1+O9:O15))),4)</f>
        <v>1.0502</v>
      </c>
      <c r="W9" s="2914">
        <f t="shared" ref="W9:W16" si="16">T9</f>
        <v>1.0145</v>
      </c>
      <c r="X9" s="2914"/>
      <c r="Y9" s="2916">
        <f>IF(D9=0,0,ROUND(AVERAGE(D9:D17)/100,4))</f>
        <v>8.0999999999999996E-3</v>
      </c>
      <c r="Z9" s="2916">
        <f t="shared" ref="Z9:AC9" si="17">IF(E9=0,0,ROUND(AVERAGE(E9:E16)/100,4))</f>
        <v>3.3E-3</v>
      </c>
      <c r="AA9" s="2916">
        <f t="shared" si="17"/>
        <v>1.5E-3</v>
      </c>
      <c r="AB9" s="2916">
        <f t="shared" si="17"/>
        <v>8.8999999999999999E-3</v>
      </c>
      <c r="AC9" s="2916">
        <f t="shared" si="17"/>
        <v>6.6E-3</v>
      </c>
      <c r="AD9" s="2916">
        <f t="shared" si="7"/>
        <v>1.5E-3</v>
      </c>
    </row>
    <row r="10" spans="1:30" s="2045" customFormat="1" ht="12.75">
      <c r="A10" s="2906" t="s">
        <v>3370</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3361</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2824</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2825</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2826</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2827</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2828</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3373</v>
      </c>
    </row>
    <row r="19" spans="1:30">
      <c r="I19" s="1405" t="s">
        <v>2829</v>
      </c>
    </row>
    <row r="21" spans="1:30" s="2009" customFormat="1" ht="12.75">
      <c r="B21" s="2930" t="s">
        <v>2830</v>
      </c>
      <c r="C21" s="2931"/>
      <c r="D21" s="2931"/>
      <c r="E21" s="2931"/>
      <c r="F21" s="2931"/>
      <c r="G21" s="2931"/>
      <c r="H21" s="2931"/>
      <c r="I21" s="2931"/>
      <c r="J21" s="2897"/>
      <c r="K21" s="2931" t="s">
        <v>2831</v>
      </c>
      <c r="L21" s="2931"/>
      <c r="M21" s="2931"/>
      <c r="N21" s="2931"/>
      <c r="O21" s="2931"/>
      <c r="P21" s="2931"/>
      <c r="Q21" s="2897"/>
      <c r="R21" s="3482" t="s">
        <v>2832</v>
      </c>
      <c r="S21" s="3483"/>
      <c r="T21" s="3483"/>
      <c r="U21" s="3483"/>
      <c r="V21" s="3483"/>
      <c r="W21" s="3483"/>
      <c r="X21" s="2897"/>
      <c r="Y21" s="3482" t="s">
        <v>2833</v>
      </c>
      <c r="Z21" s="3483"/>
      <c r="AA21" s="3483"/>
      <c r="AB21" s="3483"/>
      <c r="AC21" s="3483"/>
      <c r="AD21" s="3483"/>
    </row>
    <row r="22" spans="1:30" s="2010" customFormat="1" ht="14.25" thickBot="1">
      <c r="B22" s="2882"/>
      <c r="C22" s="2883"/>
      <c r="D22" s="2011" t="s">
        <v>2834</v>
      </c>
      <c r="E22" s="2012" t="s">
        <v>2835</v>
      </c>
      <c r="F22" s="2012" t="s">
        <v>2836</v>
      </c>
      <c r="G22" s="2012" t="s">
        <v>2837</v>
      </c>
      <c r="H22" s="2012"/>
      <c r="I22" s="2012" t="s">
        <v>2838</v>
      </c>
      <c r="J22" s="2884"/>
      <c r="K22" s="2011" t="s">
        <v>2834</v>
      </c>
      <c r="L22" s="2012" t="s">
        <v>2835</v>
      </c>
      <c r="M22" s="2012" t="s">
        <v>2836</v>
      </c>
      <c r="N22" s="2012" t="s">
        <v>2837</v>
      </c>
      <c r="O22" s="2012"/>
      <c r="P22" s="2012" t="s">
        <v>2838</v>
      </c>
      <c r="Q22" s="2884"/>
      <c r="R22" s="2011" t="s">
        <v>2834</v>
      </c>
      <c r="S22" s="2012" t="s">
        <v>2835</v>
      </c>
      <c r="T22" s="2012" t="s">
        <v>2836</v>
      </c>
      <c r="U22" s="2012" t="s">
        <v>2837</v>
      </c>
      <c r="V22" s="2012"/>
      <c r="W22" s="2012" t="s">
        <v>2838</v>
      </c>
      <c r="X22" s="2884"/>
      <c r="Y22" s="2011" t="s">
        <v>2834</v>
      </c>
      <c r="Z22" s="2012" t="s">
        <v>2835</v>
      </c>
      <c r="AA22" s="2012" t="s">
        <v>2836</v>
      </c>
      <c r="AB22" s="2012" t="s">
        <v>2837</v>
      </c>
      <c r="AC22" s="2012"/>
      <c r="AD22" s="2012" t="s">
        <v>2838</v>
      </c>
    </row>
    <row r="23" spans="1:30" s="2887" customFormat="1" ht="12.75">
      <c r="A23" s="2885" t="s">
        <v>2839</v>
      </c>
      <c r="B23" s="2886"/>
      <c r="E23" s="2887">
        <f t="shared" ref="E23:G23" si="22">ROUND(AVERAGEIF(E24:E36,"&lt;&gt;0"),2)</f>
        <v>0.4</v>
      </c>
      <c r="F23" s="2887">
        <f t="shared" si="22"/>
        <v>0.26</v>
      </c>
      <c r="G23" s="2887">
        <f t="shared" si="22"/>
        <v>0.74</v>
      </c>
      <c r="I23" s="2887">
        <f>F23</f>
        <v>0.26</v>
      </c>
      <c r="J23" s="2888"/>
      <c r="K23" s="2889"/>
      <c r="L23" s="2890">
        <f t="shared" ref="L23:N23" si="23">ROUND(AVERAGEIF(L24:L36,"&lt;&gt;0"),4)</f>
        <v>4.0000000000000001E-3</v>
      </c>
      <c r="M23" s="2890">
        <f t="shared" si="23"/>
        <v>2.5999999999999999E-3</v>
      </c>
      <c r="N23" s="2890">
        <f t="shared" si="23"/>
        <v>7.4000000000000003E-3</v>
      </c>
      <c r="O23" s="2890"/>
      <c r="P23" s="2890">
        <f>M23</f>
        <v>2.5999999999999999E-3</v>
      </c>
      <c r="Q23" s="2888"/>
      <c r="R23" s="2891"/>
      <c r="S23" s="2892">
        <f>ROUND(SUMPRODUCT(PRODUCT(1+L24:L36)),4)</f>
        <v>1.0323</v>
      </c>
      <c r="T23" s="2892">
        <f t="shared" ref="T23:U23" si="24">ROUND(SUMPRODUCT(PRODUCT(1+M24:M36)),4)</f>
        <v>1.0213000000000001</v>
      </c>
      <c r="U23" s="2892">
        <f t="shared" si="24"/>
        <v>1.0609</v>
      </c>
      <c r="V23" s="2892"/>
      <c r="W23" s="2891">
        <f>T23</f>
        <v>1.0213000000000001</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3376</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3377</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7"/>
      <c r="Y26" s="2028"/>
      <c r="Z26" s="2903"/>
      <c r="AA26" s="2028"/>
      <c r="AB26" s="2028"/>
      <c r="AC26" s="2905"/>
      <c r="AD26" s="2028"/>
    </row>
    <row r="27" spans="1:30" s="2045" customFormat="1" ht="12.75">
      <c r="A27" s="2906" t="s">
        <v>3375</v>
      </c>
      <c r="B27" s="2031">
        <v>2023</v>
      </c>
      <c r="C27" s="2042">
        <v>2</v>
      </c>
      <c r="D27" s="2007"/>
      <c r="E27" s="2007">
        <v>0</v>
      </c>
      <c r="F27" s="2007">
        <v>0</v>
      </c>
      <c r="G27" s="2007">
        <v>0</v>
      </c>
      <c r="H27" s="2918"/>
      <c r="I27" s="2008">
        <f t="shared" si="26"/>
        <v>0</v>
      </c>
      <c r="J27" s="2907"/>
      <c r="K27" s="2043"/>
      <c r="L27" s="2028">
        <f t="shared" si="28"/>
        <v>0</v>
      </c>
      <c r="M27" s="2028">
        <f t="shared" si="29"/>
        <v>0</v>
      </c>
      <c r="N27" s="2028">
        <f t="shared" si="30"/>
        <v>0</v>
      </c>
      <c r="O27" s="2028"/>
      <c r="P27" s="2028">
        <f t="shared" si="31"/>
        <v>0</v>
      </c>
      <c r="Q27" s="2907"/>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7"/>
      <c r="Y27" s="2028"/>
      <c r="Z27" s="2903"/>
      <c r="AA27" s="2028"/>
      <c r="AB27" s="2028"/>
      <c r="AC27" s="2905"/>
      <c r="AD27" s="2028"/>
    </row>
    <row r="28" spans="1:30" s="2045" customFormat="1" ht="12.75">
      <c r="A28" s="2906" t="s">
        <v>2822</v>
      </c>
      <c r="B28" s="2031">
        <v>2023</v>
      </c>
      <c r="C28" s="2042">
        <v>1</v>
      </c>
      <c r="D28" s="2007"/>
      <c r="E28" s="2007">
        <v>0</v>
      </c>
      <c r="F28" s="2007">
        <v>0</v>
      </c>
      <c r="G28" s="2007">
        <v>0</v>
      </c>
      <c r="H28" s="2918"/>
      <c r="I28" s="2008">
        <f t="shared" si="26"/>
        <v>0</v>
      </c>
      <c r="J28" s="2907"/>
      <c r="K28" s="2043"/>
      <c r="L28" s="2028">
        <f t="shared" si="28"/>
        <v>0</v>
      </c>
      <c r="M28" s="2028">
        <f t="shared" si="29"/>
        <v>0</v>
      </c>
      <c r="N28" s="2028">
        <f t="shared" si="30"/>
        <v>0</v>
      </c>
      <c r="O28" s="2028"/>
      <c r="P28" s="2028">
        <f t="shared" si="31"/>
        <v>0</v>
      </c>
      <c r="Q28" s="2907"/>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7"/>
      <c r="Y28" s="2028"/>
      <c r="Z28" s="2903"/>
      <c r="AA28" s="2028"/>
      <c r="AB28" s="2028"/>
      <c r="AC28" s="2905"/>
      <c r="AD28" s="2028"/>
    </row>
    <row r="29" spans="1:30" s="2917" customFormat="1" ht="12.75">
      <c r="A29" s="2908" t="s">
        <v>3371</v>
      </c>
      <c r="B29" s="2909">
        <v>2022</v>
      </c>
      <c r="C29" s="2910">
        <v>4</v>
      </c>
      <c r="D29" s="2911"/>
      <c r="E29" s="2911">
        <v>0.45</v>
      </c>
      <c r="F29" s="2911">
        <v>0.2</v>
      </c>
      <c r="G29" s="2911">
        <v>0.38</v>
      </c>
      <c r="H29" s="2912"/>
      <c r="I29" s="2913">
        <f t="shared" si="26"/>
        <v>0.2</v>
      </c>
      <c r="J29" s="2914"/>
      <c r="K29" s="2915"/>
      <c r="L29" s="2916">
        <f t="shared" si="27"/>
        <v>4.5000000000000005E-3</v>
      </c>
      <c r="M29" s="2916">
        <f t="shared" si="27"/>
        <v>2E-3</v>
      </c>
      <c r="N29" s="2916">
        <f t="shared" si="27"/>
        <v>3.8E-3</v>
      </c>
      <c r="O29" s="2916"/>
      <c r="P29" s="2916">
        <f t="shared" ref="P29:P36" si="33">M29</f>
        <v>2E-3</v>
      </c>
      <c r="Q29" s="2914"/>
      <c r="R29" s="2914"/>
      <c r="S29" s="2914">
        <f>ROUND(IF([2]项目基本情况!$B$8="出让",SUMPRODUCT(PRODUCT(1+L29:L$36)),SUMPRODUCT(PRODUCT(1+L29:L$35))),4)</f>
        <v>1.0286999999999999</v>
      </c>
      <c r="T29" s="2914">
        <f>ROUND(IF([2]项目基本情况!$B$8="出让",SUMPRODUCT(PRODUCT(1+M29:M$36)),SUMPRODUCT(PRODUCT(1+M29:M$35))),4)</f>
        <v>1.0164</v>
      </c>
      <c r="U29" s="2914">
        <f>ROUND(IF([2]项目基本情况!$B$8="出让",SUMPRODUCT(PRODUCT(1+N29:N$36)),SUMPRODUCT(PRODUCT(1+N29:N$35))),4)</f>
        <v>1.0506</v>
      </c>
      <c r="V29" s="2914"/>
      <c r="W29" s="2914">
        <f t="shared" ref="W29:W36" si="34">T29</f>
        <v>1.0164</v>
      </c>
      <c r="X29" s="2914"/>
      <c r="Y29" s="2916"/>
      <c r="Z29" s="2932">
        <f t="shared" ref="Z29:AD36" si="35">IF(E29=0,0,ROUND(AVERAGE(E29:E37)/100,4))</f>
        <v>4.0000000000000001E-3</v>
      </c>
      <c r="AA29" s="2933">
        <f t="shared" si="35"/>
        <v>2.5999999999999999E-3</v>
      </c>
      <c r="AB29" s="2916">
        <f t="shared" si="35"/>
        <v>7.4000000000000003E-3</v>
      </c>
      <c r="AC29" s="2934"/>
      <c r="AD29" s="2916">
        <f t="shared" si="35"/>
        <v>2.5999999999999999E-3</v>
      </c>
    </row>
    <row r="30" spans="1:30" s="2045" customFormat="1" ht="12.75">
      <c r="A30" s="2906" t="s">
        <v>3372</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3361</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2840</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2841</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2842</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2843</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2828</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44993</v>
      </c>
      <c r="D1" s="1217" t="s">
        <v>603</v>
      </c>
      <c r="E1" s="1212">
        <f>'数据-取费表'!B22</f>
        <v>1</v>
      </c>
      <c r="F1" s="1217" t="s">
        <v>604</v>
      </c>
      <c r="G1" s="1213">
        <f ca="1">INDIRECT("d"&amp;$K$1)/100</f>
        <v>3.6499999999999998E-2</v>
      </c>
      <c r="H1" s="1217" t="s">
        <v>634</v>
      </c>
      <c r="I1" s="1213">
        <f ca="1">F4/100</f>
        <v>1.4999999999999999E-2</v>
      </c>
      <c r="J1" s="1218">
        <f>IF(C1&gt;C13,0,MATCH(C1,C$13:C$109,-1))+IF(SUMIF(C13:C109,C1,D13:D109)=0,13,12)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2312</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K118" sqref="K118"/>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61"/>
  <sheetViews>
    <sheetView topLeftCell="F1" workbookViewId="0">
      <selection activeCell="I185" sqref="I185"/>
    </sheetView>
  </sheetViews>
  <sheetFormatPr defaultRowHeight="12.75"/>
  <cols>
    <col min="1" max="1" width="34.5" style="3146" customWidth="1"/>
    <col min="2" max="2" width="6.25" style="3146" customWidth="1"/>
    <col min="3" max="3" width="7.875" style="3146" customWidth="1"/>
    <col min="4" max="5" width="11.25" style="3146" customWidth="1"/>
    <col min="6" max="6" width="10.875" style="3146" customWidth="1"/>
    <col min="7" max="7" width="7.875" style="3146" customWidth="1"/>
    <col min="8" max="8" width="9" style="3146" customWidth="1"/>
    <col min="9" max="9" width="31" style="3146" customWidth="1"/>
    <col min="10" max="11" width="7.5" style="3146" customWidth="1"/>
    <col min="12" max="13" width="9.625" style="3146" customWidth="1"/>
    <col min="14" max="14" width="6.25" style="3146" customWidth="1"/>
    <col min="15" max="256" width="9" style="3146"/>
    <col min="257" max="257" width="34.5" style="3146" customWidth="1"/>
    <col min="258" max="258" width="6.25" style="3146" customWidth="1"/>
    <col min="259" max="259" width="7.875" style="3146" customWidth="1"/>
    <col min="260" max="261" width="11.25" style="3146" customWidth="1"/>
    <col min="262" max="262" width="10.875" style="3146" customWidth="1"/>
    <col min="263" max="263" width="7.875" style="3146" customWidth="1"/>
    <col min="264" max="264" width="9" style="3146" customWidth="1"/>
    <col min="265" max="265" width="31" style="3146" customWidth="1"/>
    <col min="266" max="267" width="7.5" style="3146" customWidth="1"/>
    <col min="268" max="269" width="9.625" style="3146" customWidth="1"/>
    <col min="270" max="270" width="6.25" style="3146" customWidth="1"/>
    <col min="271" max="512" width="9" style="3146"/>
    <col min="513" max="513" width="34.5" style="3146" customWidth="1"/>
    <col min="514" max="514" width="6.25" style="3146" customWidth="1"/>
    <col min="515" max="515" width="7.875" style="3146" customWidth="1"/>
    <col min="516" max="517" width="11.25" style="3146" customWidth="1"/>
    <col min="518" max="518" width="10.875" style="3146" customWidth="1"/>
    <col min="519" max="519" width="7.875" style="3146" customWidth="1"/>
    <col min="520" max="520" width="9" style="3146" customWidth="1"/>
    <col min="521" max="521" width="31" style="3146" customWidth="1"/>
    <col min="522" max="523" width="7.5" style="3146" customWidth="1"/>
    <col min="524" max="525" width="9.625" style="3146" customWidth="1"/>
    <col min="526" max="526" width="6.25" style="3146" customWidth="1"/>
    <col min="527" max="768" width="9" style="3146"/>
    <col min="769" max="769" width="34.5" style="3146" customWidth="1"/>
    <col min="770" max="770" width="6.25" style="3146" customWidth="1"/>
    <col min="771" max="771" width="7.875" style="3146" customWidth="1"/>
    <col min="772" max="773" width="11.25" style="3146" customWidth="1"/>
    <col min="774" max="774" width="10.875" style="3146" customWidth="1"/>
    <col min="775" max="775" width="7.875" style="3146" customWidth="1"/>
    <col min="776" max="776" width="9" style="3146" customWidth="1"/>
    <col min="777" max="777" width="31" style="3146" customWidth="1"/>
    <col min="778" max="779" width="7.5" style="3146" customWidth="1"/>
    <col min="780" max="781" width="9.625" style="3146" customWidth="1"/>
    <col min="782" max="782" width="6.25" style="3146" customWidth="1"/>
    <col min="783" max="1024" width="9" style="3146"/>
    <col min="1025" max="1025" width="34.5" style="3146" customWidth="1"/>
    <col min="1026" max="1026" width="6.25" style="3146" customWidth="1"/>
    <col min="1027" max="1027" width="7.875" style="3146" customWidth="1"/>
    <col min="1028" max="1029" width="11.25" style="3146" customWidth="1"/>
    <col min="1030" max="1030" width="10.875" style="3146" customWidth="1"/>
    <col min="1031" max="1031" width="7.875" style="3146" customWidth="1"/>
    <col min="1032" max="1032" width="9" style="3146" customWidth="1"/>
    <col min="1033" max="1033" width="31" style="3146" customWidth="1"/>
    <col min="1034" max="1035" width="7.5" style="3146" customWidth="1"/>
    <col min="1036" max="1037" width="9.625" style="3146" customWidth="1"/>
    <col min="1038" max="1038" width="6.25" style="3146" customWidth="1"/>
    <col min="1039" max="1280" width="9" style="3146"/>
    <col min="1281" max="1281" width="34.5" style="3146" customWidth="1"/>
    <col min="1282" max="1282" width="6.25" style="3146" customWidth="1"/>
    <col min="1283" max="1283" width="7.875" style="3146" customWidth="1"/>
    <col min="1284" max="1285" width="11.25" style="3146" customWidth="1"/>
    <col min="1286" max="1286" width="10.875" style="3146" customWidth="1"/>
    <col min="1287" max="1287" width="7.875" style="3146" customWidth="1"/>
    <col min="1288" max="1288" width="9" style="3146" customWidth="1"/>
    <col min="1289" max="1289" width="31" style="3146" customWidth="1"/>
    <col min="1290" max="1291" width="7.5" style="3146" customWidth="1"/>
    <col min="1292" max="1293" width="9.625" style="3146" customWidth="1"/>
    <col min="1294" max="1294" width="6.25" style="3146" customWidth="1"/>
    <col min="1295" max="1536" width="9" style="3146"/>
    <col min="1537" max="1537" width="34.5" style="3146" customWidth="1"/>
    <col min="1538" max="1538" width="6.25" style="3146" customWidth="1"/>
    <col min="1539" max="1539" width="7.875" style="3146" customWidth="1"/>
    <col min="1540" max="1541" width="11.25" style="3146" customWidth="1"/>
    <col min="1542" max="1542" width="10.875" style="3146" customWidth="1"/>
    <col min="1543" max="1543" width="7.875" style="3146" customWidth="1"/>
    <col min="1544" max="1544" width="9" style="3146" customWidth="1"/>
    <col min="1545" max="1545" width="31" style="3146" customWidth="1"/>
    <col min="1546" max="1547" width="7.5" style="3146" customWidth="1"/>
    <col min="1548" max="1549" width="9.625" style="3146" customWidth="1"/>
    <col min="1550" max="1550" width="6.25" style="3146" customWidth="1"/>
    <col min="1551" max="1792" width="9" style="3146"/>
    <col min="1793" max="1793" width="34.5" style="3146" customWidth="1"/>
    <col min="1794" max="1794" width="6.25" style="3146" customWidth="1"/>
    <col min="1795" max="1795" width="7.875" style="3146" customWidth="1"/>
    <col min="1796" max="1797" width="11.25" style="3146" customWidth="1"/>
    <col min="1798" max="1798" width="10.875" style="3146" customWidth="1"/>
    <col min="1799" max="1799" width="7.875" style="3146" customWidth="1"/>
    <col min="1800" max="1800" width="9" style="3146" customWidth="1"/>
    <col min="1801" max="1801" width="31" style="3146" customWidth="1"/>
    <col min="1802" max="1803" width="7.5" style="3146" customWidth="1"/>
    <col min="1804" max="1805" width="9.625" style="3146" customWidth="1"/>
    <col min="1806" max="1806" width="6.25" style="3146" customWidth="1"/>
    <col min="1807" max="2048" width="9" style="3146"/>
    <col min="2049" max="2049" width="34.5" style="3146" customWidth="1"/>
    <col min="2050" max="2050" width="6.25" style="3146" customWidth="1"/>
    <col min="2051" max="2051" width="7.875" style="3146" customWidth="1"/>
    <col min="2052" max="2053" width="11.25" style="3146" customWidth="1"/>
    <col min="2054" max="2054" width="10.875" style="3146" customWidth="1"/>
    <col min="2055" max="2055" width="7.875" style="3146" customWidth="1"/>
    <col min="2056" max="2056" width="9" style="3146" customWidth="1"/>
    <col min="2057" max="2057" width="31" style="3146" customWidth="1"/>
    <col min="2058" max="2059" width="7.5" style="3146" customWidth="1"/>
    <col min="2060" max="2061" width="9.625" style="3146" customWidth="1"/>
    <col min="2062" max="2062" width="6.25" style="3146" customWidth="1"/>
    <col min="2063" max="2304" width="9" style="3146"/>
    <col min="2305" max="2305" width="34.5" style="3146" customWidth="1"/>
    <col min="2306" max="2306" width="6.25" style="3146" customWidth="1"/>
    <col min="2307" max="2307" width="7.875" style="3146" customWidth="1"/>
    <col min="2308" max="2309" width="11.25" style="3146" customWidth="1"/>
    <col min="2310" max="2310" width="10.875" style="3146" customWidth="1"/>
    <col min="2311" max="2311" width="7.875" style="3146" customWidth="1"/>
    <col min="2312" max="2312" width="9" style="3146" customWidth="1"/>
    <col min="2313" max="2313" width="31" style="3146" customWidth="1"/>
    <col min="2314" max="2315" width="7.5" style="3146" customWidth="1"/>
    <col min="2316" max="2317" width="9.625" style="3146" customWidth="1"/>
    <col min="2318" max="2318" width="6.25" style="3146" customWidth="1"/>
    <col min="2319" max="2560" width="9" style="3146"/>
    <col min="2561" max="2561" width="34.5" style="3146" customWidth="1"/>
    <col min="2562" max="2562" width="6.25" style="3146" customWidth="1"/>
    <col min="2563" max="2563" width="7.875" style="3146" customWidth="1"/>
    <col min="2564" max="2565" width="11.25" style="3146" customWidth="1"/>
    <col min="2566" max="2566" width="10.875" style="3146" customWidth="1"/>
    <col min="2567" max="2567" width="7.875" style="3146" customWidth="1"/>
    <col min="2568" max="2568" width="9" style="3146" customWidth="1"/>
    <col min="2569" max="2569" width="31" style="3146" customWidth="1"/>
    <col min="2570" max="2571" width="7.5" style="3146" customWidth="1"/>
    <col min="2572" max="2573" width="9.625" style="3146" customWidth="1"/>
    <col min="2574" max="2574" width="6.25" style="3146" customWidth="1"/>
    <col min="2575" max="2816" width="9" style="3146"/>
    <col min="2817" max="2817" width="34.5" style="3146" customWidth="1"/>
    <col min="2818" max="2818" width="6.25" style="3146" customWidth="1"/>
    <col min="2819" max="2819" width="7.875" style="3146" customWidth="1"/>
    <col min="2820" max="2821" width="11.25" style="3146" customWidth="1"/>
    <col min="2822" max="2822" width="10.875" style="3146" customWidth="1"/>
    <col min="2823" max="2823" width="7.875" style="3146" customWidth="1"/>
    <col min="2824" max="2824" width="9" style="3146" customWidth="1"/>
    <col min="2825" max="2825" width="31" style="3146" customWidth="1"/>
    <col min="2826" max="2827" width="7.5" style="3146" customWidth="1"/>
    <col min="2828" max="2829" width="9.625" style="3146" customWidth="1"/>
    <col min="2830" max="2830" width="6.25" style="3146" customWidth="1"/>
    <col min="2831" max="3072" width="9" style="3146"/>
    <col min="3073" max="3073" width="34.5" style="3146" customWidth="1"/>
    <col min="3074" max="3074" width="6.25" style="3146" customWidth="1"/>
    <col min="3075" max="3075" width="7.875" style="3146" customWidth="1"/>
    <col min="3076" max="3077" width="11.25" style="3146" customWidth="1"/>
    <col min="3078" max="3078" width="10.875" style="3146" customWidth="1"/>
    <col min="3079" max="3079" width="7.875" style="3146" customWidth="1"/>
    <col min="3080" max="3080" width="9" style="3146" customWidth="1"/>
    <col min="3081" max="3081" width="31" style="3146" customWidth="1"/>
    <col min="3082" max="3083" width="7.5" style="3146" customWidth="1"/>
    <col min="3084" max="3085" width="9.625" style="3146" customWidth="1"/>
    <col min="3086" max="3086" width="6.25" style="3146" customWidth="1"/>
    <col min="3087" max="3328" width="9" style="3146"/>
    <col min="3329" max="3329" width="34.5" style="3146" customWidth="1"/>
    <col min="3330" max="3330" width="6.25" style="3146" customWidth="1"/>
    <col min="3331" max="3331" width="7.875" style="3146" customWidth="1"/>
    <col min="3332" max="3333" width="11.25" style="3146" customWidth="1"/>
    <col min="3334" max="3334" width="10.875" style="3146" customWidth="1"/>
    <col min="3335" max="3335" width="7.875" style="3146" customWidth="1"/>
    <col min="3336" max="3336" width="9" style="3146" customWidth="1"/>
    <col min="3337" max="3337" width="31" style="3146" customWidth="1"/>
    <col min="3338" max="3339" width="7.5" style="3146" customWidth="1"/>
    <col min="3340" max="3341" width="9.625" style="3146" customWidth="1"/>
    <col min="3342" max="3342" width="6.25" style="3146" customWidth="1"/>
    <col min="3343" max="3584" width="9" style="3146"/>
    <col min="3585" max="3585" width="34.5" style="3146" customWidth="1"/>
    <col min="3586" max="3586" width="6.25" style="3146" customWidth="1"/>
    <col min="3587" max="3587" width="7.875" style="3146" customWidth="1"/>
    <col min="3588" max="3589" width="11.25" style="3146" customWidth="1"/>
    <col min="3590" max="3590" width="10.875" style="3146" customWidth="1"/>
    <col min="3591" max="3591" width="7.875" style="3146" customWidth="1"/>
    <col min="3592" max="3592" width="9" style="3146" customWidth="1"/>
    <col min="3593" max="3593" width="31" style="3146" customWidth="1"/>
    <col min="3594" max="3595" width="7.5" style="3146" customWidth="1"/>
    <col min="3596" max="3597" width="9.625" style="3146" customWidth="1"/>
    <col min="3598" max="3598" width="6.25" style="3146" customWidth="1"/>
    <col min="3599" max="3840" width="9" style="3146"/>
    <col min="3841" max="3841" width="34.5" style="3146" customWidth="1"/>
    <col min="3842" max="3842" width="6.25" style="3146" customWidth="1"/>
    <col min="3843" max="3843" width="7.875" style="3146" customWidth="1"/>
    <col min="3844" max="3845" width="11.25" style="3146" customWidth="1"/>
    <col min="3846" max="3846" width="10.875" style="3146" customWidth="1"/>
    <col min="3847" max="3847" width="7.875" style="3146" customWidth="1"/>
    <col min="3848" max="3848" width="9" style="3146" customWidth="1"/>
    <col min="3849" max="3849" width="31" style="3146" customWidth="1"/>
    <col min="3850" max="3851" width="7.5" style="3146" customWidth="1"/>
    <col min="3852" max="3853" width="9.625" style="3146" customWidth="1"/>
    <col min="3854" max="3854" width="6.25" style="3146" customWidth="1"/>
    <col min="3855" max="4096" width="9" style="3146"/>
    <col min="4097" max="4097" width="34.5" style="3146" customWidth="1"/>
    <col min="4098" max="4098" width="6.25" style="3146" customWidth="1"/>
    <col min="4099" max="4099" width="7.875" style="3146" customWidth="1"/>
    <col min="4100" max="4101" width="11.25" style="3146" customWidth="1"/>
    <col min="4102" max="4102" width="10.875" style="3146" customWidth="1"/>
    <col min="4103" max="4103" width="7.875" style="3146" customWidth="1"/>
    <col min="4104" max="4104" width="9" style="3146" customWidth="1"/>
    <col min="4105" max="4105" width="31" style="3146" customWidth="1"/>
    <col min="4106" max="4107" width="7.5" style="3146" customWidth="1"/>
    <col min="4108" max="4109" width="9.625" style="3146" customWidth="1"/>
    <col min="4110" max="4110" width="6.25" style="3146" customWidth="1"/>
    <col min="4111" max="4352" width="9" style="3146"/>
    <col min="4353" max="4353" width="34.5" style="3146" customWidth="1"/>
    <col min="4354" max="4354" width="6.25" style="3146" customWidth="1"/>
    <col min="4355" max="4355" width="7.875" style="3146" customWidth="1"/>
    <col min="4356" max="4357" width="11.25" style="3146" customWidth="1"/>
    <col min="4358" max="4358" width="10.875" style="3146" customWidth="1"/>
    <col min="4359" max="4359" width="7.875" style="3146" customWidth="1"/>
    <col min="4360" max="4360" width="9" style="3146" customWidth="1"/>
    <col min="4361" max="4361" width="31" style="3146" customWidth="1"/>
    <col min="4362" max="4363" width="7.5" style="3146" customWidth="1"/>
    <col min="4364" max="4365" width="9.625" style="3146" customWidth="1"/>
    <col min="4366" max="4366" width="6.25" style="3146" customWidth="1"/>
    <col min="4367" max="4608" width="9" style="3146"/>
    <col min="4609" max="4609" width="34.5" style="3146" customWidth="1"/>
    <col min="4610" max="4610" width="6.25" style="3146" customWidth="1"/>
    <col min="4611" max="4611" width="7.875" style="3146" customWidth="1"/>
    <col min="4612" max="4613" width="11.25" style="3146" customWidth="1"/>
    <col min="4614" max="4614" width="10.875" style="3146" customWidth="1"/>
    <col min="4615" max="4615" width="7.875" style="3146" customWidth="1"/>
    <col min="4616" max="4616" width="9" style="3146" customWidth="1"/>
    <col min="4617" max="4617" width="31" style="3146" customWidth="1"/>
    <col min="4618" max="4619" width="7.5" style="3146" customWidth="1"/>
    <col min="4620" max="4621" width="9.625" style="3146" customWidth="1"/>
    <col min="4622" max="4622" width="6.25" style="3146" customWidth="1"/>
    <col min="4623" max="4864" width="9" style="3146"/>
    <col min="4865" max="4865" width="34.5" style="3146" customWidth="1"/>
    <col min="4866" max="4866" width="6.25" style="3146" customWidth="1"/>
    <col min="4867" max="4867" width="7.875" style="3146" customWidth="1"/>
    <col min="4868" max="4869" width="11.25" style="3146" customWidth="1"/>
    <col min="4870" max="4870" width="10.875" style="3146" customWidth="1"/>
    <col min="4871" max="4871" width="7.875" style="3146" customWidth="1"/>
    <col min="4872" max="4872" width="9" style="3146" customWidth="1"/>
    <col min="4873" max="4873" width="31" style="3146" customWidth="1"/>
    <col min="4874" max="4875" width="7.5" style="3146" customWidth="1"/>
    <col min="4876" max="4877" width="9.625" style="3146" customWidth="1"/>
    <col min="4878" max="4878" width="6.25" style="3146" customWidth="1"/>
    <col min="4879" max="5120" width="9" style="3146"/>
    <col min="5121" max="5121" width="34.5" style="3146" customWidth="1"/>
    <col min="5122" max="5122" width="6.25" style="3146" customWidth="1"/>
    <col min="5123" max="5123" width="7.875" style="3146" customWidth="1"/>
    <col min="5124" max="5125" width="11.25" style="3146" customWidth="1"/>
    <col min="5126" max="5126" width="10.875" style="3146" customWidth="1"/>
    <col min="5127" max="5127" width="7.875" style="3146" customWidth="1"/>
    <col min="5128" max="5128" width="9" style="3146" customWidth="1"/>
    <col min="5129" max="5129" width="31" style="3146" customWidth="1"/>
    <col min="5130" max="5131" width="7.5" style="3146" customWidth="1"/>
    <col min="5132" max="5133" width="9.625" style="3146" customWidth="1"/>
    <col min="5134" max="5134" width="6.25" style="3146" customWidth="1"/>
    <col min="5135" max="5376" width="9" style="3146"/>
    <col min="5377" max="5377" width="34.5" style="3146" customWidth="1"/>
    <col min="5378" max="5378" width="6.25" style="3146" customWidth="1"/>
    <col min="5379" max="5379" width="7.875" style="3146" customWidth="1"/>
    <col min="5380" max="5381" width="11.25" style="3146" customWidth="1"/>
    <col min="5382" max="5382" width="10.875" style="3146" customWidth="1"/>
    <col min="5383" max="5383" width="7.875" style="3146" customWidth="1"/>
    <col min="5384" max="5384" width="9" style="3146" customWidth="1"/>
    <col min="5385" max="5385" width="31" style="3146" customWidth="1"/>
    <col min="5386" max="5387" width="7.5" style="3146" customWidth="1"/>
    <col min="5388" max="5389" width="9.625" style="3146" customWidth="1"/>
    <col min="5390" max="5390" width="6.25" style="3146" customWidth="1"/>
    <col min="5391" max="5632" width="9" style="3146"/>
    <col min="5633" max="5633" width="34.5" style="3146" customWidth="1"/>
    <col min="5634" max="5634" width="6.25" style="3146" customWidth="1"/>
    <col min="5635" max="5635" width="7.875" style="3146" customWidth="1"/>
    <col min="5636" max="5637" width="11.25" style="3146" customWidth="1"/>
    <col min="5638" max="5638" width="10.875" style="3146" customWidth="1"/>
    <col min="5639" max="5639" width="7.875" style="3146" customWidth="1"/>
    <col min="5640" max="5640" width="9" style="3146" customWidth="1"/>
    <col min="5641" max="5641" width="31" style="3146" customWidth="1"/>
    <col min="5642" max="5643" width="7.5" style="3146" customWidth="1"/>
    <col min="5644" max="5645" width="9.625" style="3146" customWidth="1"/>
    <col min="5646" max="5646" width="6.25" style="3146" customWidth="1"/>
    <col min="5647" max="5888" width="9" style="3146"/>
    <col min="5889" max="5889" width="34.5" style="3146" customWidth="1"/>
    <col min="5890" max="5890" width="6.25" style="3146" customWidth="1"/>
    <col min="5891" max="5891" width="7.875" style="3146" customWidth="1"/>
    <col min="5892" max="5893" width="11.25" style="3146" customWidth="1"/>
    <col min="5894" max="5894" width="10.875" style="3146" customWidth="1"/>
    <col min="5895" max="5895" width="7.875" style="3146" customWidth="1"/>
    <col min="5896" max="5896" width="9" style="3146" customWidth="1"/>
    <col min="5897" max="5897" width="31" style="3146" customWidth="1"/>
    <col min="5898" max="5899" width="7.5" style="3146" customWidth="1"/>
    <col min="5900" max="5901" width="9.625" style="3146" customWidth="1"/>
    <col min="5902" max="5902" width="6.25" style="3146" customWidth="1"/>
    <col min="5903" max="6144" width="9" style="3146"/>
    <col min="6145" max="6145" width="34.5" style="3146" customWidth="1"/>
    <col min="6146" max="6146" width="6.25" style="3146" customWidth="1"/>
    <col min="6147" max="6147" width="7.875" style="3146" customWidth="1"/>
    <col min="6148" max="6149" width="11.25" style="3146" customWidth="1"/>
    <col min="6150" max="6150" width="10.875" style="3146" customWidth="1"/>
    <col min="6151" max="6151" width="7.875" style="3146" customWidth="1"/>
    <col min="6152" max="6152" width="9" style="3146" customWidth="1"/>
    <col min="6153" max="6153" width="31" style="3146" customWidth="1"/>
    <col min="6154" max="6155" width="7.5" style="3146" customWidth="1"/>
    <col min="6156" max="6157" width="9.625" style="3146" customWidth="1"/>
    <col min="6158" max="6158" width="6.25" style="3146" customWidth="1"/>
    <col min="6159" max="6400" width="9" style="3146"/>
    <col min="6401" max="6401" width="34.5" style="3146" customWidth="1"/>
    <col min="6402" max="6402" width="6.25" style="3146" customWidth="1"/>
    <col min="6403" max="6403" width="7.875" style="3146" customWidth="1"/>
    <col min="6404" max="6405" width="11.25" style="3146" customWidth="1"/>
    <col min="6406" max="6406" width="10.875" style="3146" customWidth="1"/>
    <col min="6407" max="6407" width="7.875" style="3146" customWidth="1"/>
    <col min="6408" max="6408" width="9" style="3146" customWidth="1"/>
    <col min="6409" max="6409" width="31" style="3146" customWidth="1"/>
    <col min="6410" max="6411" width="7.5" style="3146" customWidth="1"/>
    <col min="6412" max="6413" width="9.625" style="3146" customWidth="1"/>
    <col min="6414" max="6414" width="6.25" style="3146" customWidth="1"/>
    <col min="6415" max="6656" width="9" style="3146"/>
    <col min="6657" max="6657" width="34.5" style="3146" customWidth="1"/>
    <col min="6658" max="6658" width="6.25" style="3146" customWidth="1"/>
    <col min="6659" max="6659" width="7.875" style="3146" customWidth="1"/>
    <col min="6660" max="6661" width="11.25" style="3146" customWidth="1"/>
    <col min="6662" max="6662" width="10.875" style="3146" customWidth="1"/>
    <col min="6663" max="6663" width="7.875" style="3146" customWidth="1"/>
    <col min="6664" max="6664" width="9" style="3146" customWidth="1"/>
    <col min="6665" max="6665" width="31" style="3146" customWidth="1"/>
    <col min="6666" max="6667" width="7.5" style="3146" customWidth="1"/>
    <col min="6668" max="6669" width="9.625" style="3146" customWidth="1"/>
    <col min="6670" max="6670" width="6.25" style="3146" customWidth="1"/>
    <col min="6671" max="6912" width="9" style="3146"/>
    <col min="6913" max="6913" width="34.5" style="3146" customWidth="1"/>
    <col min="6914" max="6914" width="6.25" style="3146" customWidth="1"/>
    <col min="6915" max="6915" width="7.875" style="3146" customWidth="1"/>
    <col min="6916" max="6917" width="11.25" style="3146" customWidth="1"/>
    <col min="6918" max="6918" width="10.875" style="3146" customWidth="1"/>
    <col min="6919" max="6919" width="7.875" style="3146" customWidth="1"/>
    <col min="6920" max="6920" width="9" style="3146" customWidth="1"/>
    <col min="6921" max="6921" width="31" style="3146" customWidth="1"/>
    <col min="6922" max="6923" width="7.5" style="3146" customWidth="1"/>
    <col min="6924" max="6925" width="9.625" style="3146" customWidth="1"/>
    <col min="6926" max="6926" width="6.25" style="3146" customWidth="1"/>
    <col min="6927" max="7168" width="9" style="3146"/>
    <col min="7169" max="7169" width="34.5" style="3146" customWidth="1"/>
    <col min="7170" max="7170" width="6.25" style="3146" customWidth="1"/>
    <col min="7171" max="7171" width="7.875" style="3146" customWidth="1"/>
    <col min="7172" max="7173" width="11.25" style="3146" customWidth="1"/>
    <col min="7174" max="7174" width="10.875" style="3146" customWidth="1"/>
    <col min="7175" max="7175" width="7.875" style="3146" customWidth="1"/>
    <col min="7176" max="7176" width="9" style="3146" customWidth="1"/>
    <col min="7177" max="7177" width="31" style="3146" customWidth="1"/>
    <col min="7178" max="7179" width="7.5" style="3146" customWidth="1"/>
    <col min="7180" max="7181" width="9.625" style="3146" customWidth="1"/>
    <col min="7182" max="7182" width="6.25" style="3146" customWidth="1"/>
    <col min="7183" max="7424" width="9" style="3146"/>
    <col min="7425" max="7425" width="34.5" style="3146" customWidth="1"/>
    <col min="7426" max="7426" width="6.25" style="3146" customWidth="1"/>
    <col min="7427" max="7427" width="7.875" style="3146" customWidth="1"/>
    <col min="7428" max="7429" width="11.25" style="3146" customWidth="1"/>
    <col min="7430" max="7430" width="10.875" style="3146" customWidth="1"/>
    <col min="7431" max="7431" width="7.875" style="3146" customWidth="1"/>
    <col min="7432" max="7432" width="9" style="3146" customWidth="1"/>
    <col min="7433" max="7433" width="31" style="3146" customWidth="1"/>
    <col min="7434" max="7435" width="7.5" style="3146" customWidth="1"/>
    <col min="7436" max="7437" width="9.625" style="3146" customWidth="1"/>
    <col min="7438" max="7438" width="6.25" style="3146" customWidth="1"/>
    <col min="7439" max="7680" width="9" style="3146"/>
    <col min="7681" max="7681" width="34.5" style="3146" customWidth="1"/>
    <col min="7682" max="7682" width="6.25" style="3146" customWidth="1"/>
    <col min="7683" max="7683" width="7.875" style="3146" customWidth="1"/>
    <col min="7684" max="7685" width="11.25" style="3146" customWidth="1"/>
    <col min="7686" max="7686" width="10.875" style="3146" customWidth="1"/>
    <col min="7687" max="7687" width="7.875" style="3146" customWidth="1"/>
    <col min="7688" max="7688" width="9" style="3146" customWidth="1"/>
    <col min="7689" max="7689" width="31" style="3146" customWidth="1"/>
    <col min="7690" max="7691" width="7.5" style="3146" customWidth="1"/>
    <col min="7692" max="7693" width="9.625" style="3146" customWidth="1"/>
    <col min="7694" max="7694" width="6.25" style="3146" customWidth="1"/>
    <col min="7695" max="7936" width="9" style="3146"/>
    <col min="7937" max="7937" width="34.5" style="3146" customWidth="1"/>
    <col min="7938" max="7938" width="6.25" style="3146" customWidth="1"/>
    <col min="7939" max="7939" width="7.875" style="3146" customWidth="1"/>
    <col min="7940" max="7941" width="11.25" style="3146" customWidth="1"/>
    <col min="7942" max="7942" width="10.875" style="3146" customWidth="1"/>
    <col min="7943" max="7943" width="7.875" style="3146" customWidth="1"/>
    <col min="7944" max="7944" width="9" style="3146" customWidth="1"/>
    <col min="7945" max="7945" width="31" style="3146" customWidth="1"/>
    <col min="7946" max="7947" width="7.5" style="3146" customWidth="1"/>
    <col min="7948" max="7949" width="9.625" style="3146" customWidth="1"/>
    <col min="7950" max="7950" width="6.25" style="3146" customWidth="1"/>
    <col min="7951" max="8192" width="9" style="3146"/>
    <col min="8193" max="8193" width="34.5" style="3146" customWidth="1"/>
    <col min="8194" max="8194" width="6.25" style="3146" customWidth="1"/>
    <col min="8195" max="8195" width="7.875" style="3146" customWidth="1"/>
    <col min="8196" max="8197" width="11.25" style="3146" customWidth="1"/>
    <col min="8198" max="8198" width="10.875" style="3146" customWidth="1"/>
    <col min="8199" max="8199" width="7.875" style="3146" customWidth="1"/>
    <col min="8200" max="8200" width="9" style="3146" customWidth="1"/>
    <col min="8201" max="8201" width="31" style="3146" customWidth="1"/>
    <col min="8202" max="8203" width="7.5" style="3146" customWidth="1"/>
    <col min="8204" max="8205" width="9.625" style="3146" customWidth="1"/>
    <col min="8206" max="8206" width="6.25" style="3146" customWidth="1"/>
    <col min="8207" max="8448" width="9" style="3146"/>
    <col min="8449" max="8449" width="34.5" style="3146" customWidth="1"/>
    <col min="8450" max="8450" width="6.25" style="3146" customWidth="1"/>
    <col min="8451" max="8451" width="7.875" style="3146" customWidth="1"/>
    <col min="8452" max="8453" width="11.25" style="3146" customWidth="1"/>
    <col min="8454" max="8454" width="10.875" style="3146" customWidth="1"/>
    <col min="8455" max="8455" width="7.875" style="3146" customWidth="1"/>
    <col min="8456" max="8456" width="9" style="3146" customWidth="1"/>
    <col min="8457" max="8457" width="31" style="3146" customWidth="1"/>
    <col min="8458" max="8459" width="7.5" style="3146" customWidth="1"/>
    <col min="8460" max="8461" width="9.625" style="3146" customWidth="1"/>
    <col min="8462" max="8462" width="6.25" style="3146" customWidth="1"/>
    <col min="8463" max="8704" width="9" style="3146"/>
    <col min="8705" max="8705" width="34.5" style="3146" customWidth="1"/>
    <col min="8706" max="8706" width="6.25" style="3146" customWidth="1"/>
    <col min="8707" max="8707" width="7.875" style="3146" customWidth="1"/>
    <col min="8708" max="8709" width="11.25" style="3146" customWidth="1"/>
    <col min="8710" max="8710" width="10.875" style="3146" customWidth="1"/>
    <col min="8711" max="8711" width="7.875" style="3146" customWidth="1"/>
    <col min="8712" max="8712" width="9" style="3146" customWidth="1"/>
    <col min="8713" max="8713" width="31" style="3146" customWidth="1"/>
    <col min="8714" max="8715" width="7.5" style="3146" customWidth="1"/>
    <col min="8716" max="8717" width="9.625" style="3146" customWidth="1"/>
    <col min="8718" max="8718" width="6.25" style="3146" customWidth="1"/>
    <col min="8719" max="8960" width="9" style="3146"/>
    <col min="8961" max="8961" width="34.5" style="3146" customWidth="1"/>
    <col min="8962" max="8962" width="6.25" style="3146" customWidth="1"/>
    <col min="8963" max="8963" width="7.875" style="3146" customWidth="1"/>
    <col min="8964" max="8965" width="11.25" style="3146" customWidth="1"/>
    <col min="8966" max="8966" width="10.875" style="3146" customWidth="1"/>
    <col min="8967" max="8967" width="7.875" style="3146" customWidth="1"/>
    <col min="8968" max="8968" width="9" style="3146" customWidth="1"/>
    <col min="8969" max="8969" width="31" style="3146" customWidth="1"/>
    <col min="8970" max="8971" width="7.5" style="3146" customWidth="1"/>
    <col min="8972" max="8973" width="9.625" style="3146" customWidth="1"/>
    <col min="8974" max="8974" width="6.25" style="3146" customWidth="1"/>
    <col min="8975" max="9216" width="9" style="3146"/>
    <col min="9217" max="9217" width="34.5" style="3146" customWidth="1"/>
    <col min="9218" max="9218" width="6.25" style="3146" customWidth="1"/>
    <col min="9219" max="9219" width="7.875" style="3146" customWidth="1"/>
    <col min="9220" max="9221" width="11.25" style="3146" customWidth="1"/>
    <col min="9222" max="9222" width="10.875" style="3146" customWidth="1"/>
    <col min="9223" max="9223" width="7.875" style="3146" customWidth="1"/>
    <col min="9224" max="9224" width="9" style="3146" customWidth="1"/>
    <col min="9225" max="9225" width="31" style="3146" customWidth="1"/>
    <col min="9226" max="9227" width="7.5" style="3146" customWidth="1"/>
    <col min="9228" max="9229" width="9.625" style="3146" customWidth="1"/>
    <col min="9230" max="9230" width="6.25" style="3146" customWidth="1"/>
    <col min="9231" max="9472" width="9" style="3146"/>
    <col min="9473" max="9473" width="34.5" style="3146" customWidth="1"/>
    <col min="9474" max="9474" width="6.25" style="3146" customWidth="1"/>
    <col min="9475" max="9475" width="7.875" style="3146" customWidth="1"/>
    <col min="9476" max="9477" width="11.25" style="3146" customWidth="1"/>
    <col min="9478" max="9478" width="10.875" style="3146" customWidth="1"/>
    <col min="9479" max="9479" width="7.875" style="3146" customWidth="1"/>
    <col min="9480" max="9480" width="9" style="3146" customWidth="1"/>
    <col min="9481" max="9481" width="31" style="3146" customWidth="1"/>
    <col min="9482" max="9483" width="7.5" style="3146" customWidth="1"/>
    <col min="9484" max="9485" width="9.625" style="3146" customWidth="1"/>
    <col min="9486" max="9486" width="6.25" style="3146" customWidth="1"/>
    <col min="9487" max="9728" width="9" style="3146"/>
    <col min="9729" max="9729" width="34.5" style="3146" customWidth="1"/>
    <col min="9730" max="9730" width="6.25" style="3146" customWidth="1"/>
    <col min="9731" max="9731" width="7.875" style="3146" customWidth="1"/>
    <col min="9732" max="9733" width="11.25" style="3146" customWidth="1"/>
    <col min="9734" max="9734" width="10.875" style="3146" customWidth="1"/>
    <col min="9735" max="9735" width="7.875" style="3146" customWidth="1"/>
    <col min="9736" max="9736" width="9" style="3146" customWidth="1"/>
    <col min="9737" max="9737" width="31" style="3146" customWidth="1"/>
    <col min="9738" max="9739" width="7.5" style="3146" customWidth="1"/>
    <col min="9740" max="9741" width="9.625" style="3146" customWidth="1"/>
    <col min="9742" max="9742" width="6.25" style="3146" customWidth="1"/>
    <col min="9743" max="9984" width="9" style="3146"/>
    <col min="9985" max="9985" width="34.5" style="3146" customWidth="1"/>
    <col min="9986" max="9986" width="6.25" style="3146" customWidth="1"/>
    <col min="9987" max="9987" width="7.875" style="3146" customWidth="1"/>
    <col min="9988" max="9989" width="11.25" style="3146" customWidth="1"/>
    <col min="9990" max="9990" width="10.875" style="3146" customWidth="1"/>
    <col min="9991" max="9991" width="7.875" style="3146" customWidth="1"/>
    <col min="9992" max="9992" width="9" style="3146" customWidth="1"/>
    <col min="9993" max="9993" width="31" style="3146" customWidth="1"/>
    <col min="9994" max="9995" width="7.5" style="3146" customWidth="1"/>
    <col min="9996" max="9997" width="9.625" style="3146" customWidth="1"/>
    <col min="9998" max="9998" width="6.25" style="3146" customWidth="1"/>
    <col min="9999" max="10240" width="9" style="3146"/>
    <col min="10241" max="10241" width="34.5" style="3146" customWidth="1"/>
    <col min="10242" max="10242" width="6.25" style="3146" customWidth="1"/>
    <col min="10243" max="10243" width="7.875" style="3146" customWidth="1"/>
    <col min="10244" max="10245" width="11.25" style="3146" customWidth="1"/>
    <col min="10246" max="10246" width="10.875" style="3146" customWidth="1"/>
    <col min="10247" max="10247" width="7.875" style="3146" customWidth="1"/>
    <col min="10248" max="10248" width="9" style="3146" customWidth="1"/>
    <col min="10249" max="10249" width="31" style="3146" customWidth="1"/>
    <col min="10250" max="10251" width="7.5" style="3146" customWidth="1"/>
    <col min="10252" max="10253" width="9.625" style="3146" customWidth="1"/>
    <col min="10254" max="10254" width="6.25" style="3146" customWidth="1"/>
    <col min="10255" max="10496" width="9" style="3146"/>
    <col min="10497" max="10497" width="34.5" style="3146" customWidth="1"/>
    <col min="10498" max="10498" width="6.25" style="3146" customWidth="1"/>
    <col min="10499" max="10499" width="7.875" style="3146" customWidth="1"/>
    <col min="10500" max="10501" width="11.25" style="3146" customWidth="1"/>
    <col min="10502" max="10502" width="10.875" style="3146" customWidth="1"/>
    <col min="10503" max="10503" width="7.875" style="3146" customWidth="1"/>
    <col min="10504" max="10504" width="9" style="3146" customWidth="1"/>
    <col min="10505" max="10505" width="31" style="3146" customWidth="1"/>
    <col min="10506" max="10507" width="7.5" style="3146" customWidth="1"/>
    <col min="10508" max="10509" width="9.625" style="3146" customWidth="1"/>
    <col min="10510" max="10510" width="6.25" style="3146" customWidth="1"/>
    <col min="10511" max="10752" width="9" style="3146"/>
    <col min="10753" max="10753" width="34.5" style="3146" customWidth="1"/>
    <col min="10754" max="10754" width="6.25" style="3146" customWidth="1"/>
    <col min="10755" max="10755" width="7.875" style="3146" customWidth="1"/>
    <col min="10756" max="10757" width="11.25" style="3146" customWidth="1"/>
    <col min="10758" max="10758" width="10.875" style="3146" customWidth="1"/>
    <col min="10759" max="10759" width="7.875" style="3146" customWidth="1"/>
    <col min="10760" max="10760" width="9" style="3146" customWidth="1"/>
    <col min="10761" max="10761" width="31" style="3146" customWidth="1"/>
    <col min="10762" max="10763" width="7.5" style="3146" customWidth="1"/>
    <col min="10764" max="10765" width="9.625" style="3146" customWidth="1"/>
    <col min="10766" max="10766" width="6.25" style="3146" customWidth="1"/>
    <col min="10767" max="11008" width="9" style="3146"/>
    <col min="11009" max="11009" width="34.5" style="3146" customWidth="1"/>
    <col min="11010" max="11010" width="6.25" style="3146" customWidth="1"/>
    <col min="11011" max="11011" width="7.875" style="3146" customWidth="1"/>
    <col min="11012" max="11013" width="11.25" style="3146" customWidth="1"/>
    <col min="11014" max="11014" width="10.875" style="3146" customWidth="1"/>
    <col min="11015" max="11015" width="7.875" style="3146" customWidth="1"/>
    <col min="11016" max="11016" width="9" style="3146" customWidth="1"/>
    <col min="11017" max="11017" width="31" style="3146" customWidth="1"/>
    <col min="11018" max="11019" width="7.5" style="3146" customWidth="1"/>
    <col min="11020" max="11021" width="9.625" style="3146" customWidth="1"/>
    <col min="11022" max="11022" width="6.25" style="3146" customWidth="1"/>
    <col min="11023" max="11264" width="9" style="3146"/>
    <col min="11265" max="11265" width="34.5" style="3146" customWidth="1"/>
    <col min="11266" max="11266" width="6.25" style="3146" customWidth="1"/>
    <col min="11267" max="11267" width="7.875" style="3146" customWidth="1"/>
    <col min="11268" max="11269" width="11.25" style="3146" customWidth="1"/>
    <col min="11270" max="11270" width="10.875" style="3146" customWidth="1"/>
    <col min="11271" max="11271" width="7.875" style="3146" customWidth="1"/>
    <col min="11272" max="11272" width="9" style="3146" customWidth="1"/>
    <col min="11273" max="11273" width="31" style="3146" customWidth="1"/>
    <col min="11274" max="11275" width="7.5" style="3146" customWidth="1"/>
    <col min="11276" max="11277" width="9.625" style="3146" customWidth="1"/>
    <col min="11278" max="11278" width="6.25" style="3146" customWidth="1"/>
    <col min="11279" max="11520" width="9" style="3146"/>
    <col min="11521" max="11521" width="34.5" style="3146" customWidth="1"/>
    <col min="11522" max="11522" width="6.25" style="3146" customWidth="1"/>
    <col min="11523" max="11523" width="7.875" style="3146" customWidth="1"/>
    <col min="11524" max="11525" width="11.25" style="3146" customWidth="1"/>
    <col min="11526" max="11526" width="10.875" style="3146" customWidth="1"/>
    <col min="11527" max="11527" width="7.875" style="3146" customWidth="1"/>
    <col min="11528" max="11528" width="9" style="3146" customWidth="1"/>
    <col min="11529" max="11529" width="31" style="3146" customWidth="1"/>
    <col min="11530" max="11531" width="7.5" style="3146" customWidth="1"/>
    <col min="11532" max="11533" width="9.625" style="3146" customWidth="1"/>
    <col min="11534" max="11534" width="6.25" style="3146" customWidth="1"/>
    <col min="11535" max="11776" width="9" style="3146"/>
    <col min="11777" max="11777" width="34.5" style="3146" customWidth="1"/>
    <col min="11778" max="11778" width="6.25" style="3146" customWidth="1"/>
    <col min="11779" max="11779" width="7.875" style="3146" customWidth="1"/>
    <col min="11780" max="11781" width="11.25" style="3146" customWidth="1"/>
    <col min="11782" max="11782" width="10.875" style="3146" customWidth="1"/>
    <col min="11783" max="11783" width="7.875" style="3146" customWidth="1"/>
    <col min="11784" max="11784" width="9" style="3146" customWidth="1"/>
    <col min="11785" max="11785" width="31" style="3146" customWidth="1"/>
    <col min="11786" max="11787" width="7.5" style="3146" customWidth="1"/>
    <col min="11788" max="11789" width="9.625" style="3146" customWidth="1"/>
    <col min="11790" max="11790" width="6.25" style="3146" customWidth="1"/>
    <col min="11791" max="12032" width="9" style="3146"/>
    <col min="12033" max="12033" width="34.5" style="3146" customWidth="1"/>
    <col min="12034" max="12034" width="6.25" style="3146" customWidth="1"/>
    <col min="12035" max="12035" width="7.875" style="3146" customWidth="1"/>
    <col min="12036" max="12037" width="11.25" style="3146" customWidth="1"/>
    <col min="12038" max="12038" width="10.875" style="3146" customWidth="1"/>
    <col min="12039" max="12039" width="7.875" style="3146" customWidth="1"/>
    <col min="12040" max="12040" width="9" style="3146" customWidth="1"/>
    <col min="12041" max="12041" width="31" style="3146" customWidth="1"/>
    <col min="12042" max="12043" width="7.5" style="3146" customWidth="1"/>
    <col min="12044" max="12045" width="9.625" style="3146" customWidth="1"/>
    <col min="12046" max="12046" width="6.25" style="3146" customWidth="1"/>
    <col min="12047" max="12288" width="9" style="3146"/>
    <col min="12289" max="12289" width="34.5" style="3146" customWidth="1"/>
    <col min="12290" max="12290" width="6.25" style="3146" customWidth="1"/>
    <col min="12291" max="12291" width="7.875" style="3146" customWidth="1"/>
    <col min="12292" max="12293" width="11.25" style="3146" customWidth="1"/>
    <col min="12294" max="12294" width="10.875" style="3146" customWidth="1"/>
    <col min="12295" max="12295" width="7.875" style="3146" customWidth="1"/>
    <col min="12296" max="12296" width="9" style="3146" customWidth="1"/>
    <col min="12297" max="12297" width="31" style="3146" customWidth="1"/>
    <col min="12298" max="12299" width="7.5" style="3146" customWidth="1"/>
    <col min="12300" max="12301" width="9.625" style="3146" customWidth="1"/>
    <col min="12302" max="12302" width="6.25" style="3146" customWidth="1"/>
    <col min="12303" max="12544" width="9" style="3146"/>
    <col min="12545" max="12545" width="34.5" style="3146" customWidth="1"/>
    <col min="12546" max="12546" width="6.25" style="3146" customWidth="1"/>
    <col min="12547" max="12547" width="7.875" style="3146" customWidth="1"/>
    <col min="12548" max="12549" width="11.25" style="3146" customWidth="1"/>
    <col min="12550" max="12550" width="10.875" style="3146" customWidth="1"/>
    <col min="12551" max="12551" width="7.875" style="3146" customWidth="1"/>
    <col min="12552" max="12552" width="9" style="3146" customWidth="1"/>
    <col min="12553" max="12553" width="31" style="3146" customWidth="1"/>
    <col min="12554" max="12555" width="7.5" style="3146" customWidth="1"/>
    <col min="12556" max="12557" width="9.625" style="3146" customWidth="1"/>
    <col min="12558" max="12558" width="6.25" style="3146" customWidth="1"/>
    <col min="12559" max="12800" width="9" style="3146"/>
    <col min="12801" max="12801" width="34.5" style="3146" customWidth="1"/>
    <col min="12802" max="12802" width="6.25" style="3146" customWidth="1"/>
    <col min="12803" max="12803" width="7.875" style="3146" customWidth="1"/>
    <col min="12804" max="12805" width="11.25" style="3146" customWidth="1"/>
    <col min="12806" max="12806" width="10.875" style="3146" customWidth="1"/>
    <col min="12807" max="12807" width="7.875" style="3146" customWidth="1"/>
    <col min="12808" max="12808" width="9" style="3146" customWidth="1"/>
    <col min="12809" max="12809" width="31" style="3146" customWidth="1"/>
    <col min="12810" max="12811" width="7.5" style="3146" customWidth="1"/>
    <col min="12812" max="12813" width="9.625" style="3146" customWidth="1"/>
    <col min="12814" max="12814" width="6.25" style="3146" customWidth="1"/>
    <col min="12815" max="13056" width="9" style="3146"/>
    <col min="13057" max="13057" width="34.5" style="3146" customWidth="1"/>
    <col min="13058" max="13058" width="6.25" style="3146" customWidth="1"/>
    <col min="13059" max="13059" width="7.875" style="3146" customWidth="1"/>
    <col min="13060" max="13061" width="11.25" style="3146" customWidth="1"/>
    <col min="13062" max="13062" width="10.875" style="3146" customWidth="1"/>
    <col min="13063" max="13063" width="7.875" style="3146" customWidth="1"/>
    <col min="13064" max="13064" width="9" style="3146" customWidth="1"/>
    <col min="13065" max="13065" width="31" style="3146" customWidth="1"/>
    <col min="13066" max="13067" width="7.5" style="3146" customWidth="1"/>
    <col min="13068" max="13069" width="9.625" style="3146" customWidth="1"/>
    <col min="13070" max="13070" width="6.25" style="3146" customWidth="1"/>
    <col min="13071" max="13312" width="9" style="3146"/>
    <col min="13313" max="13313" width="34.5" style="3146" customWidth="1"/>
    <col min="13314" max="13314" width="6.25" style="3146" customWidth="1"/>
    <col min="13315" max="13315" width="7.875" style="3146" customWidth="1"/>
    <col min="13316" max="13317" width="11.25" style="3146" customWidth="1"/>
    <col min="13318" max="13318" width="10.875" style="3146" customWidth="1"/>
    <col min="13319" max="13319" width="7.875" style="3146" customWidth="1"/>
    <col min="13320" max="13320" width="9" style="3146" customWidth="1"/>
    <col min="13321" max="13321" width="31" style="3146" customWidth="1"/>
    <col min="13322" max="13323" width="7.5" style="3146" customWidth="1"/>
    <col min="13324" max="13325" width="9.625" style="3146" customWidth="1"/>
    <col min="13326" max="13326" width="6.25" style="3146" customWidth="1"/>
    <col min="13327" max="13568" width="9" style="3146"/>
    <col min="13569" max="13569" width="34.5" style="3146" customWidth="1"/>
    <col min="13570" max="13570" width="6.25" style="3146" customWidth="1"/>
    <col min="13571" max="13571" width="7.875" style="3146" customWidth="1"/>
    <col min="13572" max="13573" width="11.25" style="3146" customWidth="1"/>
    <col min="13574" max="13574" width="10.875" style="3146" customWidth="1"/>
    <col min="13575" max="13575" width="7.875" style="3146" customWidth="1"/>
    <col min="13576" max="13576" width="9" style="3146" customWidth="1"/>
    <col min="13577" max="13577" width="31" style="3146" customWidth="1"/>
    <col min="13578" max="13579" width="7.5" style="3146" customWidth="1"/>
    <col min="13580" max="13581" width="9.625" style="3146" customWidth="1"/>
    <col min="13582" max="13582" width="6.25" style="3146" customWidth="1"/>
    <col min="13583" max="13824" width="9" style="3146"/>
    <col min="13825" max="13825" width="34.5" style="3146" customWidth="1"/>
    <col min="13826" max="13826" width="6.25" style="3146" customWidth="1"/>
    <col min="13827" max="13827" width="7.875" style="3146" customWidth="1"/>
    <col min="13828" max="13829" width="11.25" style="3146" customWidth="1"/>
    <col min="13830" max="13830" width="10.875" style="3146" customWidth="1"/>
    <col min="13831" max="13831" width="7.875" style="3146" customWidth="1"/>
    <col min="13832" max="13832" width="9" style="3146" customWidth="1"/>
    <col min="13833" max="13833" width="31" style="3146" customWidth="1"/>
    <col min="13834" max="13835" width="7.5" style="3146" customWidth="1"/>
    <col min="13836" max="13837" width="9.625" style="3146" customWidth="1"/>
    <col min="13838" max="13838" width="6.25" style="3146" customWidth="1"/>
    <col min="13839" max="14080" width="9" style="3146"/>
    <col min="14081" max="14081" width="34.5" style="3146" customWidth="1"/>
    <col min="14082" max="14082" width="6.25" style="3146" customWidth="1"/>
    <col min="14083" max="14083" width="7.875" style="3146" customWidth="1"/>
    <col min="14084" max="14085" width="11.25" style="3146" customWidth="1"/>
    <col min="14086" max="14086" width="10.875" style="3146" customWidth="1"/>
    <col min="14087" max="14087" width="7.875" style="3146" customWidth="1"/>
    <col min="14088" max="14088" width="9" style="3146" customWidth="1"/>
    <col min="14089" max="14089" width="31" style="3146" customWidth="1"/>
    <col min="14090" max="14091" width="7.5" style="3146" customWidth="1"/>
    <col min="14092" max="14093" width="9.625" style="3146" customWidth="1"/>
    <col min="14094" max="14094" width="6.25" style="3146" customWidth="1"/>
    <col min="14095" max="14336" width="9" style="3146"/>
    <col min="14337" max="14337" width="34.5" style="3146" customWidth="1"/>
    <col min="14338" max="14338" width="6.25" style="3146" customWidth="1"/>
    <col min="14339" max="14339" width="7.875" style="3146" customWidth="1"/>
    <col min="14340" max="14341" width="11.25" style="3146" customWidth="1"/>
    <col min="14342" max="14342" width="10.875" style="3146" customWidth="1"/>
    <col min="14343" max="14343" width="7.875" style="3146" customWidth="1"/>
    <col min="14344" max="14344" width="9" style="3146" customWidth="1"/>
    <col min="14345" max="14345" width="31" style="3146" customWidth="1"/>
    <col min="14346" max="14347" width="7.5" style="3146" customWidth="1"/>
    <col min="14348" max="14349" width="9.625" style="3146" customWidth="1"/>
    <col min="14350" max="14350" width="6.25" style="3146" customWidth="1"/>
    <col min="14351" max="14592" width="9" style="3146"/>
    <col min="14593" max="14593" width="34.5" style="3146" customWidth="1"/>
    <col min="14594" max="14594" width="6.25" style="3146" customWidth="1"/>
    <col min="14595" max="14595" width="7.875" style="3146" customWidth="1"/>
    <col min="14596" max="14597" width="11.25" style="3146" customWidth="1"/>
    <col min="14598" max="14598" width="10.875" style="3146" customWidth="1"/>
    <col min="14599" max="14599" width="7.875" style="3146" customWidth="1"/>
    <col min="14600" max="14600" width="9" style="3146" customWidth="1"/>
    <col min="14601" max="14601" width="31" style="3146" customWidth="1"/>
    <col min="14602" max="14603" width="7.5" style="3146" customWidth="1"/>
    <col min="14604" max="14605" width="9.625" style="3146" customWidth="1"/>
    <col min="14606" max="14606" width="6.25" style="3146" customWidth="1"/>
    <col min="14607" max="14848" width="9" style="3146"/>
    <col min="14849" max="14849" width="34.5" style="3146" customWidth="1"/>
    <col min="14850" max="14850" width="6.25" style="3146" customWidth="1"/>
    <col min="14851" max="14851" width="7.875" style="3146" customWidth="1"/>
    <col min="14852" max="14853" width="11.25" style="3146" customWidth="1"/>
    <col min="14854" max="14854" width="10.875" style="3146" customWidth="1"/>
    <col min="14855" max="14855" width="7.875" style="3146" customWidth="1"/>
    <col min="14856" max="14856" width="9" style="3146" customWidth="1"/>
    <col min="14857" max="14857" width="31" style="3146" customWidth="1"/>
    <col min="14858" max="14859" width="7.5" style="3146" customWidth="1"/>
    <col min="14860" max="14861" width="9.625" style="3146" customWidth="1"/>
    <col min="14862" max="14862" width="6.25" style="3146" customWidth="1"/>
    <col min="14863" max="15104" width="9" style="3146"/>
    <col min="15105" max="15105" width="34.5" style="3146" customWidth="1"/>
    <col min="15106" max="15106" width="6.25" style="3146" customWidth="1"/>
    <col min="15107" max="15107" width="7.875" style="3146" customWidth="1"/>
    <col min="15108" max="15109" width="11.25" style="3146" customWidth="1"/>
    <col min="15110" max="15110" width="10.875" style="3146" customWidth="1"/>
    <col min="15111" max="15111" width="7.875" style="3146" customWidth="1"/>
    <col min="15112" max="15112" width="9" style="3146" customWidth="1"/>
    <col min="15113" max="15113" width="31" style="3146" customWidth="1"/>
    <col min="15114" max="15115" width="7.5" style="3146" customWidth="1"/>
    <col min="15116" max="15117" width="9.625" style="3146" customWidth="1"/>
    <col min="15118" max="15118" width="6.25" style="3146" customWidth="1"/>
    <col min="15119" max="15360" width="9" style="3146"/>
    <col min="15361" max="15361" width="34.5" style="3146" customWidth="1"/>
    <col min="15362" max="15362" width="6.25" style="3146" customWidth="1"/>
    <col min="15363" max="15363" width="7.875" style="3146" customWidth="1"/>
    <col min="15364" max="15365" width="11.25" style="3146" customWidth="1"/>
    <col min="15366" max="15366" width="10.875" style="3146" customWidth="1"/>
    <col min="15367" max="15367" width="7.875" style="3146" customWidth="1"/>
    <col min="15368" max="15368" width="9" style="3146" customWidth="1"/>
    <col min="15369" max="15369" width="31" style="3146" customWidth="1"/>
    <col min="15370" max="15371" width="7.5" style="3146" customWidth="1"/>
    <col min="15372" max="15373" width="9.625" style="3146" customWidth="1"/>
    <col min="15374" max="15374" width="6.25" style="3146" customWidth="1"/>
    <col min="15375" max="15616" width="9" style="3146"/>
    <col min="15617" max="15617" width="34.5" style="3146" customWidth="1"/>
    <col min="15618" max="15618" width="6.25" style="3146" customWidth="1"/>
    <col min="15619" max="15619" width="7.875" style="3146" customWidth="1"/>
    <col min="15620" max="15621" width="11.25" style="3146" customWidth="1"/>
    <col min="15622" max="15622" width="10.875" style="3146" customWidth="1"/>
    <col min="15623" max="15623" width="7.875" style="3146" customWidth="1"/>
    <col min="15624" max="15624" width="9" style="3146" customWidth="1"/>
    <col min="15625" max="15625" width="31" style="3146" customWidth="1"/>
    <col min="15626" max="15627" width="7.5" style="3146" customWidth="1"/>
    <col min="15628" max="15629" width="9.625" style="3146" customWidth="1"/>
    <col min="15630" max="15630" width="6.25" style="3146" customWidth="1"/>
    <col min="15631" max="15872" width="9" style="3146"/>
    <col min="15873" max="15873" width="34.5" style="3146" customWidth="1"/>
    <col min="15874" max="15874" width="6.25" style="3146" customWidth="1"/>
    <col min="15875" max="15875" width="7.875" style="3146" customWidth="1"/>
    <col min="15876" max="15877" width="11.25" style="3146" customWidth="1"/>
    <col min="15878" max="15878" width="10.875" style="3146" customWidth="1"/>
    <col min="15879" max="15879" width="7.875" style="3146" customWidth="1"/>
    <col min="15880" max="15880" width="9" style="3146" customWidth="1"/>
    <col min="15881" max="15881" width="31" style="3146" customWidth="1"/>
    <col min="15882" max="15883" width="7.5" style="3146" customWidth="1"/>
    <col min="15884" max="15885" width="9.625" style="3146" customWidth="1"/>
    <col min="15886" max="15886" width="6.25" style="3146" customWidth="1"/>
    <col min="15887" max="16128" width="9" style="3146"/>
    <col min="16129" max="16129" width="34.5" style="3146" customWidth="1"/>
    <col min="16130" max="16130" width="6.25" style="3146" customWidth="1"/>
    <col min="16131" max="16131" width="7.875" style="3146" customWidth="1"/>
    <col min="16132" max="16133" width="11.25" style="3146" customWidth="1"/>
    <col min="16134" max="16134" width="10.875" style="3146" customWidth="1"/>
    <col min="16135" max="16135" width="7.875" style="3146" customWidth="1"/>
    <col min="16136" max="16136" width="9" style="3146" customWidth="1"/>
    <col min="16137" max="16137" width="31" style="3146" customWidth="1"/>
    <col min="16138" max="16139" width="7.5" style="3146" customWidth="1"/>
    <col min="16140" max="16141" width="9.625" style="3146" customWidth="1"/>
    <col min="16142" max="16142" width="6.25" style="3146" customWidth="1"/>
    <col min="16143" max="16384" width="9" style="3146"/>
  </cols>
  <sheetData>
    <row r="1" spans="1:18">
      <c r="A1" s="3146" t="s">
        <v>3413</v>
      </c>
      <c r="B1" s="3146" t="s">
        <v>3414</v>
      </c>
      <c r="C1" s="3146" t="s">
        <v>3415</v>
      </c>
      <c r="D1" s="3146" t="s">
        <v>3416</v>
      </c>
      <c r="E1" s="3146" t="s">
        <v>3417</v>
      </c>
      <c r="F1" s="3146" t="s">
        <v>3418</v>
      </c>
      <c r="G1" s="3146" t="s">
        <v>3419</v>
      </c>
      <c r="H1" s="3146" t="s">
        <v>3420</v>
      </c>
      <c r="I1" s="3146" t="s">
        <v>3421</v>
      </c>
      <c r="J1" s="3146" t="s">
        <v>3422</v>
      </c>
      <c r="K1" s="3146" t="s">
        <v>3423</v>
      </c>
      <c r="L1" s="3146" t="s">
        <v>3424</v>
      </c>
      <c r="M1" s="3147" t="s">
        <v>3425</v>
      </c>
      <c r="N1" s="3146" t="s">
        <v>3426</v>
      </c>
      <c r="O1" s="3147" t="s">
        <v>3427</v>
      </c>
      <c r="P1" s="3147" t="s">
        <v>3428</v>
      </c>
      <c r="Q1" s="3147" t="s">
        <v>3429</v>
      </c>
    </row>
    <row r="2" spans="1:18">
      <c r="A2" s="3146" t="s">
        <v>3430</v>
      </c>
      <c r="B2" s="3146" t="s">
        <v>3380</v>
      </c>
      <c r="C2" s="3146" t="s">
        <v>2481</v>
      </c>
      <c r="D2" s="3146">
        <v>6837.8</v>
      </c>
      <c r="E2" s="3146">
        <v>5470.24</v>
      </c>
      <c r="F2" s="3146" t="s">
        <v>3431</v>
      </c>
      <c r="G2" s="3146" t="s">
        <v>3432</v>
      </c>
      <c r="H2" s="3146" t="s">
        <v>3433</v>
      </c>
      <c r="I2" s="3146" t="s">
        <v>3434</v>
      </c>
      <c r="J2" s="3146">
        <v>496.42</v>
      </c>
      <c r="K2" s="3146">
        <v>496.42</v>
      </c>
      <c r="L2" s="3146">
        <v>907.49</v>
      </c>
      <c r="M2" s="3146">
        <f>K2/(D2/666.67)</f>
        <v>48.399824709701946</v>
      </c>
      <c r="N2" s="3146">
        <v>0</v>
      </c>
      <c r="P2" s="3146">
        <v>1.5190999999999999</v>
      </c>
    </row>
    <row r="3" spans="1:18">
      <c r="A3" s="3146" t="s">
        <v>3435</v>
      </c>
      <c r="B3" s="3146" t="s">
        <v>3380</v>
      </c>
      <c r="C3" s="3146" t="s">
        <v>2481</v>
      </c>
      <c r="D3" s="3146">
        <v>420642.53</v>
      </c>
      <c r="E3" s="3146">
        <v>841285.06</v>
      </c>
      <c r="F3" s="3146">
        <v>2</v>
      </c>
      <c r="G3" s="3146" t="s">
        <v>3432</v>
      </c>
      <c r="H3" s="3146" t="s">
        <v>3436</v>
      </c>
      <c r="I3" s="3146" t="s">
        <v>3437</v>
      </c>
      <c r="J3" s="3146">
        <v>49383.43</v>
      </c>
      <c r="K3" s="3146">
        <v>49383.43</v>
      </c>
      <c r="L3" s="3146">
        <v>587</v>
      </c>
      <c r="M3" s="3146">
        <f t="shared" ref="M3:M61" si="0">K3/(D3/666.67)</f>
        <v>78.267053210477783</v>
      </c>
      <c r="N3" s="3146">
        <v>0</v>
      </c>
    </row>
    <row r="4" spans="1:18">
      <c r="A4" s="3146" t="s">
        <v>3438</v>
      </c>
      <c r="B4" s="3146" t="s">
        <v>3380</v>
      </c>
      <c r="C4" s="3146" t="s">
        <v>2481</v>
      </c>
      <c r="D4" s="3146">
        <v>15343</v>
      </c>
      <c r="E4" s="3146">
        <v>36000</v>
      </c>
      <c r="F4" s="3146" t="s">
        <v>3439</v>
      </c>
      <c r="G4" s="3146" t="s">
        <v>3432</v>
      </c>
      <c r="H4" s="3146" t="s">
        <v>3440</v>
      </c>
      <c r="I4" s="3146" t="s">
        <v>3441</v>
      </c>
      <c r="J4" s="3146">
        <v>11401.2</v>
      </c>
      <c r="K4" s="3146">
        <v>11401.2</v>
      </c>
      <c r="L4" s="3146">
        <v>3167</v>
      </c>
      <c r="M4" s="3146">
        <f t="shared" si="0"/>
        <v>495.39451241608549</v>
      </c>
      <c r="N4" s="3146">
        <v>0</v>
      </c>
    </row>
    <row r="5" spans="1:18">
      <c r="A5" s="3146" t="s">
        <v>3442</v>
      </c>
      <c r="B5" s="3146" t="s">
        <v>3380</v>
      </c>
      <c r="C5" s="3146" t="s">
        <v>2481</v>
      </c>
      <c r="D5" s="3146">
        <v>21884.6</v>
      </c>
      <c r="E5" s="3146">
        <v>32826.9</v>
      </c>
      <c r="F5" s="3146" t="s">
        <v>3443</v>
      </c>
      <c r="G5" s="3146" t="s">
        <v>3432</v>
      </c>
      <c r="H5" s="3146" t="s">
        <v>3440</v>
      </c>
      <c r="I5" s="3146" t="s">
        <v>3444</v>
      </c>
      <c r="J5" s="3146">
        <v>3308.95</v>
      </c>
      <c r="K5" s="3146">
        <v>3308.95</v>
      </c>
      <c r="L5" s="3146">
        <v>1008</v>
      </c>
      <c r="M5" s="3146">
        <f t="shared" si="0"/>
        <v>100.80045769627957</v>
      </c>
      <c r="N5" s="3146">
        <v>0</v>
      </c>
    </row>
    <row r="6" spans="1:18">
      <c r="A6" s="3146" t="s">
        <v>3445</v>
      </c>
      <c r="B6" s="3146" t="s">
        <v>3380</v>
      </c>
      <c r="C6" s="3146" t="s">
        <v>2481</v>
      </c>
      <c r="D6" s="3146">
        <v>3658.3</v>
      </c>
      <c r="E6" s="3146">
        <v>3900</v>
      </c>
      <c r="F6" s="3146" t="s">
        <v>3446</v>
      </c>
      <c r="G6" s="3146" t="s">
        <v>3432</v>
      </c>
      <c r="H6" s="3146" t="s">
        <v>3440</v>
      </c>
      <c r="I6" s="3146" t="s">
        <v>3444</v>
      </c>
      <c r="J6" s="3146">
        <v>368.94</v>
      </c>
      <c r="K6" s="3146">
        <v>368.94</v>
      </c>
      <c r="L6" s="3146">
        <v>946</v>
      </c>
      <c r="M6" s="3146">
        <f t="shared" si="0"/>
        <v>67.233750594538435</v>
      </c>
      <c r="N6" s="3146">
        <v>0</v>
      </c>
    </row>
    <row r="7" spans="1:18">
      <c r="A7" s="3146" t="s">
        <v>3447</v>
      </c>
      <c r="B7" s="3146" t="s">
        <v>3380</v>
      </c>
      <c r="C7" s="3146" t="s">
        <v>2481</v>
      </c>
      <c r="D7" s="3146">
        <v>25334.799999999999</v>
      </c>
      <c r="E7" s="3146">
        <v>38002.199999999997</v>
      </c>
      <c r="F7" s="3146">
        <v>1.5</v>
      </c>
      <c r="G7" s="3146" t="s">
        <v>3432</v>
      </c>
      <c r="H7" s="3146" t="s">
        <v>3448</v>
      </c>
      <c r="I7" s="3146" t="s">
        <v>3449</v>
      </c>
      <c r="J7" s="3146">
        <v>2169.9299999999998</v>
      </c>
      <c r="K7" s="3146">
        <v>2169.9299999999998</v>
      </c>
      <c r="L7" s="3146">
        <v>571</v>
      </c>
      <c r="M7" s="3146">
        <f t="shared" si="0"/>
        <v>57.100400757061422</v>
      </c>
      <c r="N7" s="3146">
        <v>0</v>
      </c>
    </row>
    <row r="8" spans="1:18">
      <c r="A8" s="3146" t="s">
        <v>3450</v>
      </c>
      <c r="B8" s="3146" t="s">
        <v>3380</v>
      </c>
      <c r="C8" s="3146" t="s">
        <v>2481</v>
      </c>
      <c r="D8" s="3146">
        <v>52790.03</v>
      </c>
      <c r="E8" s="3146">
        <v>79185.05</v>
      </c>
      <c r="F8" s="3146" t="s">
        <v>3451</v>
      </c>
      <c r="G8" s="3146" t="s">
        <v>3432</v>
      </c>
      <c r="H8" s="3146" t="s">
        <v>3452</v>
      </c>
      <c r="I8" s="3146" t="s">
        <v>3453</v>
      </c>
      <c r="J8" s="3146">
        <v>9429.41</v>
      </c>
      <c r="K8" s="3146">
        <v>9429.41</v>
      </c>
      <c r="L8" s="3146">
        <v>1190.81</v>
      </c>
      <c r="M8" s="3146">
        <f t="shared" si="0"/>
        <v>119.08128797615761</v>
      </c>
      <c r="N8" s="3146">
        <v>0</v>
      </c>
    </row>
    <row r="9" spans="1:18">
      <c r="A9" s="3146" t="s">
        <v>3454</v>
      </c>
      <c r="B9" s="3146" t="s">
        <v>3380</v>
      </c>
      <c r="C9" s="3146" t="s">
        <v>2481</v>
      </c>
      <c r="D9" s="3146">
        <v>19670.8</v>
      </c>
      <c r="E9" s="3146">
        <v>29506.2</v>
      </c>
      <c r="F9" s="3146">
        <v>1.5</v>
      </c>
      <c r="G9" s="3146" t="s">
        <v>3432</v>
      </c>
      <c r="H9" s="3146" t="s">
        <v>3455</v>
      </c>
      <c r="I9" s="3146" t="s">
        <v>3456</v>
      </c>
      <c r="J9" s="3146">
        <v>1684.8</v>
      </c>
      <c r="K9" s="3146">
        <v>1684.8</v>
      </c>
      <c r="L9" s="3146">
        <v>571</v>
      </c>
      <c r="M9" s="3146">
        <f t="shared" si="0"/>
        <v>57.100149256766372</v>
      </c>
      <c r="N9" s="3146">
        <v>0</v>
      </c>
    </row>
    <row r="10" spans="1:18">
      <c r="A10" s="3146" t="s">
        <v>3457</v>
      </c>
      <c r="B10" s="3146" t="s">
        <v>3380</v>
      </c>
      <c r="C10" s="3146" t="s">
        <v>2481</v>
      </c>
      <c r="D10" s="3146">
        <v>24526.2</v>
      </c>
      <c r="E10" s="3146">
        <v>49052.4</v>
      </c>
      <c r="F10" s="3146">
        <v>2</v>
      </c>
      <c r="G10" s="3146" t="s">
        <v>3432</v>
      </c>
      <c r="H10" s="3146" t="s">
        <v>3455</v>
      </c>
      <c r="I10" s="3146" t="s">
        <v>3458</v>
      </c>
      <c r="J10" s="3146">
        <v>2800.89</v>
      </c>
      <c r="K10" s="3146">
        <v>2800.89</v>
      </c>
      <c r="L10" s="3146">
        <v>571</v>
      </c>
      <c r="M10" s="3146">
        <f t="shared" si="0"/>
        <v>76.133658548817181</v>
      </c>
      <c r="N10" s="3146">
        <v>0</v>
      </c>
    </row>
    <row r="11" spans="1:18" s="3148" customFormat="1">
      <c r="A11" s="3148" t="s">
        <v>3459</v>
      </c>
      <c r="B11" s="3148" t="s">
        <v>3380</v>
      </c>
      <c r="C11" s="3148" t="s">
        <v>2481</v>
      </c>
      <c r="D11" s="3148">
        <v>26316.6</v>
      </c>
      <c r="E11" s="3148">
        <v>30264.09</v>
      </c>
      <c r="F11" s="3148" t="s">
        <v>3460</v>
      </c>
      <c r="G11" s="3148" t="s">
        <v>3432</v>
      </c>
      <c r="H11" s="3148" t="s">
        <v>3461</v>
      </c>
      <c r="I11" s="3148" t="s">
        <v>3462</v>
      </c>
      <c r="J11" s="3148">
        <v>1973.22</v>
      </c>
      <c r="K11" s="3148">
        <v>1973.22</v>
      </c>
      <c r="L11" s="3148">
        <v>652</v>
      </c>
      <c r="M11" s="3148">
        <f t="shared" si="0"/>
        <v>49.986950343129436</v>
      </c>
      <c r="N11" s="3148">
        <v>0</v>
      </c>
      <c r="O11" s="3148">
        <v>20</v>
      </c>
      <c r="P11" s="3148">
        <f>L11*P2</f>
        <v>990.45319999999992</v>
      </c>
      <c r="Q11" s="3148">
        <f>P11/R11</f>
        <v>1038.5374855824682</v>
      </c>
      <c r="R11" s="3148">
        <v>0.95369999999999999</v>
      </c>
    </row>
    <row r="12" spans="1:18" s="3148" customFormat="1">
      <c r="A12" s="3148" t="s">
        <v>3463</v>
      </c>
      <c r="B12" s="3148" t="s">
        <v>3380</v>
      </c>
      <c r="C12" s="3148" t="s">
        <v>2481</v>
      </c>
      <c r="D12" s="3148">
        <v>10526.1</v>
      </c>
      <c r="E12" s="3148">
        <v>12631.32</v>
      </c>
      <c r="F12" s="3148">
        <v>1.2</v>
      </c>
      <c r="G12" s="3148" t="s">
        <v>3432</v>
      </c>
      <c r="H12" s="3148" t="s">
        <v>3461</v>
      </c>
      <c r="I12" s="3148" t="s">
        <v>3464</v>
      </c>
      <c r="J12" s="3148">
        <v>823.56</v>
      </c>
      <c r="K12" s="3148">
        <v>823.56</v>
      </c>
      <c r="L12" s="3148">
        <v>652</v>
      </c>
      <c r="M12" s="3148">
        <f t="shared" si="0"/>
        <v>52.160130076666562</v>
      </c>
      <c r="N12" s="3148">
        <v>0</v>
      </c>
      <c r="O12" s="3148">
        <v>20</v>
      </c>
      <c r="P12" s="3148">
        <f>L12*P2</f>
        <v>990.45319999999992</v>
      </c>
      <c r="Q12" s="3148">
        <f>P12/R12</f>
        <v>1055.0204516403919</v>
      </c>
      <c r="R12" s="3148">
        <v>0.93879999999999997</v>
      </c>
    </row>
    <row r="13" spans="1:18">
      <c r="A13" s="3146" t="s">
        <v>3465</v>
      </c>
      <c r="B13" s="3146" t="s">
        <v>3380</v>
      </c>
      <c r="C13" s="3146" t="s">
        <v>2481</v>
      </c>
      <c r="D13" s="3146">
        <v>15975.8</v>
      </c>
      <c r="E13" s="3146">
        <v>23963.7</v>
      </c>
      <c r="F13" s="3146" t="s">
        <v>3451</v>
      </c>
      <c r="G13" s="3146" t="s">
        <v>3432</v>
      </c>
      <c r="H13" s="3146" t="s">
        <v>3466</v>
      </c>
      <c r="I13" s="3146" t="s">
        <v>3467</v>
      </c>
      <c r="J13" s="3146">
        <v>1368.33</v>
      </c>
      <c r="K13" s="3146">
        <v>1368.33</v>
      </c>
      <c r="L13" s="3146">
        <v>571</v>
      </c>
      <c r="M13" s="3146">
        <f t="shared" si="0"/>
        <v>57.100399422877096</v>
      </c>
      <c r="N13" s="3146">
        <v>0</v>
      </c>
    </row>
    <row r="14" spans="1:18">
      <c r="A14" s="3146" t="s">
        <v>3468</v>
      </c>
      <c r="B14" s="3146" t="s">
        <v>3380</v>
      </c>
      <c r="C14" s="3146" t="s">
        <v>2481</v>
      </c>
      <c r="D14" s="3146">
        <v>7506.5</v>
      </c>
      <c r="E14" s="3146">
        <v>11259.75</v>
      </c>
      <c r="F14" s="3146" t="s">
        <v>3451</v>
      </c>
      <c r="G14" s="3146" t="s">
        <v>3432</v>
      </c>
      <c r="H14" s="3146" t="s">
        <v>3466</v>
      </c>
      <c r="I14" s="3146" t="s">
        <v>3469</v>
      </c>
      <c r="J14" s="3146">
        <v>1134.98</v>
      </c>
      <c r="K14" s="3146">
        <v>1134.98</v>
      </c>
      <c r="L14" s="3146">
        <v>1008</v>
      </c>
      <c r="M14" s="3146">
        <f t="shared" si="0"/>
        <v>100.80025532538467</v>
      </c>
      <c r="N14" s="3146">
        <v>0</v>
      </c>
    </row>
    <row r="15" spans="1:18" s="3149" customFormat="1">
      <c r="A15" s="3149" t="s">
        <v>3470</v>
      </c>
      <c r="B15" s="3149" t="s">
        <v>3380</v>
      </c>
      <c r="C15" s="3149" t="s">
        <v>2481</v>
      </c>
      <c r="D15" s="3149">
        <v>20000</v>
      </c>
      <c r="E15" s="3149">
        <v>20000</v>
      </c>
      <c r="F15" s="3149" t="s">
        <v>3471</v>
      </c>
      <c r="G15" s="3149" t="s">
        <v>3432</v>
      </c>
      <c r="H15" s="3149" t="s">
        <v>3472</v>
      </c>
      <c r="I15" s="3149" t="s">
        <v>3473</v>
      </c>
      <c r="J15" s="3149">
        <v>2284.42</v>
      </c>
      <c r="K15" s="3149">
        <v>2284.42</v>
      </c>
      <c r="L15" s="3149">
        <v>1142.21</v>
      </c>
      <c r="M15" s="3149">
        <f t="shared" si="0"/>
        <v>76.147714069999992</v>
      </c>
      <c r="N15" s="3149">
        <v>0</v>
      </c>
      <c r="O15" s="3149">
        <v>20</v>
      </c>
      <c r="P15" s="3149">
        <f>L15*P2</f>
        <v>1735.1312109999999</v>
      </c>
    </row>
    <row r="16" spans="1:18">
      <c r="A16" s="3146" t="s">
        <v>3474</v>
      </c>
      <c r="B16" s="3146" t="s">
        <v>3380</v>
      </c>
      <c r="C16" s="3146" t="s">
        <v>2481</v>
      </c>
      <c r="D16" s="3146">
        <v>113291.7</v>
      </c>
      <c r="E16" s="3146">
        <v>113291.7</v>
      </c>
      <c r="F16" s="3146" t="s">
        <v>3475</v>
      </c>
      <c r="G16" s="3146" t="s">
        <v>3432</v>
      </c>
      <c r="H16" s="3146" t="s">
        <v>3476</v>
      </c>
      <c r="I16" s="3146" t="s">
        <v>3477</v>
      </c>
      <c r="J16" s="3146">
        <v>6650.22</v>
      </c>
      <c r="K16" s="3146">
        <v>6650.22</v>
      </c>
      <c r="L16" s="3146">
        <v>587</v>
      </c>
      <c r="M16" s="3146">
        <f t="shared" si="0"/>
        <v>39.13351258212208</v>
      </c>
      <c r="N16" s="3146">
        <v>0</v>
      </c>
    </row>
    <row r="17" spans="1:18">
      <c r="A17" s="3146" t="s">
        <v>3478</v>
      </c>
      <c r="B17" s="3146" t="s">
        <v>3380</v>
      </c>
      <c r="C17" s="3146" t="s">
        <v>2481</v>
      </c>
      <c r="D17" s="3146">
        <v>30589.9</v>
      </c>
      <c r="E17" s="3146">
        <v>45884.85</v>
      </c>
      <c r="F17" s="3146" t="s">
        <v>3451</v>
      </c>
      <c r="G17" s="3146" t="s">
        <v>3432</v>
      </c>
      <c r="H17" s="3146" t="s">
        <v>3476</v>
      </c>
      <c r="I17" s="3146" t="s">
        <v>3479</v>
      </c>
      <c r="J17" s="3146">
        <v>2620.02</v>
      </c>
      <c r="K17" s="3146">
        <v>2620.02</v>
      </c>
      <c r="L17" s="3146">
        <v>571</v>
      </c>
      <c r="M17" s="3146">
        <f t="shared" si="0"/>
        <v>57.10017794762323</v>
      </c>
      <c r="N17" s="3146">
        <v>0</v>
      </c>
    </row>
    <row r="18" spans="1:18">
      <c r="A18" s="3146" t="s">
        <v>3480</v>
      </c>
      <c r="B18" s="3146" t="s">
        <v>3380</v>
      </c>
      <c r="C18" s="3146" t="s">
        <v>2481</v>
      </c>
      <c r="D18" s="3146">
        <v>54995.519999999997</v>
      </c>
      <c r="E18" s="3146">
        <v>82493.289999999994</v>
      </c>
      <c r="F18" s="3146" t="s">
        <v>3451</v>
      </c>
      <c r="G18" s="3146" t="s">
        <v>3432</v>
      </c>
      <c r="H18" s="3146" t="s">
        <v>3481</v>
      </c>
      <c r="I18" s="3146" t="s">
        <v>3482</v>
      </c>
      <c r="J18" s="3146">
        <v>8783.01</v>
      </c>
      <c r="K18" s="3146">
        <v>8783.01</v>
      </c>
      <c r="L18" s="3146">
        <v>1064.69</v>
      </c>
      <c r="M18" s="3146">
        <f t="shared" si="0"/>
        <v>106.46993203628222</v>
      </c>
      <c r="N18" s="3146">
        <v>0</v>
      </c>
    </row>
    <row r="19" spans="1:18" s="3148" customFormat="1">
      <c r="A19" s="3148" t="s">
        <v>3483</v>
      </c>
      <c r="B19" s="3148" t="s">
        <v>3380</v>
      </c>
      <c r="C19" s="3148" t="s">
        <v>2481</v>
      </c>
      <c r="D19" s="3148">
        <v>103092.9</v>
      </c>
      <c r="E19" s="3148">
        <v>175257.93</v>
      </c>
      <c r="F19" s="3148" t="s">
        <v>3484</v>
      </c>
      <c r="G19" s="3148" t="s">
        <v>3432</v>
      </c>
      <c r="H19" s="3148" t="s">
        <v>3485</v>
      </c>
      <c r="I19" s="3148" t="s">
        <v>3486</v>
      </c>
      <c r="J19" s="3148">
        <v>10287.64</v>
      </c>
      <c r="K19" s="3148">
        <v>10287.64</v>
      </c>
      <c r="L19" s="3148">
        <v>587</v>
      </c>
      <c r="M19" s="3148">
        <f t="shared" si="0"/>
        <v>66.526996124854378</v>
      </c>
      <c r="N19" s="3148">
        <v>0</v>
      </c>
      <c r="O19" s="3148">
        <v>20</v>
      </c>
      <c r="P19" s="3148">
        <f>L19*P2</f>
        <v>891.71169999999995</v>
      </c>
      <c r="Q19" s="3148">
        <f>P19/R19</f>
        <v>1097.2212378491447</v>
      </c>
      <c r="R19" s="3148">
        <v>0.81269999999999998</v>
      </c>
    </row>
    <row r="20" spans="1:18">
      <c r="A20" s="3146" t="s">
        <v>3487</v>
      </c>
      <c r="B20" s="3146" t="s">
        <v>3380</v>
      </c>
      <c r="C20" s="3146" t="s">
        <v>2481</v>
      </c>
      <c r="D20" s="3146">
        <v>21090.2</v>
      </c>
      <c r="E20" s="3146">
        <v>22144.7</v>
      </c>
      <c r="F20" s="3146">
        <v>1.54</v>
      </c>
      <c r="G20" s="3146" t="s">
        <v>3432</v>
      </c>
      <c r="H20" s="3146" t="s">
        <v>3488</v>
      </c>
      <c r="I20" s="3146" t="s">
        <v>3489</v>
      </c>
      <c r="J20" s="3146">
        <v>2163.09</v>
      </c>
      <c r="K20" s="3146">
        <v>2163.09</v>
      </c>
      <c r="L20" s="3146">
        <v>976.8</v>
      </c>
      <c r="M20" s="3146">
        <f t="shared" si="0"/>
        <v>68.376175204597402</v>
      </c>
      <c r="N20" s="3146">
        <v>0</v>
      </c>
    </row>
    <row r="21" spans="1:18">
      <c r="A21" s="3146" t="s">
        <v>3490</v>
      </c>
      <c r="B21" s="3146" t="s">
        <v>3380</v>
      </c>
      <c r="C21" s="3146" t="s">
        <v>2481</v>
      </c>
      <c r="D21" s="3146">
        <v>718046.1</v>
      </c>
      <c r="E21" s="3146">
        <v>646241.49</v>
      </c>
      <c r="F21" s="3146">
        <v>0.9</v>
      </c>
      <c r="G21" s="3146" t="s">
        <v>3432</v>
      </c>
      <c r="H21" s="3146" t="s">
        <v>3488</v>
      </c>
      <c r="I21" s="3146" t="s">
        <v>3491</v>
      </c>
      <c r="J21" s="3146">
        <v>61033.919999999998</v>
      </c>
      <c r="K21" s="3146">
        <v>61033.919999999998</v>
      </c>
      <c r="L21" s="3146">
        <v>944.44</v>
      </c>
      <c r="M21" s="3146">
        <f t="shared" si="0"/>
        <v>56.666951392675195</v>
      </c>
      <c r="N21" s="3146">
        <v>0</v>
      </c>
    </row>
    <row r="22" spans="1:18">
      <c r="A22" s="3146" t="s">
        <v>3492</v>
      </c>
      <c r="B22" s="3146" t="s">
        <v>3380</v>
      </c>
      <c r="C22" s="3146" t="s">
        <v>2481</v>
      </c>
      <c r="D22" s="3146">
        <v>54214.080000000002</v>
      </c>
      <c r="E22" s="3146">
        <v>108428.16</v>
      </c>
      <c r="F22" s="3146">
        <v>2</v>
      </c>
      <c r="G22" s="3146" t="s">
        <v>3432</v>
      </c>
      <c r="H22" s="3146" t="s">
        <v>3493</v>
      </c>
      <c r="I22" s="3146" t="s">
        <v>3494</v>
      </c>
      <c r="J22" s="3146">
        <v>8793.52</v>
      </c>
      <c r="K22" s="3146">
        <v>8793.52</v>
      </c>
      <c r="L22" s="3146">
        <v>811</v>
      </c>
      <c r="M22" s="3146">
        <f t="shared" si="0"/>
        <v>108.13382756656573</v>
      </c>
      <c r="N22" s="3146">
        <v>0</v>
      </c>
    </row>
    <row r="23" spans="1:18">
      <c r="A23" s="3146" t="s">
        <v>3495</v>
      </c>
      <c r="B23" s="3146" t="s">
        <v>3380</v>
      </c>
      <c r="C23" s="3146" t="s">
        <v>2481</v>
      </c>
      <c r="D23" s="3146">
        <v>76366.38</v>
      </c>
      <c r="E23" s="3146">
        <v>114549.57</v>
      </c>
      <c r="F23" s="3146">
        <v>1.5</v>
      </c>
      <c r="G23" s="3146" t="s">
        <v>3432</v>
      </c>
      <c r="H23" s="3146" t="s">
        <v>3496</v>
      </c>
      <c r="I23" s="3146" t="s">
        <v>3497</v>
      </c>
      <c r="J23" s="3146">
        <v>11431.52</v>
      </c>
      <c r="K23" s="3146">
        <v>11431.52</v>
      </c>
      <c r="L23" s="3146">
        <v>997.95</v>
      </c>
      <c r="M23" s="3146">
        <f t="shared" si="0"/>
        <v>99.795897597869626</v>
      </c>
      <c r="N23" s="3146">
        <v>0</v>
      </c>
    </row>
    <row r="24" spans="1:18">
      <c r="A24" s="3146" t="s">
        <v>3498</v>
      </c>
      <c r="B24" s="3146" t="s">
        <v>3380</v>
      </c>
      <c r="C24" s="3146" t="s">
        <v>2481</v>
      </c>
      <c r="D24" s="3146">
        <v>40148.6</v>
      </c>
      <c r="E24" s="3146">
        <v>60222.9</v>
      </c>
      <c r="F24" s="3146">
        <v>1.5</v>
      </c>
      <c r="G24" s="3146" t="s">
        <v>3432</v>
      </c>
      <c r="H24" s="3146" t="s">
        <v>3499</v>
      </c>
      <c r="I24" s="3146" t="s">
        <v>3500</v>
      </c>
      <c r="J24" s="3146">
        <v>3438.73</v>
      </c>
      <c r="K24" s="3146">
        <v>3438.73</v>
      </c>
      <c r="L24" s="3146">
        <v>571</v>
      </c>
      <c r="M24" s="3146">
        <f t="shared" si="0"/>
        <v>57.100325518199888</v>
      </c>
      <c r="N24" s="3146">
        <v>0</v>
      </c>
    </row>
    <row r="25" spans="1:18" s="3149" customFormat="1">
      <c r="A25" s="3149" t="s">
        <v>3501</v>
      </c>
      <c r="B25" s="3149" t="s">
        <v>3380</v>
      </c>
      <c r="C25" s="3149" t="s">
        <v>2481</v>
      </c>
      <c r="D25" s="3149">
        <v>19333.34</v>
      </c>
      <c r="E25" s="3149">
        <v>38666.69</v>
      </c>
      <c r="F25" s="3149">
        <v>2</v>
      </c>
      <c r="G25" s="3149" t="s">
        <v>3432</v>
      </c>
      <c r="H25" s="3149" t="s">
        <v>3502</v>
      </c>
      <c r="I25" s="3149" t="s">
        <v>3503</v>
      </c>
      <c r="J25" s="3149">
        <v>3477.1</v>
      </c>
      <c r="K25" s="3149">
        <v>3477.1</v>
      </c>
      <c r="L25" s="3149">
        <v>899.25</v>
      </c>
      <c r="M25" s="3149">
        <f t="shared" si="0"/>
        <v>119.90055815497993</v>
      </c>
      <c r="N25" s="3149">
        <v>0</v>
      </c>
      <c r="O25" s="3149">
        <v>20</v>
      </c>
      <c r="P25" s="3149">
        <f>L25*P2</f>
        <v>1366.050675</v>
      </c>
      <c r="Q25" s="3149">
        <f>P25/R25</f>
        <v>1814.8673774412116</v>
      </c>
      <c r="R25" s="3149">
        <v>0.75270000000000004</v>
      </c>
    </row>
    <row r="26" spans="1:18">
      <c r="A26" s="3146" t="s">
        <v>3504</v>
      </c>
      <c r="B26" s="3146" t="s">
        <v>3380</v>
      </c>
      <c r="C26" s="3146" t="s">
        <v>2481</v>
      </c>
      <c r="D26" s="3146">
        <v>95015.4</v>
      </c>
      <c r="E26" s="3146">
        <v>180529.26</v>
      </c>
      <c r="F26" s="3146">
        <v>1.9</v>
      </c>
      <c r="G26" s="3146" t="s">
        <v>3432</v>
      </c>
      <c r="H26" s="3146" t="s">
        <v>3505</v>
      </c>
      <c r="I26" s="3146" t="s">
        <v>3506</v>
      </c>
      <c r="J26" s="3146">
        <v>10308.219999999999</v>
      </c>
      <c r="K26" s="3146">
        <v>10308.219999999999</v>
      </c>
      <c r="L26" s="3146">
        <v>571</v>
      </c>
      <c r="M26" s="3146">
        <f t="shared" si="0"/>
        <v>72.327023065734593</v>
      </c>
      <c r="N26" s="3146">
        <v>0</v>
      </c>
    </row>
    <row r="27" spans="1:18">
      <c r="A27" s="3146" t="s">
        <v>3507</v>
      </c>
      <c r="B27" s="3146" t="s">
        <v>3380</v>
      </c>
      <c r="C27" s="3146" t="s">
        <v>2481</v>
      </c>
      <c r="D27" s="3146">
        <v>23200</v>
      </c>
      <c r="E27" s="3146">
        <v>32480</v>
      </c>
      <c r="F27" s="3146">
        <v>1.4</v>
      </c>
      <c r="G27" s="3146" t="s">
        <v>3508</v>
      </c>
      <c r="H27" s="3146" t="s">
        <v>3509</v>
      </c>
      <c r="I27" s="3146" t="s">
        <v>3510</v>
      </c>
      <c r="J27" s="3146">
        <v>2150.1799999999998</v>
      </c>
      <c r="K27" s="3146">
        <v>2150.1799999999998</v>
      </c>
      <c r="L27" s="3146">
        <v>662</v>
      </c>
      <c r="M27" s="3146">
        <f t="shared" si="0"/>
        <v>61.787090543103439</v>
      </c>
      <c r="N27" s="3146">
        <v>0</v>
      </c>
    </row>
    <row r="28" spans="1:18">
      <c r="A28" s="3146" t="s">
        <v>3511</v>
      </c>
      <c r="B28" s="3146" t="s">
        <v>3380</v>
      </c>
      <c r="C28" s="3146" t="s">
        <v>2481</v>
      </c>
      <c r="D28" s="3146">
        <v>57488.82</v>
      </c>
      <c r="E28" s="3146">
        <v>86233.23</v>
      </c>
      <c r="F28" s="3146" t="s">
        <v>3451</v>
      </c>
      <c r="G28" s="3146" t="s">
        <v>3432</v>
      </c>
      <c r="H28" s="3146" t="s">
        <v>3512</v>
      </c>
      <c r="I28" s="3146" t="s">
        <v>3513</v>
      </c>
      <c r="J28" s="3146">
        <v>7835.68</v>
      </c>
      <c r="K28" s="3146">
        <v>7835.68</v>
      </c>
      <c r="L28" s="3146">
        <v>908.66</v>
      </c>
      <c r="M28" s="3146">
        <f t="shared" si="0"/>
        <v>90.86658563525917</v>
      </c>
      <c r="N28" s="3146">
        <v>0</v>
      </c>
    </row>
    <row r="29" spans="1:18">
      <c r="A29" s="3146" t="s">
        <v>3514</v>
      </c>
      <c r="B29" s="3146" t="s">
        <v>3380</v>
      </c>
      <c r="C29" s="3146" t="s">
        <v>2481</v>
      </c>
      <c r="D29" s="3146">
        <v>7422.43</v>
      </c>
      <c r="E29" s="3146">
        <v>5937.95</v>
      </c>
      <c r="F29" s="3146" t="s">
        <v>3431</v>
      </c>
      <c r="G29" s="3146" t="s">
        <v>3432</v>
      </c>
      <c r="H29" s="3146" t="s">
        <v>3512</v>
      </c>
      <c r="I29" s="3146" t="s">
        <v>3515</v>
      </c>
      <c r="J29" s="3146">
        <v>844.63</v>
      </c>
      <c r="K29" s="3146">
        <v>844.63</v>
      </c>
      <c r="L29" s="3146">
        <v>1422.43</v>
      </c>
      <c r="M29" s="3146">
        <f t="shared" si="0"/>
        <v>75.863225668682631</v>
      </c>
      <c r="N29" s="3146">
        <v>0</v>
      </c>
    </row>
    <row r="30" spans="1:18">
      <c r="A30" s="3146" t="s">
        <v>3516</v>
      </c>
      <c r="B30" s="3146" t="s">
        <v>3380</v>
      </c>
      <c r="C30" s="3146" t="s">
        <v>2481</v>
      </c>
      <c r="D30" s="3146">
        <v>23652.31</v>
      </c>
      <c r="E30" s="3146">
        <v>23652.31</v>
      </c>
      <c r="F30" s="3146">
        <v>1</v>
      </c>
      <c r="G30" s="3146" t="s">
        <v>3432</v>
      </c>
      <c r="H30" s="3146" t="s">
        <v>3512</v>
      </c>
      <c r="I30" s="3146" t="s">
        <v>3517</v>
      </c>
      <c r="J30" s="3146">
        <v>2689.6</v>
      </c>
      <c r="K30" s="3146">
        <v>2689.6</v>
      </c>
      <c r="L30" s="3146">
        <v>1137.1400000000001</v>
      </c>
      <c r="M30" s="3146">
        <f t="shared" si="0"/>
        <v>75.809746785831891</v>
      </c>
      <c r="N30" s="3146">
        <v>0</v>
      </c>
    </row>
    <row r="31" spans="1:18">
      <c r="A31" s="3146" t="s">
        <v>3518</v>
      </c>
      <c r="B31" s="3146" t="s">
        <v>3380</v>
      </c>
      <c r="C31" s="3146" t="s">
        <v>2481</v>
      </c>
      <c r="D31" s="3146">
        <v>23170.400000000001</v>
      </c>
      <c r="E31" s="3146">
        <v>23170.400000000001</v>
      </c>
      <c r="F31" s="3146">
        <v>1</v>
      </c>
      <c r="G31" s="3146" t="s">
        <v>3432</v>
      </c>
      <c r="H31" s="3146" t="s">
        <v>3512</v>
      </c>
      <c r="I31" s="3146" t="s">
        <v>3515</v>
      </c>
      <c r="J31" s="3146">
        <v>2632.78</v>
      </c>
      <c r="K31" s="3146">
        <v>2632.78</v>
      </c>
      <c r="L31" s="3146">
        <v>1136.27</v>
      </c>
      <c r="M31" s="3146">
        <f t="shared" si="0"/>
        <v>75.751624598625824</v>
      </c>
      <c r="N31" s="3146">
        <v>0</v>
      </c>
    </row>
    <row r="32" spans="1:18">
      <c r="A32" s="3146" t="s">
        <v>3519</v>
      </c>
      <c r="B32" s="3146" t="s">
        <v>3380</v>
      </c>
      <c r="C32" s="3146" t="s">
        <v>2481</v>
      </c>
      <c r="D32" s="3146">
        <v>82052.600000000006</v>
      </c>
      <c r="E32" s="3146">
        <v>155899.94</v>
      </c>
      <c r="F32" s="3146">
        <v>1.9</v>
      </c>
      <c r="G32" s="3146" t="s">
        <v>3432</v>
      </c>
      <c r="H32" s="3146" t="s">
        <v>3520</v>
      </c>
      <c r="I32" s="3146" t="s">
        <v>3521</v>
      </c>
      <c r="J32" s="3146">
        <v>16837.189999999999</v>
      </c>
      <c r="K32" s="3146">
        <v>16837.189999999999</v>
      </c>
      <c r="L32" s="3146">
        <v>1080</v>
      </c>
      <c r="M32" s="3146">
        <f t="shared" si="0"/>
        <v>136.80065540031634</v>
      </c>
      <c r="N32" s="3146">
        <v>0</v>
      </c>
    </row>
    <row r="33" spans="1:14">
      <c r="A33" s="3146" t="s">
        <v>3522</v>
      </c>
      <c r="B33" s="3146" t="s">
        <v>3380</v>
      </c>
      <c r="C33" s="3146" t="s">
        <v>2481</v>
      </c>
      <c r="D33" s="3146">
        <v>7844</v>
      </c>
      <c r="E33" s="3146">
        <v>11766</v>
      </c>
      <c r="F33" s="3146">
        <v>1.5</v>
      </c>
      <c r="G33" s="3146" t="s">
        <v>3432</v>
      </c>
      <c r="H33" s="3146" t="s">
        <v>3520</v>
      </c>
      <c r="I33" s="3146" t="s">
        <v>3523</v>
      </c>
      <c r="J33" s="3146">
        <v>854.21</v>
      </c>
      <c r="K33" s="3146">
        <v>854.21</v>
      </c>
      <c r="L33" s="3146">
        <v>726</v>
      </c>
      <c r="M33" s="3146">
        <f t="shared" si="0"/>
        <v>72.600227014278417</v>
      </c>
      <c r="N33" s="3146">
        <v>0</v>
      </c>
    </row>
    <row r="34" spans="1:14">
      <c r="A34" s="3146" t="s">
        <v>3524</v>
      </c>
      <c r="B34" s="3146" t="s">
        <v>3380</v>
      </c>
      <c r="C34" s="3146" t="s">
        <v>2481</v>
      </c>
      <c r="D34" s="3146">
        <v>49454.7</v>
      </c>
      <c r="E34" s="3146">
        <v>98909.1</v>
      </c>
      <c r="F34" s="3146">
        <v>2</v>
      </c>
      <c r="G34" s="3146" t="s">
        <v>3432</v>
      </c>
      <c r="H34" s="3146" t="s">
        <v>3525</v>
      </c>
      <c r="I34" s="3146" t="s">
        <v>3526</v>
      </c>
      <c r="J34" s="3146">
        <v>6448.89</v>
      </c>
      <c r="K34" s="3146">
        <v>6448.89</v>
      </c>
      <c r="L34" s="3146">
        <v>652</v>
      </c>
      <c r="M34" s="3146">
        <f t="shared" si="0"/>
        <v>86.933729176397804</v>
      </c>
      <c r="N34" s="3146">
        <v>0</v>
      </c>
    </row>
    <row r="35" spans="1:14">
      <c r="A35" s="3146" t="s">
        <v>3527</v>
      </c>
      <c r="B35" s="3146" t="s">
        <v>3380</v>
      </c>
      <c r="C35" s="3146" t="s">
        <v>2481</v>
      </c>
      <c r="D35" s="3146">
        <v>13006.3</v>
      </c>
      <c r="E35" s="3146">
        <v>9104.41</v>
      </c>
      <c r="F35" s="3146" t="s">
        <v>3528</v>
      </c>
      <c r="G35" s="3146" t="s">
        <v>3432</v>
      </c>
      <c r="H35" s="3146" t="s">
        <v>3529</v>
      </c>
      <c r="I35" s="3146" t="s">
        <v>3530</v>
      </c>
      <c r="J35" s="3146">
        <v>742.66</v>
      </c>
      <c r="K35" s="3146">
        <v>742.66</v>
      </c>
      <c r="L35" s="3146">
        <v>815.71</v>
      </c>
      <c r="M35" s="3146">
        <f t="shared" si="0"/>
        <v>38.066870839516227</v>
      </c>
      <c r="N35" s="3146">
        <v>0</v>
      </c>
    </row>
    <row r="36" spans="1:14">
      <c r="A36" s="3146" t="s">
        <v>3531</v>
      </c>
      <c r="B36" s="3146" t="s">
        <v>3380</v>
      </c>
      <c r="C36" s="3146" t="s">
        <v>2481</v>
      </c>
      <c r="D36" s="3146">
        <v>6782.77</v>
      </c>
      <c r="E36" s="3146">
        <v>10174.16</v>
      </c>
      <c r="F36" s="3146" t="s">
        <v>3451</v>
      </c>
      <c r="G36" s="3146" t="s">
        <v>3432</v>
      </c>
      <c r="H36" s="3146" t="s">
        <v>3532</v>
      </c>
      <c r="I36" s="3146" t="s">
        <v>3533</v>
      </c>
      <c r="J36" s="3146">
        <v>768.15</v>
      </c>
      <c r="K36" s="3146">
        <v>768.15</v>
      </c>
      <c r="L36" s="3146">
        <v>755</v>
      </c>
      <c r="M36" s="3146">
        <f t="shared" si="0"/>
        <v>75.500505029656011</v>
      </c>
      <c r="N36" s="3146">
        <v>0</v>
      </c>
    </row>
    <row r="37" spans="1:14">
      <c r="A37" s="3146" t="s">
        <v>3534</v>
      </c>
      <c r="B37" s="3146" t="s">
        <v>3380</v>
      </c>
      <c r="C37" s="3146" t="s">
        <v>2481</v>
      </c>
      <c r="D37" s="3146">
        <v>106037.9</v>
      </c>
      <c r="E37" s="3146">
        <v>212075.8</v>
      </c>
      <c r="F37" s="3146" t="s">
        <v>3535</v>
      </c>
      <c r="G37" s="3146" t="s">
        <v>3432</v>
      </c>
      <c r="H37" s="3146" t="s">
        <v>3536</v>
      </c>
      <c r="I37" s="3146" t="s">
        <v>3537</v>
      </c>
      <c r="J37" s="3146">
        <v>21377.24</v>
      </c>
      <c r="K37" s="3146">
        <v>21377.24</v>
      </c>
      <c r="L37" s="3146">
        <v>1008</v>
      </c>
      <c r="M37" s="3146">
        <f t="shared" si="0"/>
        <v>134.40066797626133</v>
      </c>
      <c r="N37" s="3146">
        <v>0</v>
      </c>
    </row>
    <row r="38" spans="1:14">
      <c r="A38" s="3146" t="s">
        <v>3538</v>
      </c>
      <c r="B38" s="3146" t="s">
        <v>3380</v>
      </c>
      <c r="C38" s="3146" t="s">
        <v>2481</v>
      </c>
      <c r="D38" s="3146">
        <v>132895.59</v>
      </c>
      <c r="E38" s="3146">
        <v>132895.59</v>
      </c>
      <c r="F38" s="3146" t="s">
        <v>3539</v>
      </c>
      <c r="G38" s="3146" t="s">
        <v>3432</v>
      </c>
      <c r="H38" s="3146" t="s">
        <v>3540</v>
      </c>
      <c r="I38" s="3146" t="s">
        <v>3541</v>
      </c>
      <c r="J38" s="3146">
        <v>17928.64</v>
      </c>
      <c r="K38" s="3146">
        <v>17928.64</v>
      </c>
      <c r="L38" s="3146">
        <v>1349.08</v>
      </c>
      <c r="M38" s="3146">
        <f t="shared" si="0"/>
        <v>89.938924450389962</v>
      </c>
      <c r="N38" s="3146">
        <v>0</v>
      </c>
    </row>
    <row r="39" spans="1:14">
      <c r="A39" s="3146" t="s">
        <v>3542</v>
      </c>
      <c r="B39" s="3146" t="s">
        <v>3380</v>
      </c>
      <c r="C39" s="3146" t="s">
        <v>2481</v>
      </c>
      <c r="D39" s="3146">
        <v>128009.8</v>
      </c>
      <c r="E39" s="3146">
        <v>256019.6</v>
      </c>
      <c r="F39" s="3146" t="s">
        <v>3543</v>
      </c>
      <c r="G39" s="3146" t="s">
        <v>3432</v>
      </c>
      <c r="H39" s="3146" t="s">
        <v>3544</v>
      </c>
      <c r="I39" s="3146" t="s">
        <v>3441</v>
      </c>
      <c r="J39" s="3146">
        <v>14618.71</v>
      </c>
      <c r="K39" s="3146">
        <v>14618.72</v>
      </c>
      <c r="L39" s="3146">
        <v>571</v>
      </c>
      <c r="M39" s="3146">
        <f t="shared" si="0"/>
        <v>76.133718374686921</v>
      </c>
      <c r="N39" s="3146">
        <v>0</v>
      </c>
    </row>
    <row r="40" spans="1:14">
      <c r="A40" s="3146" t="s">
        <v>3545</v>
      </c>
      <c r="B40" s="3146" t="s">
        <v>3380</v>
      </c>
      <c r="C40" s="3146" t="s">
        <v>2481</v>
      </c>
      <c r="D40" s="3146">
        <v>32265.9</v>
      </c>
      <c r="E40" s="3146">
        <v>38719.08</v>
      </c>
      <c r="F40" s="3146" t="s">
        <v>3546</v>
      </c>
      <c r="G40" s="3146" t="s">
        <v>3432</v>
      </c>
      <c r="H40" s="3146" t="s">
        <v>3547</v>
      </c>
      <c r="I40" s="3146" t="s">
        <v>3548</v>
      </c>
      <c r="J40" s="3146">
        <v>2578.69</v>
      </c>
      <c r="K40" s="3146">
        <v>2578.69</v>
      </c>
      <c r="L40" s="3146">
        <v>666</v>
      </c>
      <c r="M40" s="3146">
        <f t="shared" si="0"/>
        <v>53.280251358245081</v>
      </c>
      <c r="N40" s="3146">
        <v>0</v>
      </c>
    </row>
    <row r="41" spans="1:14">
      <c r="A41" s="3146" t="s">
        <v>3549</v>
      </c>
      <c r="B41" s="3146" t="s">
        <v>3380</v>
      </c>
      <c r="C41" s="3146" t="s">
        <v>2481</v>
      </c>
      <c r="D41" s="3146">
        <v>145654</v>
      </c>
      <c r="E41" s="3146">
        <v>356072.51</v>
      </c>
      <c r="F41" s="3146" t="s">
        <v>3550</v>
      </c>
      <c r="G41" s="3146" t="s">
        <v>3432</v>
      </c>
      <c r="H41" s="3146" t="s">
        <v>3551</v>
      </c>
      <c r="I41" s="3146" t="s">
        <v>3521</v>
      </c>
      <c r="J41" s="3146">
        <v>38455.83</v>
      </c>
      <c r="K41" s="3146">
        <v>38455.83</v>
      </c>
      <c r="L41" s="3146">
        <v>1080</v>
      </c>
      <c r="M41" s="3146">
        <f t="shared" si="0"/>
        <v>176.01540765169511</v>
      </c>
      <c r="N41" s="3146">
        <v>0</v>
      </c>
    </row>
    <row r="42" spans="1:14">
      <c r="A42" s="3146" t="s">
        <v>3552</v>
      </c>
      <c r="B42" s="3146" t="s">
        <v>3380</v>
      </c>
      <c r="C42" s="3146" t="s">
        <v>2481</v>
      </c>
      <c r="D42" s="3146">
        <v>12863.4</v>
      </c>
      <c r="E42" s="3146">
        <v>19295.099999999999</v>
      </c>
      <c r="F42" s="3146" t="s">
        <v>3451</v>
      </c>
      <c r="G42" s="3146" t="s">
        <v>3432</v>
      </c>
      <c r="H42" s="3146" t="s">
        <v>3553</v>
      </c>
      <c r="I42" s="3146" t="s">
        <v>3554</v>
      </c>
      <c r="J42" s="3146">
        <v>1132.6199999999999</v>
      </c>
      <c r="K42" s="3146">
        <v>1132.6199999999999</v>
      </c>
      <c r="L42" s="3146">
        <v>587</v>
      </c>
      <c r="M42" s="3146">
        <f t="shared" si="0"/>
        <v>58.700170670273792</v>
      </c>
      <c r="N42" s="3146">
        <v>0</v>
      </c>
    </row>
    <row r="43" spans="1:14">
      <c r="A43" s="3146" t="s">
        <v>3555</v>
      </c>
      <c r="B43" s="3146" t="s">
        <v>3380</v>
      </c>
      <c r="C43" s="3146" t="s">
        <v>2481</v>
      </c>
      <c r="D43" s="3146">
        <v>34162.300000000003</v>
      </c>
      <c r="E43" s="3146">
        <v>68324.600000000006</v>
      </c>
      <c r="F43" s="3146" t="s">
        <v>3535</v>
      </c>
      <c r="G43" s="3146" t="s">
        <v>3432</v>
      </c>
      <c r="H43" s="3146" t="s">
        <v>3556</v>
      </c>
      <c r="I43" s="3146" t="s">
        <v>3557</v>
      </c>
      <c r="J43" s="3146">
        <v>4550.42</v>
      </c>
      <c r="K43" s="3146">
        <v>4550.42</v>
      </c>
      <c r="L43" s="3146">
        <v>666</v>
      </c>
      <c r="M43" s="3146">
        <f t="shared" si="0"/>
        <v>88.800476004250285</v>
      </c>
      <c r="N43" s="3146">
        <v>0</v>
      </c>
    </row>
    <row r="44" spans="1:14">
      <c r="A44" s="3146" t="s">
        <v>3558</v>
      </c>
      <c r="B44" s="3146" t="s">
        <v>3380</v>
      </c>
      <c r="C44" s="3146" t="s">
        <v>2481</v>
      </c>
      <c r="D44" s="3146">
        <v>23044.5</v>
      </c>
      <c r="E44" s="3146">
        <v>46089</v>
      </c>
      <c r="F44" s="3146" t="s">
        <v>3535</v>
      </c>
      <c r="G44" s="3146" t="s">
        <v>3432</v>
      </c>
      <c r="H44" s="3146" t="s">
        <v>3559</v>
      </c>
      <c r="I44" s="3146" t="s">
        <v>3560</v>
      </c>
      <c r="J44" s="3146">
        <v>3346.06</v>
      </c>
      <c r="K44" s="3146">
        <v>3346.06</v>
      </c>
      <c r="L44" s="3146">
        <v>726</v>
      </c>
      <c r="M44" s="3146">
        <f t="shared" si="0"/>
        <v>96.800443498448644</v>
      </c>
      <c r="N44" s="3146">
        <v>0</v>
      </c>
    </row>
    <row r="45" spans="1:14">
      <c r="A45" s="3146" t="s">
        <v>3561</v>
      </c>
      <c r="B45" s="3146" t="s">
        <v>3380</v>
      </c>
      <c r="C45" s="3146" t="s">
        <v>2481</v>
      </c>
      <c r="D45" s="3146">
        <v>110807.97</v>
      </c>
      <c r="E45" s="3146">
        <v>149590.76</v>
      </c>
      <c r="F45" s="3146" t="s">
        <v>3562</v>
      </c>
      <c r="G45" s="3146" t="s">
        <v>3432</v>
      </c>
      <c r="H45" s="3146" t="s">
        <v>3563</v>
      </c>
      <c r="I45" s="3146" t="s">
        <v>3564</v>
      </c>
      <c r="J45" s="3146">
        <v>11293.36</v>
      </c>
      <c r="K45" s="3146">
        <v>11293.36</v>
      </c>
      <c r="L45" s="3146">
        <v>754.95</v>
      </c>
      <c r="M45" s="3146">
        <f t="shared" si="0"/>
        <v>67.945873489064013</v>
      </c>
      <c r="N45" s="3146">
        <v>0</v>
      </c>
    </row>
    <row r="46" spans="1:14">
      <c r="A46" s="3146" t="s">
        <v>3565</v>
      </c>
      <c r="B46" s="3146" t="s">
        <v>3380</v>
      </c>
      <c r="C46" s="3146" t="s">
        <v>2481</v>
      </c>
      <c r="D46" s="3146">
        <v>16922.8</v>
      </c>
      <c r="E46" s="3146">
        <v>33845.599999999999</v>
      </c>
      <c r="F46" s="3146" t="s">
        <v>3535</v>
      </c>
      <c r="G46" s="3146" t="s">
        <v>3432</v>
      </c>
      <c r="H46" s="3146" t="s">
        <v>3566</v>
      </c>
      <c r="I46" s="3146" t="s">
        <v>3567</v>
      </c>
      <c r="J46" s="3146">
        <v>2254.12</v>
      </c>
      <c r="K46" s="3146">
        <v>2254.12</v>
      </c>
      <c r="L46" s="3146">
        <v>666</v>
      </c>
      <c r="M46" s="3146">
        <f t="shared" si="0"/>
        <v>88.800563760134253</v>
      </c>
      <c r="N46" s="3146">
        <v>0</v>
      </c>
    </row>
    <row r="47" spans="1:14">
      <c r="A47" s="3146" t="s">
        <v>3568</v>
      </c>
      <c r="B47" s="3146" t="s">
        <v>3380</v>
      </c>
      <c r="C47" s="3146" t="s">
        <v>2481</v>
      </c>
      <c r="D47" s="3146">
        <v>33333</v>
      </c>
      <c r="E47" s="3146">
        <v>40000</v>
      </c>
      <c r="F47" s="3146" t="s">
        <v>3546</v>
      </c>
      <c r="G47" s="3146" t="s">
        <v>3432</v>
      </c>
      <c r="H47" s="3146" t="s">
        <v>3566</v>
      </c>
      <c r="I47" s="3146" t="s">
        <v>3569</v>
      </c>
      <c r="J47" s="3146">
        <v>5935.6</v>
      </c>
      <c r="K47" s="3146">
        <v>5935.6</v>
      </c>
      <c r="L47" s="3146">
        <v>1483.9</v>
      </c>
      <c r="M47" s="3146">
        <f t="shared" si="0"/>
        <v>118.71378069780698</v>
      </c>
      <c r="N47" s="3146">
        <v>0</v>
      </c>
    </row>
    <row r="48" spans="1:14">
      <c r="A48" s="3146" t="s">
        <v>3570</v>
      </c>
      <c r="B48" s="3146" t="s">
        <v>3380</v>
      </c>
      <c r="C48" s="3146" t="s">
        <v>2481</v>
      </c>
      <c r="D48" s="3146">
        <v>471181.9</v>
      </c>
      <c r="E48" s="3146">
        <v>942363.8</v>
      </c>
      <c r="F48" s="3146" t="s">
        <v>3535</v>
      </c>
      <c r="G48" s="3146" t="s">
        <v>3432</v>
      </c>
      <c r="H48" s="3146" t="s">
        <v>3571</v>
      </c>
      <c r="I48" s="3146" t="s">
        <v>3572</v>
      </c>
      <c r="J48" s="3146">
        <v>80100.92</v>
      </c>
      <c r="K48" s="3146">
        <v>80100.92</v>
      </c>
      <c r="L48" s="3146">
        <v>850</v>
      </c>
      <c r="M48" s="3146">
        <f t="shared" si="0"/>
        <v>113.33389575533353</v>
      </c>
      <c r="N48" s="3146">
        <v>0</v>
      </c>
    </row>
    <row r="49" spans="1:14">
      <c r="A49" s="3146" t="s">
        <v>3573</v>
      </c>
      <c r="B49" s="3146" t="s">
        <v>3380</v>
      </c>
      <c r="C49" s="3146" t="s">
        <v>2481</v>
      </c>
      <c r="D49" s="3146">
        <v>22695.8</v>
      </c>
      <c r="E49" s="3146">
        <v>40852.44</v>
      </c>
      <c r="F49" s="3146" t="s">
        <v>3574</v>
      </c>
      <c r="G49" s="3146" t="s">
        <v>3432</v>
      </c>
      <c r="H49" s="3146" t="s">
        <v>3575</v>
      </c>
      <c r="I49" s="3146" t="s">
        <v>3444</v>
      </c>
      <c r="J49" s="3146">
        <v>4412.0600000000004</v>
      </c>
      <c r="K49" s="3146">
        <v>4412.0600000000004</v>
      </c>
      <c r="L49" s="3146">
        <v>1080</v>
      </c>
      <c r="M49" s="3146">
        <f t="shared" si="0"/>
        <v>129.60054460296621</v>
      </c>
      <c r="N49" s="3146">
        <v>0</v>
      </c>
    </row>
    <row r="50" spans="1:14">
      <c r="A50" s="3146" t="s">
        <v>3576</v>
      </c>
      <c r="B50" s="3146" t="s">
        <v>3380</v>
      </c>
      <c r="C50" s="3146" t="s">
        <v>2481</v>
      </c>
      <c r="D50" s="3146">
        <v>14690.2</v>
      </c>
      <c r="E50" s="3146">
        <v>29380.400000000001</v>
      </c>
      <c r="F50" s="3146" t="s">
        <v>3535</v>
      </c>
      <c r="G50" s="3146" t="s">
        <v>3432</v>
      </c>
      <c r="H50" s="3146" t="s">
        <v>3577</v>
      </c>
      <c r="I50" s="3146" t="s">
        <v>3578</v>
      </c>
      <c r="J50" s="3146">
        <v>1956.73</v>
      </c>
      <c r="K50" s="3146">
        <v>1956.73</v>
      </c>
      <c r="L50" s="3146">
        <v>666</v>
      </c>
      <c r="M50" s="3146">
        <f t="shared" si="0"/>
        <v>88.800233427727321</v>
      </c>
      <c r="N50" s="3146">
        <v>0</v>
      </c>
    </row>
    <row r="51" spans="1:14">
      <c r="A51" s="3146" t="s">
        <v>3579</v>
      </c>
      <c r="B51" s="3146" t="s">
        <v>3380</v>
      </c>
      <c r="C51" s="3146" t="s">
        <v>2481</v>
      </c>
      <c r="D51" s="3146">
        <v>20195.2</v>
      </c>
      <c r="E51" s="3146">
        <v>24234.240000000002</v>
      </c>
      <c r="F51" s="3146" t="s">
        <v>3546</v>
      </c>
      <c r="G51" s="3146" t="s">
        <v>3432</v>
      </c>
      <c r="H51" s="3146" t="s">
        <v>3577</v>
      </c>
      <c r="I51" s="3146" t="s">
        <v>3580</v>
      </c>
      <c r="J51" s="3146">
        <v>1614</v>
      </c>
      <c r="K51" s="3146">
        <v>1614</v>
      </c>
      <c r="L51" s="3146">
        <v>666</v>
      </c>
      <c r="M51" s="3146">
        <f t="shared" si="0"/>
        <v>53.280253723657104</v>
      </c>
      <c r="N51" s="3146">
        <v>0</v>
      </c>
    </row>
    <row r="52" spans="1:14">
      <c r="A52" s="3146" t="s">
        <v>3581</v>
      </c>
      <c r="B52" s="3146" t="s">
        <v>3380</v>
      </c>
      <c r="C52" s="3146" t="s">
        <v>2481</v>
      </c>
      <c r="D52" s="3146">
        <v>12168</v>
      </c>
      <c r="E52" s="3146">
        <v>12168</v>
      </c>
      <c r="F52" s="3146" t="s">
        <v>3475</v>
      </c>
      <c r="G52" s="3146" t="s">
        <v>3432</v>
      </c>
      <c r="H52" s="3146" t="s">
        <v>3577</v>
      </c>
      <c r="I52" s="3146" t="s">
        <v>3521</v>
      </c>
      <c r="J52" s="3146">
        <v>883.4</v>
      </c>
      <c r="K52" s="3146">
        <v>883.4</v>
      </c>
      <c r="L52" s="3146">
        <v>726</v>
      </c>
      <c r="M52" s="3146">
        <f t="shared" si="0"/>
        <v>48.40041732412886</v>
      </c>
      <c r="N52" s="3146">
        <v>0</v>
      </c>
    </row>
    <row r="53" spans="1:14">
      <c r="A53" s="3146" t="s">
        <v>3582</v>
      </c>
      <c r="B53" s="3146" t="s">
        <v>3380</v>
      </c>
      <c r="C53" s="3146" t="s">
        <v>2481</v>
      </c>
      <c r="D53" s="3146">
        <v>66050.399999999994</v>
      </c>
      <c r="E53" s="3146">
        <v>99075.6</v>
      </c>
      <c r="F53" s="3146" t="s">
        <v>3451</v>
      </c>
      <c r="G53" s="3146" t="s">
        <v>3432</v>
      </c>
      <c r="H53" s="3146" t="s">
        <v>3583</v>
      </c>
      <c r="I53" s="3146" t="s">
        <v>3584</v>
      </c>
      <c r="J53" s="3146">
        <v>5815.74</v>
      </c>
      <c r="K53" s="3146">
        <v>5815.74</v>
      </c>
      <c r="L53" s="3146">
        <v>587</v>
      </c>
      <c r="M53" s="3146">
        <f t="shared" si="0"/>
        <v>58.700316512844736</v>
      </c>
      <c r="N53" s="3146">
        <v>0</v>
      </c>
    </row>
    <row r="54" spans="1:14">
      <c r="A54" s="3146" t="s">
        <v>3585</v>
      </c>
      <c r="B54" s="3146" t="s">
        <v>3380</v>
      </c>
      <c r="C54" s="3146" t="s">
        <v>2481</v>
      </c>
      <c r="D54" s="3146">
        <v>39596.699999999997</v>
      </c>
      <c r="E54" s="3146">
        <v>59395.05</v>
      </c>
      <c r="F54" s="3146" t="s">
        <v>3451</v>
      </c>
      <c r="G54" s="3146" t="s">
        <v>3432</v>
      </c>
      <c r="H54" s="3146" t="s">
        <v>3583</v>
      </c>
      <c r="I54" s="3146" t="s">
        <v>3586</v>
      </c>
      <c r="J54" s="3146">
        <v>3486.49</v>
      </c>
      <c r="K54" s="3146">
        <v>3486.49</v>
      </c>
      <c r="L54" s="3146">
        <v>587</v>
      </c>
      <c r="M54" s="3146">
        <f t="shared" si="0"/>
        <v>58.700303012624786</v>
      </c>
      <c r="N54" s="3146">
        <v>0</v>
      </c>
    </row>
    <row r="55" spans="1:14">
      <c r="A55" s="3146" t="s">
        <v>3587</v>
      </c>
      <c r="B55" s="3146" t="s">
        <v>3380</v>
      </c>
      <c r="C55" s="3146" t="s">
        <v>2481</v>
      </c>
      <c r="D55" s="3146">
        <v>33256</v>
      </c>
      <c r="E55" s="3146">
        <v>49884</v>
      </c>
      <c r="F55" s="3146" t="s">
        <v>3451</v>
      </c>
      <c r="G55" s="3146" t="s">
        <v>3432</v>
      </c>
      <c r="H55" s="3146" t="s">
        <v>3583</v>
      </c>
      <c r="I55" s="3146" t="s">
        <v>3588</v>
      </c>
      <c r="J55" s="3146">
        <v>2848.38</v>
      </c>
      <c r="K55" s="3146">
        <v>2848.38</v>
      </c>
      <c r="L55" s="3146">
        <v>571</v>
      </c>
      <c r="M55" s="3146">
        <f t="shared" si="0"/>
        <v>57.100357667789268</v>
      </c>
      <c r="N55" s="3146">
        <v>0</v>
      </c>
    </row>
    <row r="56" spans="1:14">
      <c r="A56" s="3146" t="s">
        <v>3589</v>
      </c>
      <c r="B56" s="3146" t="s">
        <v>3380</v>
      </c>
      <c r="C56" s="3146" t="s">
        <v>2481</v>
      </c>
      <c r="D56" s="3146">
        <v>73285.399999999994</v>
      </c>
      <c r="E56" s="3146">
        <v>109928.1</v>
      </c>
      <c r="F56" s="3146" t="s">
        <v>3451</v>
      </c>
      <c r="G56" s="3146" t="s">
        <v>3432</v>
      </c>
      <c r="H56" s="3146" t="s">
        <v>3590</v>
      </c>
      <c r="I56" s="3146" t="s">
        <v>3591</v>
      </c>
      <c r="J56" s="3146">
        <v>6276.89</v>
      </c>
      <c r="K56" s="3146">
        <v>6276.89</v>
      </c>
      <c r="L56" s="3146">
        <v>571</v>
      </c>
      <c r="M56" s="3146">
        <f t="shared" si="0"/>
        <v>57.100244472978254</v>
      </c>
      <c r="N56" s="3146">
        <v>0</v>
      </c>
    </row>
    <row r="57" spans="1:14">
      <c r="A57" s="3146" t="s">
        <v>3592</v>
      </c>
      <c r="B57" s="3146" t="s">
        <v>3380</v>
      </c>
      <c r="C57" s="3146" t="s">
        <v>2481</v>
      </c>
      <c r="D57" s="3146">
        <v>40148.6</v>
      </c>
      <c r="E57" s="3146">
        <v>60222.9</v>
      </c>
      <c r="F57" s="3146" t="s">
        <v>3451</v>
      </c>
      <c r="G57" s="3146" t="s">
        <v>3432</v>
      </c>
      <c r="H57" s="3146" t="s">
        <v>3590</v>
      </c>
      <c r="I57" s="3146" t="s">
        <v>3500</v>
      </c>
      <c r="J57" s="3146">
        <v>3438.73</v>
      </c>
      <c r="K57" s="3146">
        <v>3438.73</v>
      </c>
      <c r="L57" s="3146">
        <v>571</v>
      </c>
      <c r="M57" s="3146">
        <f t="shared" si="0"/>
        <v>57.100325518199888</v>
      </c>
      <c r="N57" s="3146">
        <v>0</v>
      </c>
    </row>
    <row r="58" spans="1:14">
      <c r="A58" s="3146" t="s">
        <v>3593</v>
      </c>
      <c r="B58" s="3146" t="s">
        <v>3380</v>
      </c>
      <c r="C58" s="3146" t="s">
        <v>2481</v>
      </c>
      <c r="D58" s="3146">
        <v>25694.7</v>
      </c>
      <c r="E58" s="3146">
        <v>38542.050000000003</v>
      </c>
      <c r="F58" s="3146" t="s">
        <v>3451</v>
      </c>
      <c r="G58" s="3146" t="s">
        <v>3432</v>
      </c>
      <c r="H58" s="3146" t="s">
        <v>3590</v>
      </c>
      <c r="I58" s="3146" t="s">
        <v>3479</v>
      </c>
      <c r="J58" s="3146">
        <v>2200.75</v>
      </c>
      <c r="K58" s="3146">
        <v>2200.75</v>
      </c>
      <c r="L58" s="3146">
        <v>571</v>
      </c>
      <c r="M58" s="3146">
        <f t="shared" si="0"/>
        <v>57.100258127162405</v>
      </c>
      <c r="N58" s="3146">
        <v>0</v>
      </c>
    </row>
    <row r="59" spans="1:14">
      <c r="A59" s="3146" t="s">
        <v>3594</v>
      </c>
      <c r="B59" s="3146" t="s">
        <v>3380</v>
      </c>
      <c r="C59" s="3146" t="s">
        <v>2481</v>
      </c>
      <c r="D59" s="3146">
        <v>30589.9</v>
      </c>
      <c r="E59" s="3146">
        <v>45884.85</v>
      </c>
      <c r="F59" s="3146" t="s">
        <v>3451</v>
      </c>
      <c r="G59" s="3146" t="s">
        <v>3432</v>
      </c>
      <c r="H59" s="3146" t="s">
        <v>3590</v>
      </c>
      <c r="I59" s="3146" t="s">
        <v>3595</v>
      </c>
      <c r="J59" s="3146">
        <v>2620.02</v>
      </c>
      <c r="K59" s="3146">
        <v>2620.02</v>
      </c>
      <c r="L59" s="3146">
        <v>571</v>
      </c>
      <c r="M59" s="3146">
        <f t="shared" si="0"/>
        <v>57.10017794762323</v>
      </c>
      <c r="N59" s="3146">
        <v>0</v>
      </c>
    </row>
    <row r="60" spans="1:14">
      <c r="A60" s="3146" t="s">
        <v>3596</v>
      </c>
      <c r="B60" s="3146" t="s">
        <v>3380</v>
      </c>
      <c r="C60" s="3146" t="s">
        <v>2481</v>
      </c>
      <c r="D60" s="3146">
        <v>26644.98</v>
      </c>
      <c r="E60" s="3146">
        <v>53289.96</v>
      </c>
      <c r="F60" s="3146" t="s">
        <v>3535</v>
      </c>
      <c r="G60" s="3146" t="s">
        <v>3432</v>
      </c>
      <c r="H60" s="3146" t="s">
        <v>3597</v>
      </c>
      <c r="I60" s="3146" t="s">
        <v>3598</v>
      </c>
      <c r="J60" s="3146">
        <v>3744.24</v>
      </c>
      <c r="K60" s="3146">
        <v>3744.24</v>
      </c>
      <c r="L60" s="3146">
        <v>702.62</v>
      </c>
      <c r="M60" s="3146">
        <f t="shared" si="0"/>
        <v>93.682655449544342</v>
      </c>
      <c r="N60" s="3146">
        <v>0</v>
      </c>
    </row>
    <row r="61" spans="1:14">
      <c r="A61" s="3146" t="s">
        <v>3599</v>
      </c>
      <c r="B61" s="3146" t="s">
        <v>3380</v>
      </c>
      <c r="C61" s="3146" t="s">
        <v>2481</v>
      </c>
      <c r="D61" s="3146">
        <v>67532.14</v>
      </c>
      <c r="E61" s="3146">
        <v>101298</v>
      </c>
      <c r="F61" s="3146" t="s">
        <v>3451</v>
      </c>
      <c r="G61" s="3146" t="s">
        <v>3432</v>
      </c>
      <c r="H61" s="3146" t="s">
        <v>3597</v>
      </c>
      <c r="I61" s="3146" t="s">
        <v>3600</v>
      </c>
      <c r="J61" s="3146">
        <v>7574.07</v>
      </c>
      <c r="K61" s="3146">
        <v>7574.07</v>
      </c>
      <c r="L61" s="3146">
        <v>747.7</v>
      </c>
      <c r="M61" s="3146">
        <f t="shared" si="0"/>
        <v>74.770401869391364</v>
      </c>
      <c r="N61" s="3146">
        <v>0</v>
      </c>
    </row>
  </sheetData>
  <phoneticPr fontId="134"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801" t="s">
        <v>925</v>
      </c>
      <c r="E3" s="801" t="s">
        <v>931</v>
      </c>
      <c r="F3" s="801" t="s">
        <v>925</v>
      </c>
      <c r="G3" s="801" t="s">
        <v>926</v>
      </c>
      <c r="H3" s="801" t="s">
        <v>925</v>
      </c>
      <c r="I3" s="801" t="s">
        <v>926</v>
      </c>
    </row>
    <row r="4" spans="1:9" ht="15">
      <c r="A4" s="1403" t="str">
        <f>项目基本情况!S2</f>
        <v>北京市房地产</v>
      </c>
      <c r="B4" s="801">
        <f>项目基本情况!C17</f>
        <v>6998.6</v>
      </c>
      <c r="C4" s="801">
        <f>项目基本情况!C18</f>
        <v>14034</v>
      </c>
      <c r="D4" s="801">
        <f ca="1">结果表!D118</f>
        <v>2144</v>
      </c>
      <c r="E4" s="801">
        <f ca="1">结果表!E118</f>
        <v>3063</v>
      </c>
      <c r="F4" s="801">
        <f ca="1">结果表!F118</f>
        <v>1972</v>
      </c>
      <c r="G4" s="801">
        <f ca="1">结果表!G118</f>
        <v>2818</v>
      </c>
      <c r="H4" s="801">
        <f ca="1">结果表!H118</f>
        <v>4116</v>
      </c>
      <c r="I4" s="801">
        <f ca="1">结果表!I118</f>
        <v>5881</v>
      </c>
    </row>
    <row r="5" spans="1:9" ht="30" customHeight="1">
      <c r="A5" s="3171" t="s">
        <v>927</v>
      </c>
      <c r="B5" s="3171"/>
      <c r="C5" s="3171"/>
      <c r="D5" s="3171" t="str">
        <f ca="1">结果表!D119</f>
        <v>贰仟壹佰肆拾肆万元整</v>
      </c>
      <c r="E5" s="3171"/>
      <c r="F5" s="3171" t="str">
        <f ca="1">结果表!F119</f>
        <v>壹仟玖佰柒拾贰万元整</v>
      </c>
      <c r="G5" s="3171"/>
      <c r="H5" s="3171" t="str">
        <f ca="1">结果表!H119</f>
        <v>肆仟壹佰壹拾陆万元整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4116</v>
      </c>
      <c r="E8" s="3172"/>
      <c r="F8" s="3172"/>
      <c r="G8" s="3172"/>
      <c r="H8" s="3172"/>
      <c r="I8" s="3172"/>
    </row>
    <row r="9" spans="1:9" ht="15">
      <c r="A9" s="3171" t="s">
        <v>927</v>
      </c>
      <c r="B9" s="3171"/>
      <c r="C9" s="3171"/>
      <c r="D9" s="3171" t="str">
        <f ca="1">结果表!D123</f>
        <v>肆仟壹佰壹拾陆万元整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
      </c>
      <c r="B12" s="3172"/>
      <c r="C12" s="3172"/>
      <c r="D12" s="3172" t="str">
        <f>结果表!D126</f>
        <v>——</v>
      </c>
      <c r="E12" s="3172"/>
      <c r="F12" s="3172"/>
      <c r="G12" s="3172"/>
      <c r="H12" s="3172"/>
      <c r="I12" s="3172"/>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44995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f ca="1">IF(C6&lt;B2,"已过期",1120050019)</f>
        <v>1120050019</v>
      </c>
      <c r="C6" s="2162">
        <v>45410</v>
      </c>
      <c r="D6" s="2163" t="str">
        <f t="shared" ca="1" si="0"/>
        <v>王鹏（注册号：1120050019）</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f ca="1">IF(C13&lt;B2,"已过期",1120020033)</f>
        <v>1120020033</v>
      </c>
      <c r="C13" s="2162">
        <v>45375</v>
      </c>
      <c r="D13" s="2163" t="str">
        <f t="shared" ca="1" si="0"/>
        <v>刘敬东（注册号：1120020033）</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2159</v>
      </c>
      <c r="B17" s="3195"/>
      <c r="C17" s="3195"/>
      <c r="D17" s="3195"/>
      <c r="E17" s="3195"/>
      <c r="F17" s="3195"/>
      <c r="G17" s="3195"/>
      <c r="H17" s="3195"/>
    </row>
    <row r="18" spans="1:8" ht="24" customHeight="1">
      <c r="A18" s="3196" t="s">
        <v>2160</v>
      </c>
      <c r="B18" s="3196"/>
      <c r="C18" s="3196"/>
      <c r="D18" s="2160"/>
      <c r="E18" s="3197" t="s">
        <v>2161</v>
      </c>
      <c r="F18" s="3196"/>
      <c r="G18" s="3196"/>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2023-03-10T02:27:32Z</dcterms:modified>
</cp:coreProperties>
</file>