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40" l="1"/>
  <c r="G41" i="40"/>
  <c r="E41" i="40"/>
  <c r="I34" i="40"/>
  <c r="G34" i="40"/>
  <c r="E34" i="40"/>
  <c r="C34" i="40"/>
  <c r="E66" i="40"/>
  <c r="F66" i="40" s="1"/>
  <c r="G66" i="40" s="1"/>
  <c r="H66" i="40" s="1"/>
  <c r="I66" i="40" s="1"/>
  <c r="J66" i="40" s="1"/>
  <c r="D66" i="40"/>
  <c r="I7" i="40"/>
  <c r="G7" i="40"/>
  <c r="E7" i="40"/>
  <c r="M61" i="81"/>
  <c r="M60" i="81"/>
  <c r="M59" i="81"/>
  <c r="M58" i="81"/>
  <c r="M57" i="81"/>
  <c r="M56" i="81"/>
  <c r="M55" i="81"/>
  <c r="M54" i="81"/>
  <c r="M53" i="81"/>
  <c r="M52" i="81"/>
  <c r="M51" i="81"/>
  <c r="M50" i="81"/>
  <c r="M49" i="81"/>
  <c r="M48" i="81"/>
  <c r="M47" i="81"/>
  <c r="M46" i="81"/>
  <c r="M45" i="81"/>
  <c r="M44" i="81"/>
  <c r="M43" i="81"/>
  <c r="M42" i="81"/>
  <c r="M41" i="81"/>
  <c r="M40" i="81"/>
  <c r="M39" i="81"/>
  <c r="M38" i="81"/>
  <c r="M37" i="81"/>
  <c r="M36" i="81"/>
  <c r="M35" i="81"/>
  <c r="M34" i="81"/>
  <c r="M33" i="81"/>
  <c r="M32" i="81"/>
  <c r="M31" i="81"/>
  <c r="M30" i="81"/>
  <c r="M29" i="81"/>
  <c r="M28" i="81"/>
  <c r="M27" i="81"/>
  <c r="M26" i="81"/>
  <c r="Q25" i="81"/>
  <c r="P25" i="81"/>
  <c r="M25" i="81"/>
  <c r="M24" i="81"/>
  <c r="M23" i="81"/>
  <c r="M22" i="81"/>
  <c r="M21" i="81"/>
  <c r="M20" i="81"/>
  <c r="Q19" i="81"/>
  <c r="P19" i="81"/>
  <c r="M19" i="81"/>
  <c r="M18" i="81"/>
  <c r="M17" i="81"/>
  <c r="M16" i="81"/>
  <c r="P15" i="81"/>
  <c r="M15" i="81"/>
  <c r="M14" i="81"/>
  <c r="M13" i="81"/>
  <c r="Q12" i="81"/>
  <c r="P12" i="81"/>
  <c r="M12" i="81"/>
  <c r="P11" i="81"/>
  <c r="Q11" i="81" s="1"/>
  <c r="M11" i="81"/>
  <c r="M10" i="81"/>
  <c r="M9" i="81"/>
  <c r="M8" i="81"/>
  <c r="M7" i="81"/>
  <c r="M6" i="81"/>
  <c r="M5" i="81"/>
  <c r="M4" i="81"/>
  <c r="M3" i="81"/>
  <c r="M2" i="81"/>
  <c r="B5" i="78"/>
  <c r="B7" i="78"/>
  <c r="B6" i="78"/>
  <c r="G84" i="43"/>
  <c r="G85" i="43"/>
  <c r="G86" i="43"/>
  <c r="G87" i="43"/>
  <c r="G88" i="43"/>
  <c r="G89" i="43"/>
  <c r="G90" i="43"/>
  <c r="G83" i="43"/>
  <c r="D33" i="43"/>
  <c r="Y6" i="1"/>
  <c r="N6" i="1"/>
  <c r="N19" i="1"/>
  <c r="F19" i="6"/>
  <c r="L26" i="79" l="1"/>
  <c r="M26" i="79"/>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7" i="79"/>
  <c r="W7" i="79" s="1"/>
  <c r="T6" i="79"/>
  <c r="W6" i="79" s="1"/>
  <c r="V9" i="79"/>
  <c r="V8" i="79"/>
  <c r="V7" i="79"/>
  <c r="V6" i="79"/>
  <c r="T28" i="79"/>
  <c r="W28" i="79" s="1"/>
  <c r="T26" i="79"/>
  <c r="W26" i="79" s="1"/>
  <c r="T27" i="79"/>
  <c r="W27" i="79" s="1"/>
  <c r="P5" i="79"/>
  <c r="S9" i="79"/>
  <c r="S8" i="79"/>
  <c r="S7" i="79"/>
  <c r="S6" i="79"/>
  <c r="U9" i="79"/>
  <c r="U8" i="79"/>
  <c r="U7" i="79"/>
  <c r="U6" i="79"/>
  <c r="S27" i="79"/>
  <c r="S28" i="79"/>
  <c r="S26" i="79"/>
  <c r="U29" i="79"/>
  <c r="U27" i="79"/>
  <c r="U26" i="79"/>
  <c r="U28"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c r="C63"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C51" i="71"/>
  <c r="D50" i="71"/>
  <c r="P28" i="71"/>
  <c r="E55" i="71"/>
  <c r="E56" i="71" s="1"/>
  <c r="U56" i="71" s="1"/>
  <c r="E63" i="71"/>
  <c r="E64" i="71" s="1"/>
  <c r="U64" i="71" s="1"/>
  <c r="U68" i="71"/>
  <c r="E67" i="71"/>
  <c r="Q28" i="71"/>
  <c r="AB25" i="71" s="1"/>
  <c r="D54" i="71"/>
  <c r="C59" i="71"/>
  <c r="D58" i="71"/>
  <c r="D62" i="71"/>
  <c r="B66" i="71"/>
  <c r="N66" i="71" s="1"/>
  <c r="T68" i="71"/>
  <c r="D68" i="71"/>
  <c r="Q68" i="71"/>
  <c r="C71" i="71"/>
  <c r="E71" i="71"/>
  <c r="E70" i="71" s="1"/>
  <c r="D72" i="71"/>
  <c r="E75" i="71"/>
  <c r="E74" i="71" s="1"/>
  <c r="D76" i="71"/>
  <c r="C79" i="71"/>
  <c r="E79" i="71"/>
  <c r="E78" i="71" s="1"/>
  <c r="D80" i="71"/>
  <c r="C83" i="71"/>
  <c r="C87" i="71"/>
  <c r="C86" i="71" s="1"/>
  <c r="D86" i="71" s="1"/>
  <c r="F28" i="71"/>
  <c r="F27" i="71" s="1"/>
  <c r="F26" i="71" s="1"/>
  <c r="AB26" i="71"/>
  <c r="AB28" i="71"/>
  <c r="E28" i="71"/>
  <c r="E27" i="71"/>
  <c r="E26" i="71" s="1"/>
  <c r="AA3" i="71"/>
  <c r="AA26" i="71"/>
  <c r="AA28" i="71"/>
  <c r="D83" i="71"/>
  <c r="C82" i="71"/>
  <c r="D82" i="71"/>
  <c r="N65" i="71"/>
  <c r="D87" i="71"/>
  <c r="D79" i="71"/>
  <c r="C78" i="71"/>
  <c r="D78" i="71" s="1"/>
  <c r="D71" i="71"/>
  <c r="C70" i="71"/>
  <c r="D70" i="71"/>
  <c r="C60" i="71"/>
  <c r="D59" i="71"/>
  <c r="P67" i="71"/>
  <c r="E66" i="71"/>
  <c r="P65" i="71" s="1"/>
  <c r="C52" i="71"/>
  <c r="D51" i="71"/>
  <c r="D43" i="71"/>
  <c r="D39" i="71"/>
  <c r="D35" i="71"/>
  <c r="D31" i="71"/>
  <c r="V28" i="71"/>
  <c r="P66"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c r="F90" i="40" s="1"/>
  <c r="G90" i="40"/>
  <c r="D88" i="40"/>
  <c r="E88" i="40"/>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c r="I120" i="34" s="1"/>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W9" i="34"/>
  <c r="U34" i="34"/>
  <c r="H39" i="33"/>
  <c r="AB39" i="33"/>
  <c r="F26" i="33"/>
  <c r="AA26"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U11"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AB17" i="33"/>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7" i="15"/>
  <c r="F43" i="15"/>
  <c r="F37" i="15"/>
  <c r="L47" i="15"/>
  <c r="E9" i="76"/>
  <c r="M8" i="67"/>
  <c r="B7" i="76"/>
  <c r="D3" i="73"/>
  <c r="M24" i="67"/>
  <c r="F16" i="67"/>
  <c r="M26" i="15"/>
  <c r="F6" i="73"/>
  <c r="D7" i="73"/>
  <c r="M29" i="67"/>
  <c r="F13" i="67"/>
  <c r="F13" i="15"/>
  <c r="F38" i="67"/>
  <c r="F4" i="73"/>
  <c r="F40" i="67"/>
  <c r="F43" i="67"/>
  <c r="M26" i="67"/>
  <c r="AO13" i="1"/>
  <c r="F6" i="67"/>
  <c r="M24" i="15"/>
  <c r="L47" i="67"/>
  <c r="F26" i="67"/>
  <c r="F42" i="67"/>
  <c r="M28" i="67"/>
  <c r="F5" i="73"/>
  <c r="M6" i="15"/>
  <c r="C76" i="15"/>
  <c r="B8" i="76"/>
  <c r="M23" i="15"/>
  <c r="F42" i="15"/>
  <c r="J15" i="67"/>
  <c r="E2" i="68"/>
  <c r="E8" i="76"/>
  <c r="J15" i="15"/>
  <c r="E11" i="76"/>
  <c r="F26" i="15"/>
  <c r="E10" i="76"/>
  <c r="M23" i="67"/>
  <c r="F36" i="67"/>
  <c r="M8" i="15"/>
  <c r="M29" i="15"/>
  <c r="B11" i="76"/>
  <c r="F16" i="15"/>
  <c r="F3" i="73"/>
  <c r="E12" i="76"/>
  <c r="C76" i="67"/>
  <c r="M22" i="15"/>
  <c r="F38" i="15"/>
  <c r="M9" i="67"/>
  <c r="B13" i="76"/>
  <c r="F37" i="67"/>
  <c r="E7" i="76"/>
  <c r="F8" i="67"/>
  <c r="B10" i="76"/>
  <c r="E13" i="76"/>
  <c r="L48" i="15"/>
  <c r="M6" i="67"/>
  <c r="F9" i="67"/>
  <c r="B9" i="76"/>
  <c r="F7" i="67"/>
  <c r="F8" i="15"/>
  <c r="F9" i="15"/>
  <c r="M28" i="15"/>
  <c r="F7" i="73"/>
  <c r="B12" i="76"/>
  <c r="F40" i="15"/>
  <c r="L48" i="67"/>
  <c r="F36" i="15"/>
  <c r="F20" i="31"/>
  <c r="F6" i="15"/>
  <c r="M9" i="15"/>
  <c r="E2" i="69"/>
  <c r="M22" i="67"/>
  <c r="D6" i="73"/>
  <c r="U36" i="40" l="1"/>
  <c r="F84" i="40"/>
  <c r="G84" i="40" s="1"/>
  <c r="J15" i="40"/>
  <c r="W15" i="40" s="1"/>
  <c r="F15" i="40"/>
  <c r="S15" i="40" s="1"/>
  <c r="H15" i="40"/>
  <c r="AA15" i="40"/>
  <c r="AC15" i="40"/>
  <c r="S11" i="40"/>
  <c r="AC11" i="40"/>
  <c r="C40" i="69"/>
  <c r="AZ557" i="3"/>
  <c r="D17" i="71"/>
  <c r="C16" i="71"/>
  <c r="D20" i="71"/>
  <c r="U20" i="71" s="1"/>
  <c r="T20" i="71"/>
  <c r="V20" i="71"/>
  <c r="AC11" i="35"/>
  <c r="E15" i="71"/>
  <c r="E14" i="71" s="1"/>
  <c r="E13" i="71" s="1"/>
  <c r="E12" i="71" s="1"/>
  <c r="V16" i="71"/>
  <c r="G28" i="6"/>
  <c r="F29" i="6"/>
  <c r="F30" i="6" s="1"/>
  <c r="AA41" i="34"/>
  <c r="J34" i="35"/>
  <c r="H34" i="35"/>
  <c r="F34" i="35"/>
  <c r="B73" i="43"/>
  <c r="B79" i="43"/>
  <c r="B76" i="43"/>
  <c r="B75" i="43"/>
  <c r="H12" i="35"/>
  <c r="J12" i="35"/>
  <c r="AZ399" i="3"/>
  <c r="AZ404" i="3"/>
  <c r="AZ411" i="3"/>
  <c r="AZ414" i="3"/>
  <c r="AZ421" i="3"/>
  <c r="AZ423" i="3"/>
  <c r="AZ427" i="3"/>
  <c r="AZ430" i="3"/>
  <c r="AZ440" i="3"/>
  <c r="AZ449" i="3"/>
  <c r="AZ453" i="3"/>
  <c r="AZ455" i="3"/>
  <c r="AZ460" i="3"/>
  <c r="AZ471" i="3"/>
  <c r="AZ476" i="3"/>
  <c r="AZ478" i="3"/>
  <c r="AZ484" i="3"/>
  <c r="AZ492" i="3"/>
  <c r="AZ395" i="3"/>
  <c r="AZ208" i="3"/>
  <c r="AZ211" i="3"/>
  <c r="AZ219" i="3"/>
  <c r="AZ289" i="3"/>
  <c r="H36" i="35"/>
  <c r="J36" i="35"/>
  <c r="J23" i="36"/>
  <c r="H23" i="36"/>
  <c r="F23" i="36"/>
  <c r="W31" i="35"/>
  <c r="AC31" i="35"/>
  <c r="G551" i="3"/>
  <c r="G5" i="3" s="1"/>
  <c r="B3" i="3" s="1"/>
  <c r="BL548" i="3"/>
  <c r="BL5" i="3" s="1"/>
  <c r="AZ226" i="3"/>
  <c r="AZ230" i="3"/>
  <c r="AZ242" i="3"/>
  <c r="AZ246" i="3"/>
  <c r="AZ258" i="3"/>
  <c r="AZ262" i="3"/>
  <c r="AZ267" i="3"/>
  <c r="AZ278" i="3"/>
  <c r="AZ284" i="3"/>
  <c r="AZ301" i="3"/>
  <c r="AZ122" i="3"/>
  <c r="AZ125" i="3"/>
  <c r="AZ169" i="3"/>
  <c r="AZ185" i="3"/>
  <c r="AZ201" i="3"/>
  <c r="AZ207" i="3"/>
  <c r="AZ25" i="3"/>
  <c r="AZ30" i="3"/>
  <c r="AZ36" i="3"/>
  <c r="AZ40" i="3"/>
  <c r="AZ46" i="3"/>
  <c r="AZ49" i="3"/>
  <c r="AZ62" i="3"/>
  <c r="AZ65" i="3"/>
  <c r="AZ76" i="3"/>
  <c r="AZ81" i="3"/>
  <c r="AZ90" i="3"/>
  <c r="AZ96" i="3"/>
  <c r="AZ99" i="3"/>
  <c r="AZ106" i="3"/>
  <c r="AZ112" i="3"/>
  <c r="C21" i="68"/>
  <c r="AC21" i="33"/>
  <c r="AC21" i="37"/>
  <c r="U21" i="34"/>
  <c r="W18" i="36"/>
  <c r="T40" i="71"/>
  <c r="D40" i="71"/>
  <c r="AA21" i="21"/>
  <c r="S21" i="21"/>
  <c r="T44" i="71"/>
  <c r="D44" i="71"/>
  <c r="T36" i="71"/>
  <c r="D36" i="71"/>
  <c r="C27" i="71"/>
  <c r="T28" i="71"/>
  <c r="D28" i="71"/>
  <c r="U28" i="71" s="1"/>
  <c r="D55" i="71"/>
  <c r="C56" i="71"/>
  <c r="C64" i="71"/>
  <c r="D63" i="71"/>
  <c r="U18" i="36"/>
  <c r="S25" i="40"/>
  <c r="C32" i="71"/>
  <c r="AA27" i="71"/>
  <c r="AA25" i="71"/>
  <c r="AB27" i="71"/>
  <c r="S28" i="71"/>
  <c r="C75" i="71"/>
  <c r="C67" i="71"/>
  <c r="X27" i="71"/>
  <c r="AB37" i="71"/>
  <c r="AA36" i="71"/>
  <c r="AB33" i="71"/>
  <c r="Y33" i="71"/>
  <c r="Z33" i="71" s="1"/>
  <c r="X32" i="71"/>
  <c r="X37" i="71"/>
  <c r="AA29" i="71"/>
  <c r="Y9" i="71"/>
  <c r="Z9" i="71" s="1"/>
  <c r="Y10" i="71"/>
  <c r="Z10" i="71" s="1"/>
  <c r="AA9" i="71"/>
  <c r="AA10" i="71"/>
  <c r="AB24" i="71"/>
  <c r="Y21" i="71"/>
  <c r="Z21" i="71" s="1"/>
  <c r="AB21" i="71"/>
  <c r="Y18" i="71"/>
  <c r="Z18" i="71" s="1"/>
  <c r="AB18" i="71"/>
  <c r="X13" i="71"/>
  <c r="AA14" i="71"/>
  <c r="X17" i="71"/>
  <c r="AA17" i="71"/>
  <c r="X9" i="71"/>
  <c r="X10" i="71"/>
  <c r="AB10" i="71"/>
  <c r="AB9" i="71"/>
  <c r="V68" i="71"/>
  <c r="F67" i="71"/>
  <c r="X22" i="71"/>
  <c r="AA24" i="71"/>
  <c r="AA22" i="71"/>
  <c r="X21" i="71"/>
  <c r="AA21" i="71"/>
  <c r="X18" i="71"/>
  <c r="AA18" i="71"/>
  <c r="Y14" i="71"/>
  <c r="Z14" i="71" s="1"/>
  <c r="Y17" i="71"/>
  <c r="Z17" i="71" s="1"/>
  <c r="AB17" i="71"/>
  <c r="X24" i="71"/>
  <c r="Y24" i="71"/>
  <c r="Z24" i="71" s="1"/>
  <c r="AB15" i="71"/>
  <c r="AB12" i="71"/>
  <c r="AB14" i="71"/>
  <c r="Y12" i="71"/>
  <c r="Z12" i="71" s="1"/>
  <c r="Y13" i="71"/>
  <c r="Z13" i="71" s="1"/>
  <c r="AA11" i="71"/>
  <c r="AA13" i="71"/>
  <c r="X12" i="71"/>
  <c r="Y23" i="71"/>
  <c r="Z23" i="71" s="1"/>
  <c r="Y22" i="71"/>
  <c r="Z22" i="71" s="1"/>
  <c r="AA23" i="71"/>
  <c r="AB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D4" i="73"/>
  <c r="C16" i="15"/>
  <c r="C16" i="67"/>
  <c r="D5" i="73"/>
  <c r="AB15" i="40" l="1"/>
  <c r="U15" i="40"/>
  <c r="E26" i="43"/>
  <c r="J26" i="43"/>
  <c r="G26" i="43"/>
  <c r="F26" i="43"/>
  <c r="D26" i="43" s="1"/>
  <c r="C25" i="43" s="1"/>
  <c r="E83" i="43"/>
  <c r="B81" i="43" s="1"/>
  <c r="K1" i="73"/>
  <c r="P6" i="1"/>
  <c r="C13" i="12" s="1"/>
  <c r="K16" i="1"/>
  <c r="E510" i="3"/>
  <c r="E539" i="3"/>
  <c r="E536" i="3"/>
  <c r="E244" i="3"/>
  <c r="E148" i="3"/>
  <c r="E149" i="3"/>
  <c r="E212" i="3"/>
  <c r="E167" i="3"/>
  <c r="E199" i="3"/>
  <c r="E141" i="3"/>
  <c r="E286" i="3"/>
  <c r="E312" i="3"/>
  <c r="AD6" i="3"/>
  <c r="E542" i="3"/>
  <c r="E502" i="3"/>
  <c r="E464" i="3"/>
  <c r="E541" i="3"/>
  <c r="E430" i="3"/>
  <c r="E449" i="3"/>
  <c r="E374" i="3"/>
  <c r="E566" i="3"/>
  <c r="E500" i="3"/>
  <c r="E582" i="3"/>
  <c r="E413" i="3"/>
  <c r="E460" i="3"/>
  <c r="E417" i="3"/>
  <c r="E479" i="3"/>
  <c r="E56" i="3"/>
  <c r="E57" i="3"/>
  <c r="E131" i="3"/>
  <c r="E132" i="3"/>
  <c r="E192" i="3"/>
  <c r="E258" i="3"/>
  <c r="E259" i="3"/>
  <c r="E363" i="3"/>
  <c r="E349" i="3"/>
  <c r="E504" i="3"/>
  <c r="E58" i="3"/>
  <c r="E110" i="3"/>
  <c r="E409" i="3"/>
  <c r="E484" i="3"/>
  <c r="E425" i="3"/>
  <c r="E467" i="3"/>
  <c r="E64" i="3"/>
  <c r="E46" i="3"/>
  <c r="E138" i="3"/>
  <c r="E195" i="3"/>
  <c r="E163" i="3"/>
  <c r="E267" i="3"/>
  <c r="E249" i="3"/>
  <c r="E300" i="3"/>
  <c r="E371" i="3"/>
  <c r="E354" i="3"/>
  <c r="E23" i="3"/>
  <c r="E84" i="3"/>
  <c r="E67" i="3"/>
  <c r="E87" i="3"/>
  <c r="E127" i="3"/>
  <c r="E233" i="3"/>
  <c r="E355" i="3"/>
  <c r="E381" i="3"/>
  <c r="E51" i="3"/>
  <c r="E19" i="3"/>
  <c r="E154" i="3"/>
  <c r="E179" i="3"/>
  <c r="E222"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5" i="3"/>
  <c r="E575" i="3"/>
  <c r="E499" i="3"/>
  <c r="R6" i="3"/>
  <c r="E552" i="3"/>
  <c r="E421" i="3"/>
  <c r="E442" i="3"/>
  <c r="E466" i="3"/>
  <c r="E487" i="3"/>
  <c r="E398" i="3"/>
  <c r="E416" i="3"/>
  <c r="E459" i="3"/>
  <c r="E255" i="3"/>
  <c r="I3" i="6"/>
  <c r="AP6" i="3"/>
  <c r="E554" i="3"/>
  <c r="E517" i="3"/>
  <c r="E435" i="3"/>
  <c r="E491" i="3"/>
  <c r="E520" i="3"/>
  <c r="E436" i="3"/>
  <c r="E39" i="3"/>
  <c r="E90" i="3"/>
  <c r="E37" i="3"/>
  <c r="E95" i="3"/>
  <c r="E152" i="3"/>
  <c r="E187" i="3"/>
  <c r="E155" i="3"/>
  <c r="E240" i="3"/>
  <c r="E297" i="3"/>
  <c r="E241" i="3"/>
  <c r="E292" i="3"/>
  <c r="E348" i="3"/>
  <c r="E378" i="3"/>
  <c r="E375" i="3"/>
  <c r="E389" i="3"/>
  <c r="E544" i="3"/>
  <c r="E76" i="3"/>
  <c r="E59" i="3"/>
  <c r="E488" i="3"/>
  <c r="E462" i="3"/>
  <c r="E521" i="3"/>
  <c r="E446" i="3"/>
  <c r="E47" i="3"/>
  <c r="E98" i="3"/>
  <c r="E65" i="3"/>
  <c r="E103" i="3"/>
  <c r="E160" i="3"/>
  <c r="E142" i="3"/>
  <c r="E200" i="3"/>
  <c r="E248" i="3"/>
  <c r="E209" i="3"/>
  <c r="E266" i="3"/>
  <c r="E307" i="3"/>
  <c r="E386" i="3"/>
  <c r="E310" i="3"/>
  <c r="E492" i="3"/>
  <c r="E584" i="3"/>
  <c r="E66" i="3"/>
  <c r="E24" i="3"/>
  <c r="E48" i="3"/>
  <c r="E33" i="3"/>
  <c r="E144" i="3"/>
  <c r="E184" i="3"/>
  <c r="E250" i="3"/>
  <c r="E284" i="3"/>
  <c r="E341" i="3"/>
  <c r="Y6" i="3"/>
  <c r="E68" i="3"/>
  <c r="E63" i="3"/>
  <c r="E81" i="3"/>
  <c r="E118" i="3"/>
  <c r="E264" i="3"/>
  <c r="E283" i="3"/>
  <c r="E309" i="3"/>
  <c r="E513"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H6" i="3" s="1"/>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O67" i="71"/>
  <c r="C66" i="71"/>
  <c r="D67" i="71"/>
  <c r="T32" i="71"/>
  <c r="D32" i="71"/>
  <c r="T64" i="71"/>
  <c r="D64" i="71"/>
  <c r="AA23" i="36"/>
  <c r="S23" i="36"/>
  <c r="AC23" i="36"/>
  <c r="W23" i="36"/>
  <c r="AB36" i="35"/>
  <c r="U36" i="35"/>
  <c r="W12" i="35"/>
  <c r="AC12" i="35"/>
  <c r="AA34" i="35"/>
  <c r="S34" i="35"/>
  <c r="AC34" i="35"/>
  <c r="W34" i="35"/>
  <c r="E11" i="71"/>
  <c r="E10" i="71" s="1"/>
  <c r="E9" i="71" s="1"/>
  <c r="E8" i="71" s="1"/>
  <c r="E7" i="71" s="1"/>
  <c r="E6" i="71" s="1"/>
  <c r="E5" i="71" s="1"/>
  <c r="V12" i="71"/>
  <c r="B15" i="71"/>
  <c r="B14" i="71" s="1"/>
  <c r="B13" i="71" s="1"/>
  <c r="B12" i="71" s="1"/>
  <c r="S16" i="71"/>
  <c r="F66" i="71"/>
  <c r="Q67" i="71"/>
  <c r="C74" i="71"/>
  <c r="D74" i="71" s="1"/>
  <c r="D75" i="71"/>
  <c r="T56" i="71"/>
  <c r="D56" i="71"/>
  <c r="C26" i="71"/>
  <c r="D26" i="71" s="1"/>
  <c r="D27" i="71"/>
  <c r="AB23" i="36"/>
  <c r="U23" i="36"/>
  <c r="W36" i="35"/>
  <c r="AC36" i="35"/>
  <c r="U12" i="35"/>
  <c r="AB12" i="35"/>
  <c r="AB34" i="35"/>
  <c r="U34" i="35"/>
  <c r="AZ548" i="3"/>
  <c r="AZ5" i="3" s="1"/>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G1" i="73"/>
  <c r="F41" i="67"/>
  <c r="B40" i="1" l="1"/>
  <c r="L36" i="43" s="1"/>
  <c r="L37" i="43" s="1"/>
  <c r="E3" i="6"/>
  <c r="AY6" i="3"/>
  <c r="D15" i="71"/>
  <c r="C14" i="71"/>
  <c r="E65" i="39"/>
  <c r="Q66" i="71"/>
  <c r="Q65" i="71"/>
  <c r="B11" i="71"/>
  <c r="B10" i="71" s="1"/>
  <c r="B9" i="71" s="1"/>
  <c r="B8" i="71" s="1"/>
  <c r="B7" i="71" s="1"/>
  <c r="B6" i="71" s="1"/>
  <c r="B5" i="71" s="1"/>
  <c r="S12" i="71"/>
  <c r="D66" i="71"/>
  <c r="O66" i="71"/>
  <c r="O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4" i="15"/>
  <c r="C24" i="15" s="1"/>
  <c r="M27" i="67"/>
  <c r="F41" i="15"/>
  <c r="M27" i="15"/>
  <c r="F22" i="11" l="1"/>
  <c r="C44" i="11" s="1"/>
  <c r="D41" i="11" s="1"/>
  <c r="F22" i="68"/>
  <c r="F41" i="68" s="1"/>
  <c r="F24" i="67"/>
  <c r="C24" i="67" s="1"/>
  <c r="F22" i="69"/>
  <c r="F41" i="69" s="1"/>
  <c r="Q36" i="43"/>
  <c r="M36" i="43"/>
  <c r="P36" i="43"/>
  <c r="O36" i="43"/>
  <c r="N36" i="43"/>
  <c r="D116" i="43"/>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8"/>
  <c r="D22" i="68" s="1"/>
  <c r="C26" i="12"/>
  <c r="D25" i="12" s="1"/>
  <c r="C66" i="67"/>
  <c r="C60" i="67"/>
  <c r="D10" i="69"/>
  <c r="C34" i="69"/>
  <c r="D10" i="68"/>
  <c r="C14" i="67"/>
  <c r="C17" i="15"/>
  <c r="C17" i="67"/>
  <c r="C26" i="11" l="1"/>
  <c r="D22" i="11" s="1"/>
  <c r="C23" i="11"/>
  <c r="C24" i="11"/>
  <c r="C44" i="68"/>
  <c r="D41" i="68" s="1"/>
  <c r="C44" i="69"/>
  <c r="D41" i="69" s="1"/>
  <c r="C26" i="69"/>
  <c r="D22" i="69" s="1"/>
  <c r="C25" i="1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L57" i="67" l="1"/>
  <c r="L60" i="67" s="1"/>
  <c r="L46" i="67" s="1"/>
  <c r="D2" i="67" s="1"/>
  <c r="B2" i="67" s="1"/>
  <c r="Q67" i="67"/>
  <c r="C5" i="71"/>
  <c r="D5" i="71" s="1"/>
  <c r="M24" i="43" s="1"/>
  <c r="D6" i="71"/>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7" i="1"/>
  <c r="AO11" i="1"/>
  <c r="AO6" i="1"/>
  <c r="AO8" i="1"/>
  <c r="AO9" i="1"/>
  <c r="AO12" i="1"/>
  <c r="AO10"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s="1"/>
  <c r="E14" i="74" l="1"/>
  <c r="F14" i="74"/>
  <c r="B5" i="74"/>
  <c r="D5" i="74" s="1"/>
  <c r="B6" i="74" l="1"/>
  <c r="D6" i="74" s="1"/>
  <c r="D118" i="9"/>
  <c r="D4" i="52" s="1"/>
  <c r="B47" i="72" s="1"/>
  <c r="F118" i="9"/>
  <c r="G118" i="9" s="1"/>
  <c r="G4" i="52" s="1"/>
  <c r="B52" i="72" s="1"/>
  <c r="H118" i="9"/>
  <c r="C104" i="9" s="1"/>
  <c r="H101" i="9" l="1"/>
  <c r="M48" i="9" s="1"/>
  <c r="I118" i="9"/>
  <c r="C105" i="9" s="1"/>
  <c r="D119" i="9"/>
  <c r="D5" i="52" s="1"/>
  <c r="B49" i="72" s="1"/>
  <c r="F4" i="52"/>
  <c r="B51" i="72" s="1"/>
  <c r="D45" i="9"/>
  <c r="F119" i="9"/>
  <c r="F5" i="52" s="1"/>
  <c r="B53" i="72" s="1"/>
  <c r="H119" i="9"/>
  <c r="H5" i="52" s="1"/>
  <c r="H4" i="52"/>
  <c r="E118" i="9" l="1"/>
  <c r="E4" i="52" s="1"/>
  <c r="B48" i="72" s="1"/>
  <c r="D5" i="53"/>
  <c r="D6" i="53" s="1"/>
  <c r="B22" i="72" s="1"/>
  <c r="I4" i="52"/>
  <c r="H102" i="9"/>
  <c r="C5" i="74" s="1"/>
  <c r="H107" i="9"/>
  <c r="D122" i="9" s="1"/>
  <c r="B20" i="72"/>
  <c r="D52" i="9"/>
  <c r="C64" i="9"/>
  <c r="C63" i="9" s="1"/>
  <c r="C67" i="9" s="1"/>
  <c r="C85" i="9"/>
  <c r="D53" i="9"/>
  <c r="C93" i="9"/>
  <c r="C86" i="9" s="1"/>
  <c r="C78" i="9"/>
  <c r="C73" i="9" s="1"/>
  <c r="C72" i="9"/>
  <c r="D55" i="9"/>
  <c r="M53" i="9" s="1"/>
  <c r="D7" i="53" l="1"/>
  <c r="B21" i="72" s="1"/>
  <c r="D13" i="53"/>
  <c r="B30" i="72" s="1"/>
  <c r="H108" i="9"/>
  <c r="C6" i="74" s="1"/>
  <c r="M49" i="9"/>
  <c r="L66" i="9" s="1"/>
  <c r="M66" i="9" s="1"/>
  <c r="C79" i="9"/>
  <c r="C80" i="9" s="1"/>
  <c r="E80" i="9" s="1"/>
  <c r="E81" i="9" s="1"/>
  <c r="L65" i="9"/>
  <c r="M65" i="9" s="1"/>
  <c r="D8" i="52"/>
  <c r="D123" i="9"/>
  <c r="D9" i="52" s="1"/>
  <c r="C95" i="9"/>
  <c r="D14" i="53"/>
  <c r="B32" i="72" s="1"/>
  <c r="D59" i="9"/>
  <c r="M55" i="9" s="1"/>
  <c r="C68" i="9"/>
  <c r="D54" i="9" s="1"/>
  <c r="L63" i="9" l="1"/>
  <c r="M63" i="9" s="1"/>
  <c r="L68" i="9"/>
  <c r="M68" i="9" s="1"/>
  <c r="D15" i="53"/>
  <c r="B31" i="72" s="1"/>
  <c r="L67" i="9"/>
  <c r="M67" i="9" s="1"/>
  <c r="L64" i="9"/>
  <c r="M64" i="9" s="1"/>
  <c r="C96" i="9"/>
  <c r="E96" i="9" s="1"/>
  <c r="E97" i="9" s="1"/>
  <c r="C81" i="9"/>
  <c r="M69" i="9" l="1"/>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<sst xmlns="http://schemas.openxmlformats.org/spreadsheetml/2006/main" count="8252" uniqueCount="3610">
  <si>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</si>
  <si>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</si>
  <si>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</si>
  <si>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</si>
  <si>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</si>
  <si>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</si>
  <si>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</si>
  <si>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</si>
  <si>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</si>
  <si>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</si>
  <si>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</si>
  <si>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</si>
  <si>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</si>
  <si>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</si>
  <si>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</si>
  <si>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</si>
  <si>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</si>
  <si>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</si>
  <si>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</si>
  <si>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</si>
  <si>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</si>
  <si>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</si>
  <si>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</si>
  <si>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</si>
  <si>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</si>
  <si>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</si>
  <si>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</si>
  <si>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</si>
  <si>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</si>
  <si>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</si>
  <si>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</si>
  <si>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</si>
  <si>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</si>
  <si>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</si>
  <si>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</si>
  <si>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</si>
  <si>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</si>
  <si>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</si>
  <si>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</si>
  <si>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</si>
  <si>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</si>
  <si>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</si>
  <si>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</si>
  <si>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</si>
  <si>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</si>
  <si>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</si>
  <si>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</si>
  <si>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</si>
  <si>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</si>
  <si>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</si>
  <si>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</si>
  <si>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</si>
  <si>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</si>
  <si>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</si>
  <si>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</si>
  <si>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</si>
  <si>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</si>
  <si>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</si>
  <si>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</si>
  <si>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</si>
  <si>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</si>
  <si>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</si>
  <si>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</si>
  <si>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</si>
  <si>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</si>
  <si>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</si>
  <si>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</si>
  <si>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</si>
  <si>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</si>
  <si>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</si>
  <si>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</si>
  <si>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</si>
  <si>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</si>
  <si>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</si>
  <si>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</si>
  <si>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</si>
  <si>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</si>
  <si>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</si>
  <si>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</si>
  <si>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</si>
  <si>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</si>
  <si>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</si>
  <si>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</si>
  <si>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</si>
  <si>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</si>
  <si>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</si>
  <si>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</si>
  <si>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</si>
  <si>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</si>
  <si>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</si>
  <si>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</si>
  <si>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</si>
  <si>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</si>
  <si>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</si>
  <si>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</si>
  <si>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</si>
  <si>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</si>
  <si>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</si>
  <si>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</si>
  <si>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</si>
  <si>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</si>
  <si>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</si>
  <si>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</si>
  <si>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</si>
  <si>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</si>
  <si>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</si>
  <si>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</si>
  <si>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</si>
  <si>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</si>
  <si>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</si>
  <si>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</si>
  <si>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</si>
  <si>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</si>
  <si>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</si>
  <si>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</si>
  <si>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</si>
  <si>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</si>
  <si>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</si>
  <si>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</si>
  <si>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</si>
  <si>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</si>
  <si>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</si>
  <si>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</si>
  <si>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</si>
  <si>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</si>
  <si>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</si>
  <si>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</si>
  <si>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</si>
  <si>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</si>
  <si>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</si>
  <si>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</si>
  <si>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</si>
  <si>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</si>
  <si>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</si>
  <si>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</si>
  <si>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</si>
  <si>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</si>
  <si>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</si>
  <si>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</si>
  <si>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</si>
  <si>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</si>
  <si>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</si>
  <si>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</si>
  <si>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</si>
  <si>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</si>
  <si>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</si>
  <si>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</si>
  <si>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</si>
  <si>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</si>
  <si>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</si>
  <si>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</si>
  <si>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</si>
  <si>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</si>
  <si>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</si>
  <si>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</si>
  <si>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</si>
  <si>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</si>
  <si>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</si>
  <si>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</si>
  <si>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</si>
  <si>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</si>
  <si>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</si>
  <si>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</si>
  <si>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</si>
  <si>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</si>
  <si>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</si>
  <si>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</si>
  <si>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</si>
  <si>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</si>
  <si>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</si>
  <si>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</si>
  <si>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</si>
  <si>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</si>
  <si>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</si>
  <si>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</si>
  <si>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</si>
  <si>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</si>
  <si>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</si>
  <si>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</si>
  <si>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</si>
  <si>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</si>
  <si>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</si>
  <si>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</si>
  <si>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</si>
  <si>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</si>
  <si>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</si>
  <si>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</si>
  <si>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</si>
  <si>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</si>
  <si>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</si>
  <si>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</si>
  <si>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</si>
  <si>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</si>
  <si>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</si>
  <si>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</si>
  <si>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</si>
  <si>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</si>
  <si>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</si>
  <si>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</si>
  <si>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</si>
  <si>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</si>
  <si>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</si>
  <si>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</si>
  <si>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</si>
  <si>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</si>
  <si>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</si>
  <si>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</si>
  <si>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</si>
  <si>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</si>
  <si>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</si>
  <si>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</si>
  <si>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</si>
  <si>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</si>
  <si>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</si>
  <si>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</si>
  <si>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</si>
  <si>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</si>
  <si>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</si>
  <si>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</si>
  <si>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</si>
  <si>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</si>
  <si>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</si>
  <si>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</si>
  <si>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</si>
  <si>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</si>
  <si>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</si>
  <si>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</si>
  <si>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</si>
  <si>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</si>
  <si>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</si>
  <si>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</si>
  <si>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</si>
  <si>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</si>
  <si>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</si>
  <si>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</si>
  <si>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</si>
  <si>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</si>
  <si>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</si>
  <si>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</si>
  <si>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</si>
  <si>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</si>
  <si>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</si>
  <si>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</si>
  <si>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</si>
  <si>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</si>
  <si>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</si>
  <si>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</si>
  <si>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</si>
  <si>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</si>
  <si>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</si>
  <si>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</si>
  <si>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</si>
  <si>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</si>
  <si>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</si>
  <si>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</si>
  <si>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</si>
  <si>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</si>
  <si>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</si>
  <si>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</si>
  <si>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</si>
  <si>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</si>
  <si>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</si>
  <si>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</si>
  <si>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</si>
  <si>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</si>
  <si>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</si>
  <si>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</si>
  <si>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</si>
  <si>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</si>
  <si>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</si>
  <si>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</si>
  <si>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</si>
  <si>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</si>
  <si>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</si>
  <si>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</si>
  <si>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</si>
  <si>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</si>
  <si>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</si>
  <si>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</si>
  <si>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</si>
  <si>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</si>
  <si>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</si>
  <si>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</si>
  <si>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</si>
  <si>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</si>
  <si>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</si>
  <si>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</si>
  <si>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</si>
  <si>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</si>
  <si>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</si>
  <si>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</si>
  <si>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</si>
  <si>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</si>
  <si>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</si>
  <si>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</si>
  <si>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</si>
  <si>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</si>
  <si>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</si>
  <si>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</si>
  <si>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</si>
  <si>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</si>
  <si>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</si>
  <si>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</si>
  <si>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</si>
  <si>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</si>
  <si>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</si>
  <si>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</si>
  <si>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</si>
  <si>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</si>
  <si>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</si>
  <si>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</si>
  <si>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</si>
  <si>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</si>
  <si>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</si>
  <si>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</si>
  <si>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</si>
  <si>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</si>
  <si>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</si>
  <si>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</si>
  <si>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</si>
  <si>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</si>
  <si>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</si>
  <si>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</si>
  <si>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</si>
  <si>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</si>
  <si>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</si>
  <si>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</si>
  <si>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</si>
  <si>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</si>
  <si>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</si>
  <si>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</si>
  <si>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</si>
  <si>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</si>
  <si>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</si>
  <si>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</si>
  <si>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</si>
  <si>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</si>
  <si>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</si>
  <si>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</si>
  <si>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</si>
  <si>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</si>
  <si>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</si>
  <si>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</si>
  <si>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</si>
  <si>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</si>
  <si>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</si>
  <si>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</si>
  <si>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</si>
  <si>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</si>
  <si>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</si>
  <si>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</si>
  <si>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</si>
  <si>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</si>
  <si>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</si>
  <si>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</si>
  <si>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</si>
  <si>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</si>
  <si>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</si>
  <si>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</si>
  <si>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</si>
  <si>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</si>
  <si>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</si>
  <si>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</si>
  <si>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</si>
  <si>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</si>
  <si>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</si>
  <si>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</si>
  <si>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</si>
  <si>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</si>
  <si>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</si>
  <si>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</si>
  <si>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</si>
  <si>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</si>
  <si>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</si>
  <si>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</si>
  <si>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</si>
  <si>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</si>
  <si>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</si>
  <si>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</si>
  <si>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</si>
  <si>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</si>
  <si>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</si>
  <si>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</si>
  <si>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</si>
  <si>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</si>
  <si>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</si>
  <si>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</si>
  <si>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</si>
  <si>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</si>
  <si>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</si>
  <si>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</si>
  <si>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</si>
  <si>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</si>
  <si>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</si>
  <si>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</si>
  <si>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</si>
  <si>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</si>
  <si>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</si>
  <si>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</si>
  <si>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</si>
  <si>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</si>
  <si>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</si>
  <si>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</si>
  <si>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</si>
  <si>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</si>
  <si>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</si>
  <si>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</si>
  <si>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</si>
  <si>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</si>
  <si>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</si>
  <si>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</si>
  <si>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</si>
  <si>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</si>
  <si>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</si>
  <si>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</si>
  <si>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</si>
  <si>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</si>
  <si>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</si>
  <si>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</si>
  <si>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</si>
  <si>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</si>
  <si>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</si>
  <si>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</si>
  <si>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</si>
  <si>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</si>
  <si>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</si>
  <si>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</si>
  <si>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</si>
  <si>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</si>
  <si>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</si>
  <si>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</si>
  <si>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</si>
  <si>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</si>
  <si>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</si>
  <si>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</si>
  <si>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</si>
  <si>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</si>
  <si>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</si>
  <si>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</si>
  <si>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</si>
  <si>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</si>
  <si>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</si>
  <si>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</si>
  <si>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</si>
  <si>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</si>
  <si>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</si>
  <si>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</si>
  <si>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</si>
  <si>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</si>
  <si>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</si>
  <si>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</si>
  <si>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</si>
  <si>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</si>
  <si>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</si>
  <si>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</si>
  <si>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</si>
  <si>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</si>
  <si>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</si>
  <si>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</si>
  <si>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</si>
  <si>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</si>
  <si>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</si>
  <si>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</si>
  <si>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</si>
  <si>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</si>
  <si>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</si>
  <si>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</si>
  <si>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</si>
  <si>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</si>
  <si>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</si>
  <si>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</si>
  <si>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</si>
  <si>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</si>
  <si>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</si>
  <si>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</si>
  <si>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</si>
  <si>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</si>
  <si>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</si>
  <si>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</si>
  <si>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</si>
  <si>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</si>
  <si>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</si>
  <si>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</si>
  <si>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</si>
  <si>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</si>
  <si>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</si>
  <si>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</si>
  <si>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</si>
  <si>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</si>
  <si>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</si>
  <si>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</si>
  <si>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</si>
  <si>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</si>
  <si>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</si>
  <si>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</si>
  <si>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</si>
  <si>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</si>
  <si>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</si>
  <si>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</si>
  <si>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</si>
  <si>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</si>
  <si>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</si>
  <si>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</si>
  <si>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</si>
  <si>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</si>
  <si>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</si>
  <si>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</si>
  <si>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</si>
  <si>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</si>
  <si>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</si>
  <si>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</si>
  <si>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</si>
  <si>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</si>
  <si>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</si>
  <si>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</si>
  <si>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</si>
  <si>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</si>
  <si>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</si>
  <si>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</si>
  <si>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</si>
  <si>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</si>
  <si>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</si>
  <si>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</si>
  <si>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</si>
  <si>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</si>
  <si>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</si>
  <si>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</si>
  <si>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</si>
  <si>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</si>
  <si>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</si>
  <si>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</si>
  <si>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</si>
  <si>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</si>
  <si>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</si>
  <si>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</si>
  <si>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</si>
  <si>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</si>
  <si>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</si>
  <si>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</si>
  <si>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</si>
  <si>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</si>
  <si>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</si>
  <si>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</si>
  <si>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</si>
  <si>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</si>
  <si>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</si>
  <si>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</si>
  <si>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</si>
  <si>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</si>
  <si>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</si>
  <si>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</si>
  <si>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</si>
  <si>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</si>
  <si>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</si>
  <si>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</si>
  <si>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</si>
  <si>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</si>
  <si>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</si>
  <si>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</si>
  <si>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</si>
  <si>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</si>
  <si>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</si>
  <si>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</si>
  <si>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</si>
  <si>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</si>
  <si>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</si>
  <si>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</si>
  <si>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</si>
  <si>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</si>
  <si>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</si>
  <si>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</si>
  <si>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</si>
  <si>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</si>
  <si>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</si>
  <si>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</si>
  <si>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</si>
  <si>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</si>
  <si>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</si>
  <si>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</si>
  <si>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</si>
  <si>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</si>
  <si>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</si>
  <si>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</si>
  <si>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</si>
  <si>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</si>
  <si>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</si>
  <si>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</si>
  <si>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</si>
  <si>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</si>
  <si>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</si>
  <si>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</si>
  <si>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</si>
  <si>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</si>
  <si>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</si>
  <si>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</si>
  <si>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</si>
  <si>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</si>
  <si>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</si>
  <si>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</si>
  <si>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</si>
  <si>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</si>
  <si>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</si>
  <si>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</si>
  <si>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</si>
  <si>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</si>
  <si>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</si>
  <si>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</si>
  <si>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</si>
  <si>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</si>
  <si>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</si>
  <si>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</si>
  <si>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</si>
  <si>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</si>
  <si>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</si>
  <si>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</si>
  <si>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</si>
  <si>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</si>
  <si>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</si>
  <si>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</si>
  <si>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</si>
  <si>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</si>
  <si>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</si>
  <si>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</si>
  <si>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</si>
  <si>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</si>
  <si>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</si>
  <si>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</si>
  <si>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</si>
  <si>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</si>
  <si>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</si>
  <si>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</si>
  <si>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</si>
  <si>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</si>
  <si>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</si>
  <si>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</si>
  <si>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</si>
  <si>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</si>
  <si>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</si>
  <si>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</si>
  <si>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</si>
  <si>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</si>
  <si>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</si>
  <si>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</si>
  <si>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</si>
  <si>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</si>
  <si>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</si>
  <si>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</si>
  <si>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</si>
  <si>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</si>
  <si>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</si>
  <si>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</si>
  <si>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</si>
  <si>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</si>
  <si>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</si>
  <si>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</si>
  <si>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</si>
  <si>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</si>
  <si>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</si>
  <si>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</si>
  <si>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</si>
  <si>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</si>
  <si>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</si>
  <si>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</si>
  <si>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</si>
  <si>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</si>
  <si>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</si>
  <si>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</si>
  <si>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</si>
  <si>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</si>
  <si>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</si>
  <si>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</si>
  <si>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</si>
  <si>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</si>
  <si>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</si>
  <si>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</si>
  <si>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</si>
  <si>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</si>
  <si>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</si>
  <si>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</si>
  <si>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</si>
  <si>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</si>
  <si>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</si>
  <si>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</si>
  <si>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</si>
  <si>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</si>
  <si>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</si>
  <si>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</si>
  <si>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</si>
  <si>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</si>
  <si>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</si>
  <si>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</si>
  <si>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</si>
  <si>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</si>
  <si>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</si>
  <si>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</si>
  <si>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</si>
  <si>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</si>
  <si>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</si>
  <si>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</si>
  <si>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</si>
  <si>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</si>
  <si>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</si>
  <si>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</si>
  <si>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</si>
  <si>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</si>
  <si>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</si>
  <si>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</si>
  <si>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</si>
  <si>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</si>
  <si>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</si>
  <si>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</si>
  <si>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</si>
  <si>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</si>
  <si>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</si>
  <si>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</si>
  <si>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</si>
  <si>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</si>
  <si>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</si>
  <si>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</si>
  <si>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</si>
  <si>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</si>
  <si>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</si>
  <si>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</si>
  <si>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</si>
  <si>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</si>
  <si>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</si>
  <si>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</si>
  <si>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</si>
  <si>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</si>
  <si>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</si>
  <si>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</si>
  <si>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</si>
  <si>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</si>
  <si>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</si>
  <si>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</si>
  <si>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</si>
  <si>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</si>
  <si>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</si>
  <si>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</si>
  <si>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</si>
  <si>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</si>
  <si>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</si>
  <si>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</si>
  <si>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</si>
  <si>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</si>
  <si>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</si>
  <si>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</si>
  <si>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</si>
  <si>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</si>
  <si>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</si>
  <si>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</si>
  <si>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</si>
  <si>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</si>
  <si>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</si>
  <si>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</si>
  <si>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</si>
  <si>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</si>
  <si>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</si>
  <si>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</si>
  <si>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</si>
  <si>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</si>
  <si>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</si>
  <si>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</si>
  <si>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</si>
  <si>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</si>
  <si>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</si>
  <si>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</si>
  <si>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</si>
  <si>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</si>
  <si>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</si>
  <si>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</si>
  <si>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</si>
  <si>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</si>
  <si>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</si>
  <si>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</si>
  <si>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</si>
  <si>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</si>
  <si>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</si>
  <si>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</si>
  <si>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</si>
  <si>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</si>
  <si>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</si>
  <si>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</si>
  <si>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</si>
  <si>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</si>
  <si>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</si>
  <si>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</si>
  <si>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</si>
  <si>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</si>
  <si>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</si>
  <si>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</si>
  <si>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</si>
  <si>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</si>
  <si>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</si>
  <si>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</si>
  <si>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</si>
  <si>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</si>
  <si>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</si>
  <si>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</si>
  <si>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</si>
  <si>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</si>
  <si>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</si>
  <si>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</si>
  <si>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</si>
  <si>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</si>
  <si>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</si>
  <si>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</si>
  <si>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</si>
  <si>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</si>
  <si>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</si>
  <si>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</si>
  <si>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</si>
  <si>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</si>
  <si>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</si>
  <si>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</si>
  <si>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</si>
  <si>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</si>
  <si>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</si>
  <si>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</si>
  <si>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</si>
  <si>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</si>
  <si>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</si>
  <si>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</si>
  <si>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</si>
  <si>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</si>
  <si>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</si>
  <si>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</si>
  <si>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</si>
  <si>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</si>
  <si>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</si>
  <si>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</si>
  <si>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</si>
  <si>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</si>
  <si>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</si>
  <si>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</si>
  <si>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</si>
  <si>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</si>
  <si>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</si>
  <si>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</si>
  <si>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</si>
  <si>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</si>
  <si>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</si>
  <si>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</si>
  <si>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</si>
  <si>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</si>
  <si>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</si>
  <si>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</si>
  <si>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</si>
  <si>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</si>
  <si>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</si>
  <si>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</si>
  <si>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</si>
  <si>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</si>
  <si>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</si>
  <si>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</si>
  <si>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</si>
  <si>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</si>
  <si>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</si>
  <si>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</si>
  <si>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</si>
  <si>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</si>
  <si>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</si>
  <si>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</si>
  <si>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</si>
  <si>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</si>
  <si>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</si>
  <si>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</si>
  <si>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</si>
  <si>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</si>
  <si>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</si>
  <si>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</si>
  <si>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</si>
  <si>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</si>
  <si>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</si>
  <si>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</si>
  <si>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</si>
  <si>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</si>
  <si>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</si>
  <si>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</si>
  <si>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</si>
  <si>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</si>
  <si>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</si>
  <si>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</si>
  <si>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</si>
  <si>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</si>
  <si>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</si>
  <si>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</si>
  <si>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</si>
  <si>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</si>
  <si>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</si>
  <si>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</si>
  <si>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</si>
  <si>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</si>
  <si>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</si>
  <si>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</si>
  <si>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</si>
  <si>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</si>
  <si>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</si>
  <si>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</si>
  <si>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</si>
  <si>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</si>
  <si>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</si>
  <si>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</si>
  <si>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</si>
  <si>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</si>
  <si>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</si>
  <si>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</si>
  <si>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</si>
  <si>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</si>
  <si>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</si>
  <si>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</si>
  <si>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</si>
  <si>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</si>
  <si>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</si>
  <si>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</si>
  <si>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</si>
  <si>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</si>
  <si>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</si>
  <si>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</si>
  <si>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</si>
  <si>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</si>
  <si>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</si>
  <si>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</si>
  <si>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</si>
  <si>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</si>
  <si>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</si>
  <si>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</si>
  <si>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</si>
  <si>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</si>
  <si>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</si>
  <si>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</si>
  <si>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</si>
  <si>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</si>
  <si>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</si>
  <si>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</si>
  <si>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</si>
  <si>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</si>
  <si>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</si>
  <si>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</si>
  <si>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</si>
  <si>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</si>
  <si>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</si>
  <si>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</si>
  <si>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</si>
  <si>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</si>
  <si>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</si>
  <si>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</si>
  <si>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</si>
  <si>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</si>
  <si>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</si>
  <si>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</si>
  <si>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</si>
  <si>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</si>
  <si>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</si>
  <si>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</si>
  <si>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</si>
  <si>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</si>
  <si>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</si>
  <si>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</si>
  <si>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</si>
  <si>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</si>
  <si>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</si>
  <si>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</si>
  <si>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</si>
  <si>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</si>
  <si>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</si>
  <si>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</si>
  <si>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</si>
  <si>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</si>
  <si>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</si>
  <si>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</si>
  <si>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</si>
  <si>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</si>
  <si>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</si>
  <si>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</si>
  <si>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</si>
  <si>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</si>
  <si>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</si>
  <si>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</si>
  <si>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</si>
  <si>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</si>
  <si>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</si>
  <si>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</si>
  <si>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</si>
  <si>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</si>
  <si>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</si>
  <si>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</si>
  <si>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</si>
  <si>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</si>
  <si>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</si>
  <si>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</si>
  <si>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</si>
  <si>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</si>
  <si>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</si>
  <si>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</si>
  <si>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</si>
  <si>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</si>
  <si>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</si>
  <si>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</si>
  <si>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</si>
  <si>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</si>
  <si>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</si>
  <si>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</si>
  <si>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</si>
  <si>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</si>
  <si>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</si>
  <si>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</si>
  <si>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</si>
  <si>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</si>
  <si>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</si>
  <si>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</si>
  <si>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</si>
  <si>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</si>
  <si>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</si>
  <si>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</si>
  <si>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</si>
  <si>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</si>
  <si>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</si>
  <si>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</si>
  <si>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</si>
  <si>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</si>
  <si>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</si>
  <si>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</si>
  <si>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</si>
  <si>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</si>
  <si>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</si>
  <si>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</si>
  <si>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</si>
  <si>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</si>
  <si>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</si>
  <si>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</si>
  <si>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</si>
  <si>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</si>
  <si>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</si>
  <si>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</si>
  <si>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</si>
  <si>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</si>
  <si>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</si>
  <si>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</si>
  <si>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</si>
  <si>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</si>
  <si>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</si>
  <si>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</si>
  <si>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</si>
  <si>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</si>
  <si>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</si>
  <si>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</si>
  <si>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</si>
  <si>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</si>
  <si>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</si>
  <si>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</si>
  <si>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</si>
  <si>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</si>
  <si>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</si>
  <si>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</si>
  <si>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</si>
  <si>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</si>
  <si>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</si>
  <si>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</si>
  <si>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</si>
  <si>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</si>
  <si>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</si>
  <si>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</si>
  <si>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</si>
  <si>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</si>
  <si>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</si>
  <si>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</si>
  <si>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</si>
  <si>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</si>
  <si>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</si>
  <si>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</si>
  <si>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</si>
  <si>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</si>
  <si>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</si>
  <si>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</si>
  <si>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</si>
  <si>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</si>
  <si>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</si>
  <si>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</si>
  <si>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</si>
  <si>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</si>
  <si>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</si>
  <si>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</si>
  <si>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</si>
  <si>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</si>
  <si>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</si>
  <si>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</si>
  <si>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</si>
  <si>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</si>
  <si>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</si>
  <si>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</si>
  <si>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</si>
  <si>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</si>
  <si>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</si>
  <si>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</si>
  <si>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</si>
  <si>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</si>
  <si>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</si>
  <si>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</si>
  <si>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</si>
  <si>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</si>
  <si>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</si>
  <si>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</si>
  <si>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</si>
  <si>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</si>
  <si>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</si>
  <si>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</si>
  <si>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</si>
  <si>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</si>
  <si>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</si>
  <si>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</si>
  <si>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</si>
  <si>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</si>
  <si>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</si>
  <si>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</si>
  <si>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</si>
  <si>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</si>
  <si>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</si>
  <si>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</si>
  <si>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</si>
  <si>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</si>
  <si>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</si>
  <si>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</si>
  <si>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</si>
  <si>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</si>
  <si>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</si>
  <si>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</si>
  <si>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</si>
  <si>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</si>
  <si>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</si>
  <si>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</si>
  <si>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</si>
  <si>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</si>
  <si>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</si>
  <si>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</si>
  <si>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</si>
  <si>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</si>
  <si>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</si>
  <si>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</si>
  <si>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</si>
  <si>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</si>
  <si>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</si>
  <si>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</si>
  <si>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</si>
  <si>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</si>
  <si>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</si>
  <si>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</si>
  <si>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</si>
  <si>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</si>
  <si>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</si>
  <si>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</si>
  <si>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</si>
  <si>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</si>
  <si>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</si>
  <si>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</si>
  <si>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</si>
  <si>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</si>
  <si>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</si>
  <si>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</si>
  <si>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</si>
  <si>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</si>
  <si>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</si>
  <si>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</si>
  <si>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</si>
  <si>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</si>
  <si>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</si>
  <si>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</si>
  <si>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</si>
  <si>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</si>
  <si>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</si>
  <si>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</si>
  <si>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</si>
  <si>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</si>
  <si>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</si>
  <si>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</si>
  <si>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</si>
  <si>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</si>
  <si>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</si>
  <si>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</si>
  <si>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</si>
  <si>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</si>
  <si>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</si>
  <si>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</si>
  <si>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</si>
  <si>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</si>
  <si>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</si>
  <si>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</si>
  <si>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</si>
  <si>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</si>
  <si>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</si>
  <si>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</si>
  <si>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</si>
  <si>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</si>
  <si>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</si>
  <si>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</si>
  <si>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</si>
  <si>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</si>
  <si>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</si>
  <si>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</si>
  <si>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</si>
  <si>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</si>
  <si>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</si>
  <si>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</si>
  <si>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</si>
  <si>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</si>
  <si>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</si>
  <si>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</si>
  <si>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</si>
  <si>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</si>
  <si>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</si>
  <si>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</si>
  <si>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</si>
  <si>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</si>
  <si>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</si>
  <si>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</si>
  <si>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</si>
  <si>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</si>
  <si>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</si>
  <si>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</si>
  <si>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</si>
  <si>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</si>
  <si>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</si>
  <si>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</si>
  <si>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</si>
  <si>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</si>
  <si>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</si>
  <si>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</si>
  <si>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</si>
  <si>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</si>
  <si>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</si>
  <si>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</si>
  <si>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</si>
  <si>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</si>
  <si>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</si>
  <si>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</si>
  <si>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</si>
  <si>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</si>
  <si>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</si>
  <si>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</si>
  <si>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</si>
  <si>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</si>
  <si>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</si>
  <si>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</si>
  <si>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</si>
  <si>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</si>
  <si>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</si>
  <si>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</si>
  <si>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</si>
  <si>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</si>
  <si>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</si>
  <si>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</si>
  <si>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</si>
  <si>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</si>
  <si>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</si>
  <si>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</si>
  <si>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</si>
  <si>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</si>
  <si>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</si>
  <si>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</si>
  <si>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</si>
  <si>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</si>
  <si>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</si>
  <si>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</si>
  <si>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</si>
  <si>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</si>
  <si>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</si>
  <si>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</si>
  <si>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</si>
  <si>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</si>
  <si>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</si>
  <si>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</si>
  <si>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</si>
  <si>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</si>
  <si>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</si>
  <si>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</si>
  <si>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</si>
  <si>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</si>
  <si>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</si>
  <si>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</si>
  <si>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</si>
  <si>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</si>
  <si>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</si>
  <si>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</si>
  <si>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</si>
  <si>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</si>
  <si>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</si>
  <si>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</si>
  <si>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</si>
  <si>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</si>
  <si>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</si>
  <si>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</si>
  <si>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</si>
  <si>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</si>
  <si>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</si>
  <si>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</si>
  <si>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</si>
  <si>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</si>
  <si>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</si>
  <si>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</si>
  <si>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</si>
  <si>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</si>
  <si>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</si>
  <si>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</si>
  <si>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</si>
  <si>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</si>
  <si>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</si>
  <si>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</si>
  <si>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</si>
  <si>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</si>
  <si>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</si>
  <si>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</si>
  <si>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</si>
  <si>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</si>
  <si>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</si>
  <si>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</si>
  <si>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</si>
  <si>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</si>
  <si>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</si>
  <si>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</si>
  <si>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</si>
  <si>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</si>
  <si>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</si>
  <si>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</si>
  <si>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</si>
  <si>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</si>
  <si>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</si>
  <si>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</si>
  <si>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</si>
  <si>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</si>
  <si>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</si>
  <si>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</si>
  <si>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</si>
  <si>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</si>
  <si>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</si>
  <si>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</si>
  <si>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</si>
  <si>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</si>
  <si>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</si>
  <si>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</si>
  <si>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</si>
  <si>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</si>
  <si>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</si>
  <si>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</si>
  <si>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</si>
  <si>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</si>
  <si>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</si>
  <si>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</si>
  <si>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</si>
  <si>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</si>
  <si>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</si>
  <si>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</si>
  <si>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</si>
  <si>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</si>
  <si>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</si>
  <si>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</si>
  <si>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</si>
  <si>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</si>
  <si>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</si>
  <si>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</si>
  <si>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</si>
  <si>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</si>
  <si>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</si>
  <si>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</si>
  <si>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</si>
  <si>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</si>
  <si>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</si>
  <si>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</si>
  <si>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</si>
  <si>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</si>
  <si>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</si>
  <si>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</si>
  <si>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</si>
  <si>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</si>
  <si>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</si>
  <si>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</si>
  <si>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</si>
  <si>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</si>
  <si>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</si>
  <si>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</si>
  <si>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</si>
  <si>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</si>
  <si>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</si>
  <si>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</si>
  <si>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</si>
  <si>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</si>
  <si>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</si>
  <si>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</si>
  <si>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</si>
  <si>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</si>
  <si>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</si>
  <si>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</si>
  <si>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</si>
  <si>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</si>
  <si>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</si>
  <si>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</si>
  <si>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</si>
  <si>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</si>
  <si>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</si>
  <si>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</si>
  <si>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</si>
  <si>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</si>
  <si>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</si>
  <si>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</si>
  <si>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</si>
  <si>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</si>
  <si>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</si>
  <si>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</si>
  <si>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</si>
  <si>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</si>
  <si>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</si>
  <si>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</si>
  <si>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</si>
  <si>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</si>
  <si>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</si>
  <si>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</si>
  <si>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</si>
  <si>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</si>
  <si>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</si>
  <si>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</si>
  <si>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</si>
  <si>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</si>
  <si>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</si>
  <si>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</si>
  <si>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</si>
  <si>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</si>
  <si>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</si>
  <si>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</si>
  <si>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</si>
  <si>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</si>
  <si>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</si>
  <si>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</si>
  <si>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</si>
  <si>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</si>
  <si>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</si>
  <si>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</si>
  <si>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</si>
  <si>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</si>
  <si>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</si>
  <si>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</si>
  <si>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</si>
  <si>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</si>
  <si>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</si>
  <si>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</si>
  <si>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</si>
  <si>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</si>
  <si>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</si>
  <si>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</si>
  <si>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</si>
  <si>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</si>
  <si>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</si>
  <si>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</si>
  <si>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</si>
  <si>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</si>
  <si>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</si>
  <si>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</si>
  <si>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</si>
  <si>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</si>
  <si>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</si>
  <si>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</si>
  <si>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</si>
  <si>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</si>
  <si>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</si>
  <si>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</si>
  <si>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</si>
  <si>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</si>
  <si>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</si>
  <si>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</si>
  <si>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</si>
  <si>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</si>
  <si>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</si>
  <si>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</si>
  <si>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</si>
  <si>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</si>
  <si>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</si>
  <si>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</si>
  <si>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</si>
  <si>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</si>
  <si>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</si>
  <si>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</si>
  <si>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</si>
  <si>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</si>
  <si>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</si>
  <si>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</si>
  <si>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</si>
  <si>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</si>
  <si>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</si>
  <si>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</si>
  <si>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</si>
  <si>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</si>
  <si>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</si>
  <si>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</si>
  <si>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</si>
  <si>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</si>
  <si>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</si>
  <si>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</si>
  <si>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</si>
  <si>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</si>
  <si>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</si>
  <si>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</si>
  <si>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</si>
  <si>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</si>
  <si>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</si>
  <si>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</si>
  <si>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</si>
  <si>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</si>
  <si>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</si>
  <si>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</si>
  <si>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</si>
  <si>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</si>
  <si>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</si>
  <si>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</si>
  <si>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</si>
  <si>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</si>
  <si>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</si>
  <si>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</si>
  <si>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</si>
  <si>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</si>
  <si>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</si>
  <si>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</si>
  <si>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</si>
  <si>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</si>
  <si>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</si>
  <si>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</si>
  <si>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</si>
  <si>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</si>
  <si>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</si>
  <si>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</si>
  <si>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</si>
  <si>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</si>
  <si>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</si>
  <si>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</si>
  <si>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</si>
  <si>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</si>
  <si>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</si>
  <si>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</si>
  <si>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</si>
  <si>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</si>
  <si>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</si>
  <si>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</si>
  <si>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</si>
  <si>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</si>
  <si>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</si>
  <si>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</si>
  <si>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</si>
  <si>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</si>
  <si>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</si>
  <si>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</si>
  <si>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</si>
  <si>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</si>
  <si>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</si>
  <si>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</si>
  <si>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</si>
  <si>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</si>
  <si>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</si>
  <si>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</si>
  <si>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</si>
  <si>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</si>
  <si>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</si>
  <si>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</si>
  <si>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</si>
  <si>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</si>
  <si>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</si>
  <si>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</si>
  <si>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</si>
  <si>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</si>
  <si>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</si>
  <si>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</si>
  <si>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</si>
  <si>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</si>
  <si>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</si>
  <si>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</si>
  <si>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</si>
  <si>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</si>
  <si>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</si>
  <si>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</si>
  <si>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</si>
  <si>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</si>
  <si>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</si>
  <si>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</si>
  <si>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</si>
  <si>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</si>
  <si>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</si>
  <si>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</si>
  <si>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</si>
  <si>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</si>
  <si>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</si>
  <si>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</si>
  <si>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</si>
  <si>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</si>
  <si>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</si>
  <si>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</si>
  <si>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</si>
  <si>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</si>
  <si>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</si>
  <si>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</si>
  <si>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</si>
  <si>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</si>
  <si>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</si>
  <si>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</si>
  <si>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</si>
  <si>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</si>
  <si>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</si>
  <si>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</si>
  <si>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</si>
  <si>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</si>
  <si>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</si>
  <si>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</si>
  <si>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</si>
  <si>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</si>
  <si>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</si>
  <si>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</si>
  <si>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</si>
  <si>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</si>
  <si>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</si>
  <si>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</si>
  <si>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</si>
  <si>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</si>
  <si>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</si>
  <si>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</si>
  <si>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</si>
  <si>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</si>
  <si>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</si>
  <si>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</si>
  <si>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</si>
  <si>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</si>
  <si>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</si>
  <si>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</si>
  <si>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</si>
  <si>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</si>
  <si>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</si>
  <si>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</si>
  <si>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</si>
  <si>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</si>
  <si>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</si>
  <si>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</si>
  <si>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</si>
  <si>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</si>
  <si>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</si>
  <si>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</si>
  <si>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</si>
  <si>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</si>
  <si>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</si>
  <si>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</si>
  <si>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</si>
  <si>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</si>
  <si>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</si>
  <si>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</si>
  <si>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</si>
  <si>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</si>
  <si>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</si>
  <si>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</si>
  <si>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</si>
  <si>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</si>
  <si>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</si>
  <si>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</si>
  <si>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</si>
  <si>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</si>
  <si>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</si>
  <si>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</si>
  <si>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</si>
  <si>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</si>
  <si>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</si>
  <si>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</si>
  <si>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</si>
  <si>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</si>
  <si>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</si>
  <si>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</si>
  <si>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</si>
  <si>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</si>
  <si>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</si>
  <si>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</si>
  <si>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</si>
  <si>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</si>
  <si>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</si>
  <si>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</si>
  <si>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</si>
  <si>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</si>
  <si>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</si>
  <si>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</si>
  <si>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</si>
  <si>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</si>
  <si>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</si>
  <si>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</si>
  <si>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</si>
  <si>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</si>
  <si>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</si>
  <si>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</si>
  <si>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</si>
  <si>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</si>
  <si>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</si>
  <si>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</si>
  <si>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</si>
  <si>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</si>
  <si>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</si>
  <si>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</si>
  <si>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</si>
  <si>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</si>
  <si>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</si>
  <si>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</si>
  <si>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</si>
  <si>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</si>
  <si>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</si>
  <si>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</si>
  <si>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</si>
  <si>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</si>
  <si>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</si>
  <si>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</si>
  <si>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</si>
  <si>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</si>
  <si>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</si>
  <si>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</si>
  <si>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</si>
  <si>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</si>
  <si>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</si>
  <si>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</si>
  <si>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</si>
  <si>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</si>
  <si>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</si>
  <si>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</si>
  <si>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</si>
  <si>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</si>
  <si>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</si>
  <si>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</si>
  <si>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</si>
  <si>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</si>
  <si>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</si>
  <si>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</si>
  <si>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</si>
  <si>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</si>
  <si>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</si>
  <si>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</si>
  <si>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</si>
  <si>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</si>
  <si>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</si>
  <si>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</si>
  <si>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</si>
  <si>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</si>
  <si>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</si>
  <si>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</si>
  <si>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</si>
  <si>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</si>
  <si>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</si>
  <si>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</si>
  <si>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</si>
  <si>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</si>
  <si>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</si>
  <si>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</si>
  <si>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</si>
  <si>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</si>
  <si>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</si>
  <si>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</si>
  <si>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</si>
  <si>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</si>
  <si>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</si>
  <si>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</si>
  <si>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</si>
  <si>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</si>
  <si>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</si>
  <si>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</si>
  <si>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</si>
  <si>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</si>
  <si>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</si>
  <si>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</si>
  <si>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</si>
  <si>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</si>
  <si>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</si>
  <si>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</si>
  <si>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</si>
  <si>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</si>
  <si>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</si>
  <si>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</si>
  <si>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</si>
  <si>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</si>
  <si>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</si>
  <si>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</si>
  <si>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</si>
  <si>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</si>
  <si>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</si>
  <si>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</si>
  <si>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</si>
  <si>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</si>
  <si>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</si>
  <si>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</si>
  <si>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</si>
  <si>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</si>
  <si>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</si>
  <si>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</si>
  <si>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</si>
  <si>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</si>
  <si>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</si>
  <si>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</si>
  <si>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</si>
  <si>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</si>
  <si>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</si>
  <si>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</si>
  <si>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</si>
  <si>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</si>
  <si>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</si>
  <si>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</si>
  <si>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</si>
  <si>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</si>
  <si>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</si>
  <si>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</si>
  <si>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</si>
  <si>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</si>
  <si>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</si>
  <si>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</si>
  <si>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</si>
  <si>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</si>
  <si>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</si>
  <si>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</si>
  <si>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</si>
  <si>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</si>
  <si>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</si>
  <si>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</si>
  <si>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</si>
  <si>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</si>
  <si>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</si>
  <si>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</si>
  <si>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</si>
  <si>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</si>
  <si>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</si>
  <si>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</si>
  <si>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</si>
  <si>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</si>
  <si>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</si>
  <si>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</si>
  <si>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</si>
  <si>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</si>
  <si>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</si>
  <si>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</si>
  <si>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</si>
  <si>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</si>
  <si>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</si>
  <si>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</si>
  <si>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</si>
  <si>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</si>
  <si>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</si>
  <si>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</si>
  <si>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</si>
  <si>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</si>
  <si>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</si>
  <si>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</si>
  <si>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</si>
  <si>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</si>
  <si>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</si>
  <si>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</si>
  <si>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</si>
  <si>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</si>
  <si>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</si>
  <si>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</si>
  <si>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</si>
  <si>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</si>
  <si>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</si>
  <si>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</si>
  <si>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</si>
  <si>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</si>
  <si>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</si>
  <si>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</si>
  <si>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</si>
  <si>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</si>
  <si>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</si>
  <si>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</si>
  <si>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</si>
  <si>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</si>
  <si>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</si>
  <si>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</si>
  <si>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</si>
  <si>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</si>
  <si>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</si>
  <si>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</si>
  <si>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</si>
  <si>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</si>
  <si>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</si>
  <si>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</si>
  <si>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</si>
  <si>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</si>
  <si>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</si>
  <si>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</si>
  <si>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</si>
  <si>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</si>
  <si>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</si>
  <si>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</si>
  <si>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</si>
  <si>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</si>
  <si>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</si>
  <si>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</si>
  <si>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</si>
  <si>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</si>
  <si>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</si>
  <si>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</si>
  <si>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</si>
  <si>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</si>
  <si>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</si>
  <si>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</si>
  <si>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</si>
  <si>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</si>
  <si>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</si>
  <si>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</si>
  <si>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</si>
  <si>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</si>
  <si>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</si>
  <si>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</si>
  <si>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</si>
  <si>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</si>
  <si>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</si>
  <si>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</si>
  <si>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</si>
  <si>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</si>
  <si>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</si>
  <si>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</si>
  <si>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</si>
  <si>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</si>
  <si>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</si>
  <si>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</si>
  <si>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</si>
  <si>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</si>
  <si>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</si>
  <si>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</si>
  <si>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</si>
  <si>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</si>
  <si>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</si>
  <si>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</si>
  <si>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</si>
  <si>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</si>
  <si>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</si>
  <si>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</si>
  <si>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</si>
  <si>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</si>
  <si>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</si>
  <si>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</si>
  <si>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</si>
  <si>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</si>
  <si>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</si>
  <si>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</si>
  <si>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</si>
  <si>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</si>
  <si>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</si>
  <si>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</si>
  <si>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</si>
  <si>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</si>
  <si>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</si>
  <si>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</si>
  <si>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</si>
  <si>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</si>
  <si>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</si>
  <si>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</si>
  <si>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</si>
  <si>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</si>
  <si>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</si>
  <si>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</si>
  <si>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</si>
  <si>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</si>
  <si>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</si>
  <si>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</si>
  <si>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</si>
  <si>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</si>
  <si>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</si>
  <si>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</si>
  <si>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</si>
  <si>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</si>
  <si>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</si>
  <si>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</si>
  <si>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</si>
  <si>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</si>
  <si>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</si>
  <si>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</si>
  <si>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</si>
  <si>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</si>
  <si>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</si>
  <si>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</si>
  <si>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</si>
  <si>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</si>
  <si>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</si>
  <si>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</si>
  <si>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</si>
  <si>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</si>
  <si>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</si>
  <si>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</si>
  <si>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</si>
  <si>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</si>
  <si>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</si>
  <si>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</si>
  <si>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</si>
  <si>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</si>
  <si>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</si>
  <si>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</si>
  <si>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</si>
  <si>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</si>
  <si>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</si>
  <si>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</si>
  <si>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</si>
  <si>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</si>
  <si>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</si>
  <si>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</si>
  <si>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</si>
  <si>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</si>
  <si>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</si>
  <si>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</si>
  <si>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</si>
  <si>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</si>
  <si>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</si>
  <si>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</si>
  <si>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</si>
  <si>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</si>
  <si>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</si>
  <si>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</si>
  <si>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</si>
  <si>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</si>
  <si>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</si>
  <si>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</si>
  <si>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</si>
  <si>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</si>
  <si>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</si>
  <si>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</si>
  <si>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</si>
  <si>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</si>
  <si>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</si>
  <si>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</si>
  <si>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</si>
  <si>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</si>
  <si>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</si>
  <si>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</si>
  <si>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</si>
  <si>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</si>
  <si>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</si>
  <si>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</si>
  <si>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</si>
  <si>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</si>
  <si>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</si>
  <si>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</si>
  <si>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</si>
  <si>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</si>
  <si>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</si>
  <si>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</si>
  <si>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</si>
  <si>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</si>
  <si>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</si>
  <si>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</si>
  <si>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</si>
  <si>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</si>
  <si>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</si>
  <si>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</si>
  <si>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</si>
  <si>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</si>
  <si>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</si>
  <si>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</si>
  <si>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</si>
  <si>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</si>
  <si>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</si>
  <si>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</si>
  <si>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</si>
  <si>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</si>
  <si>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</si>
  <si>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</si>
  <si>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</si>
  <si>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</si>
  <si>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</si>
  <si>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</si>
  <si>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</si>
  <si>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</si>
  <si>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</si>
  <si>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</si>
  <si>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</si>
  <si>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</si>
  <si>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</si>
  <si>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</si>
  <si>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</si>
  <si>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</si>
  <si>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</si>
  <si>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</si>
  <si>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</si>
  <si>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</si>
  <si>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</si>
  <si>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</si>
  <si>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</si>
  <si>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</si>
  <si>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</si>
  <si>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</si>
  <si>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</si>
  <si>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</si>
  <si>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</si>
  <si>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</si>
  <si>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</si>
  <si>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</si>
  <si>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</si>
  <si>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</si>
  <si>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</si>
  <si>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</si>
  <si>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</si>
  <si>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</si>
  <si>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</si>
  <si>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</si>
  <si>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</si>
  <si>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</si>
  <si>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</si>
  <si>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</si>
  <si>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</si>
  <si>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</si>
  <si>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</si>
  <si>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</si>
  <si>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</si>
  <si>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</si>
  <si>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</si>
  <si>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</si>
  <si>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</si>
  <si>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</si>
  <si>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</si>
  <si>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</si>
  <si>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</si>
  <si>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</si>
  <si>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</si>
  <si>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</si>
  <si>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</si>
  <si>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</si>
  <si>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</si>
  <si>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</si>
  <si>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</si>
  <si>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</si>
  <si>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</si>
  <si>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</si>
  <si>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</si>
  <si>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</si>
  <si>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</si>
  <si>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</si>
  <si>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</si>
  <si>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</si>
  <si>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</si>
  <si>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</si>
  <si>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</si>
  <si>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</si>
  <si>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</si>
  <si>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</si>
  <si>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</si>
  <si>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</si>
  <si>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</si>
  <si>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</si>
  <si>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</si>
  <si>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</si>
  <si>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</si>
  <si>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</si>
  <si>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</si>
  <si>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</si>
  <si>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</si>
  <si>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</si>
  <si>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</si>
  <si>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</si>
  <si>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</si>
  <si>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</si>
  <si>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</si>
  <si>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</si>
  <si>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</si>
  <si>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</si>
  <si>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</si>
  <si>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</si>
  <si>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</si>
  <si>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</si>
  <si>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</si>
  <si>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</si>
  <si>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</si>
  <si>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</si>
  <si>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</si>
  <si>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</si>
  <si>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</si>
  <si>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</si>
  <si>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</si>
  <si>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</si>
  <si>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</si>
  <si>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</si>
  <si>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</si>
  <si>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</si>
  <si>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</si>
  <si>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</si>
  <si>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</si>
  <si>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</si>
  <si>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</si>
  <si>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</si>
  <si>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</si>
  <si>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</si>
  <si>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</si>
  <si>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</si>
  <si>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</si>
  <si>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</si>
  <si>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</si>
  <si>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</si>
  <si>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</si>
  <si>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</si>
  <si>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</si>
  <si>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</si>
  <si>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</si>
  <si>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</si>
  <si>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</si>
  <si>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</si>
  <si>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</si>
  <si>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</si>
  <si>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</si>
  <si>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</si>
  <si>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</si>
  <si>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</si>
  <si>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</si>
  <si>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</si>
  <si>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</si>
  <si>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</si>
  <si>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</si>
  <si>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</si>
  <si>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</si>
  <si>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</si>
  <si>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</si>
  <si>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</si>
  <si>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</si>
  <si>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</si>
  <si>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</si>
  <si>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</si>
  <si>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</si>
  <si>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</si>
  <si>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</si>
  <si>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</si>
  <si>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</si>
  <si>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</si>
  <si>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</si>
  <si>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</si>
  <si>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</si>
  <si>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</si>
  <si>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</si>
  <si>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</si>
  <si>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</si>
  <si>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</si>
  <si>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</si>
  <si>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</si>
  <si>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</si>
  <si>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</si>
  <si>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</si>
  <si>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</si>
  <si>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</si>
  <si>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</si>
  <si>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</si>
  <si>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</si>
  <si>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</si>
  <si>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</si>
  <si>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</si>
  <si>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</si>
  <si>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</si>
  <si>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</si>
  <si>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</si>
  <si>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</si>
  <si>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</si>
  <si>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</si>
  <si>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</si>
  <si>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</si>
  <si>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</si>
  <si>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</si>
  <si>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</si>
  <si>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</si>
  <si>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</si>
  <si>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</si>
  <si>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</si>
  <si>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</si>
  <si>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</si>
  <si>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</si>
  <si>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</si>
  <si>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</si>
  <si>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</si>
  <si>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</si>
  <si>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</si>
  <si>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</si>
  <si>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</si>
  <si>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</si>
  <si>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</si>
  <si>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</si>
  <si>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</si>
  <si>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</si>
  <si>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</si>
  <si>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</si>
  <si>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</si>
  <si>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</si>
  <si>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</si>
  <si>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</si>
  <si>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</si>
  <si>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</si>
  <si>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</si>
  <si>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</si>
  <si>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</si>
  <si>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</si>
  <si>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</si>
  <si>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</si>
  <si>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</si>
  <si>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</si>
  <si>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</si>
  <si>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</si>
  <si>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</si>
  <si>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</si>
  <si>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</si>
  <si>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</si>
  <si>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</si>
  <si>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</si>
  <si>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</si>
  <si>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</si>
  <si>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</si>
  <si>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</si>
  <si>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</si>
  <si>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</si>
  <si>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</si>
  <si>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</si>
  <si>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</si>
  <si>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</si>
  <si>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</si>
  <si>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</si>
  <si>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</si>
  <si>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</si>
  <si>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</si>
  <si>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</si>
  <si>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</si>
  <si>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</si>
  <si>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</si>
  <si>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</si>
  <si>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</si>
  <si>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</si>
  <si>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</si>
  <si>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</si>
  <si>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</si>
  <si>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</si>
  <si>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</si>
  <si>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</si>
  <si>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</si>
  <si>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</si>
  <si>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</si>
  <si>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</si>
  <si>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</si>
  <si>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</si>
  <si>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</si>
  <si>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</si>
  <si>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</si>
  <si>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</si>
  <si>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</si>
  <si>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</si>
  <si>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</si>
  <si>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</si>
  <si>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</si>
  <si>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</si>
  <si>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</si>
  <si>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</si>
  <si>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</si>
  <si>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</si>
  <si>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</si>
  <si>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</si>
  <si>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</si>
  <si>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</si>
  <si>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</si>
  <si>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</si>
  <si>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</si>
  <si>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</si>
  <si>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</si>
  <si>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</si>
  <si>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</si>
  <si>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</si>
  <si>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</si>
  <si>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</si>
  <si>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</si>
  <si>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</si>
  <si>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</si>
  <si>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</si>
  <si>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</si>
  <si>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</si>
  <si>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</si>
  <si>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</si>
  <si>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</si>
  <si>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</si>
  <si>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</si>
  <si>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</si>
  <si>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</si>
  <si>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</si>
  <si>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</si>
  <si>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</si>
  <si>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</si>
  <si>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</si>
  <si>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</si>
  <si>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</si>
  <si>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</si>
  <si>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</si>
  <si>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</si>
  <si>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</si>
  <si>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</si>
  <si>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</si>
  <si>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</si>
  <si>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</si>
  <si>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</si>
  <si>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</si>
  <si>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</si>
  <si>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</si>
  <si>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</si>
  <si>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</si>
  <si>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</si>
  <si>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</si>
  <si>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</si>
  <si>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</si>
  <si>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</si>
  <si>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</si>
  <si>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</si>
  <si>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</si>
  <si>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</si>
  <si>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</si>
  <si>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</si>
  <si>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</si>
  <si>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</si>
  <si>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</si>
  <si>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</si>
  <si>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</si>
  <si>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</si>
  <si>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</si>
  <si>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</si>
  <si>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</si>
  <si>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</si>
  <si>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</si>
  <si>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</si>
  <si>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</si>
  <si>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</si>
  <si>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</si>
  <si>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</si>
  <si>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</si>
  <si>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</si>
  <si>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</si>
  <si>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</si>
  <si>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</si>
  <si>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</si>
  <si>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</si>
  <si>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</si>
  <si>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</si>
  <si>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</si>
  <si>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</si>
  <si>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</si>
  <si>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</si>
  <si>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</si>
  <si>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</si>
  <si>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</si>
  <si>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</si>
  <si>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</si>
  <si>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</si>
  <si>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</si>
  <si>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</si>
  <si>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</si>
  <si>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</si>
  <si>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</si>
  <si>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</si>
  <si>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</si>
  <si>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</si>
  <si>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</si>
  <si>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</si>
  <si>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</si>
  <si>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</si>
  <si>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</si>
  <si>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</si>
  <si>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</si>
  <si>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</si>
  <si>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</si>
  <si>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</si>
  <si>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</si>
  <si>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</si>
  <si>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</si>
  <si>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</si>
  <si>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</si>
  <si>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</si>
  <si>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</si>
  <si>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</si>
  <si>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</si>
  <si>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</si>
  <si>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</si>
  <si>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</si>
  <si>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</si>
  <si>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</si>
  <si>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</si>
  <si>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</si>
  <si>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</si>
  <si>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</si>
  <si>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</si>
  <si>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</si>
  <si>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</si>
  <si>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</si>
  <si>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</si>
  <si>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</si>
  <si>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</si>
  <si>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</si>
  <si>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</si>
  <si>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</si>
  <si>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</si>
  <si>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</si>
  <si>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</si>
  <si>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</si>
  <si>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</si>
  <si>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</si>
  <si>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</si>
  <si>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</si>
  <si>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</si>
  <si>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</si>
  <si>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</si>
  <si>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</si>
  <si>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</si>
  <si>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</si>
  <si>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</si>
  <si>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</si>
  <si>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</si>
  <si>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</si>
  <si>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</si>
  <si>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</si>
  <si>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</si>
  <si>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</si>
  <si>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</si>
  <si>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</si>
  <si>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</si>
  <si>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</si>
  <si>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</si>
  <si>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</si>
  <si>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</si>
  <si>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</si>
  <si>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</si>
  <si>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</si>
  <si>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</si>
  <si>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</si>
  <si>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</si>
  <si>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</si>
  <si>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</si>
  <si>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</si>
  <si>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</si>
  <si>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</si>
  <si>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</si>
  <si>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</si>
  <si>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</si>
  <si>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</si>
  <si>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</si>
  <si>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</si>
  <si>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</si>
  <si>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</si>
  <si>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</si>
  <si>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</si>
  <si>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</si>
  <si>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</si>
  <si>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</si>
  <si>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</si>
  <si>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</si>
  <si>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</si>
  <si>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</si>
  <si>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</si>
  <si>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</si>
  <si>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</si>
  <si>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</si>
  <si>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</si>
  <si>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</si>
  <si>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</si>
  <si>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</si>
  <si>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</si>
  <si>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</si>
  <si>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</si>
  <si>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</si>
  <si>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</si>
  <si>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</si>
  <si>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</si>
  <si>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</si>
  <si>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</si>
  <si>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</si>
  <si>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</si>
  <si>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</si>
  <si>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</si>
  <si>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</si>
  <si>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</si>
  <si>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</si>
  <si>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</si>
  <si>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</si>
  <si>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</si>
  <si>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</si>
  <si>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</si>
  <si>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</si>
  <si>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</si>
  <si>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</si>
  <si>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</si>
  <si>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</si>
  <si>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</si>
  <si>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</si>
  <si>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</si>
  <si>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</si>
  <si>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</si>
  <si>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</si>
  <si>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</si>
  <si>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</si>
  <si>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</si>
  <si>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</si>
  <si>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</si>
  <si>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</si>
  <si>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</si>
  <si>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</si>
  <si>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</si>
  <si>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</si>
  <si>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</si>
  <si>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</si>
  <si>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</si>
  <si>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</si>
  <si>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</si>
  <si>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</si>
  <si>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</si>
  <si>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</si>
  <si>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</si>
  <si>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</si>
  <si>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</si>
  <si>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</si>
  <si>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</si>
  <si>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</si>
  <si>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</si>
  <si>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</si>
  <si>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</si>
  <si>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</si>
  <si>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</si>
  <si>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</si>
  <si>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</si>
  <si>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</si>
  <si>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</si>
  <si>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</si>
  <si>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</si>
  <si>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</si>
  <si>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</si>
  <si>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</si>
  <si>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</si>
  <si>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</si>
  <si>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</si>
  <si>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</si>
  <si>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</si>
  <si>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</si>
  <si>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</si>
  <si>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</si>
  <si>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</si>
  <si>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</si>
  <si>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</si>
  <si>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</si>
  <si>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</si>
  <si>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</si>
  <si>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</si>
  <si>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</si>
  <si>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</si>
  <si>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</si>
  <si>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</si>
  <si>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</si>
  <si>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</si>
  <si>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</si>
  <si>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</si>
  <si>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</si>
  <si>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</si>
  <si>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</si>
  <si>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</si>
  <si>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</si>
  <si>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</si>
  <si>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</si>
  <si>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</si>
  <si>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</si>
  <si>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</si>
  <si>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</si>
  <si>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</si>
  <si>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</si>
  <si>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</si>
  <si>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</si>
  <si>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</si>
  <si>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</si>
  <si>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</si>
  <si>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</si>
  <si>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</si>
  <si>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</si>
  <si>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</si>
  <si>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</si>
  <si>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</si>
  <si>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</si>
  <si>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</si>
  <si>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</si>
  <si>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</si>
  <si>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</si>
  <si>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</si>
  <si>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</si>
  <si>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</si>
  <si>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</si>
  <si>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</si>
  <si>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</si>
  <si>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</si>
  <si>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</si>
  <si>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</si>
  <si>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</si>
  <si>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</si>
  <si>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</si>
  <si>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</si>
  <si>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</si>
  <si>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</si>
  <si>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</si>
  <si>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</si>
  <si>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</si>
  <si>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</si>
  <si>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</si>
  <si>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</si>
  <si>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</si>
  <si>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</si>
  <si>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</si>
  <si>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</si>
  <si>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</si>
  <si>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</si>
  <si>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</si>
  <si>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</si>
  <si>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</si>
  <si>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</si>
  <si>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</si>
  <si>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</si>
  <si>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</si>
  <si>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</si>
  <si>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</si>
  <si>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</si>
  <si>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</si>
  <si>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</si>
  <si>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</si>
  <si>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</si>
  <si>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</si>
  <si>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</si>
  <si>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</si>
  <si>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</si>
  <si>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</si>
  <si>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</si>
  <si>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</si>
  <si>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</si>
  <si>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</si>
  <si>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</si>
  <si>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</si>
  <si>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</si>
  <si>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</si>
  <si>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</si>
  <si>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</si>
  <si>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</si>
  <si>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</si>
  <si>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</si>
  <si>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</si>
  <si>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</si>
  <si>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</si>
  <si>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</si>
  <si>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</si>
  <si>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</si>
  <si>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</si>
  <si>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</si>
  <si>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</si>
  <si>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</si>
  <si>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</si>
  <si>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</si>
  <si>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</si>
  <si>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</si>
  <si>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</si>
  <si>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</si>
  <si>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</si>
  <si>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</si>
  <si>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</si>
  <si>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</si>
  <si>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</si>
  <si>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</si>
  <si>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</si>
  <si>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</si>
  <si>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</si>
  <si>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</si>
  <si>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</si>
  <si>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</si>
  <si>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</si>
  <si>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</si>
  <si>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</si>
  <si>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</si>
  <si>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</si>
  <si>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</si>
  <si>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</si>
  <si>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</si>
  <si>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</si>
  <si>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</si>
  <si>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</si>
  <si>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</si>
  <si>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</si>
  <si>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</si>
  <si>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</si>
  <si>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</si>
  <si>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</si>
  <si>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</si>
  <si>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</si>
  <si>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</si>
  <si>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</si>
  <si>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</si>
  <si>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</si>
  <si>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</si>
  <si>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</si>
  <si>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</si>
  <si>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</si>
  <si>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</si>
  <si>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</si>
  <si>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</si>
  <si>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</si>
  <si>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</si>
  <si>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</si>
  <si>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</si>
  <si>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</si>
  <si>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</si>
  <si>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</si>
  <si>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</si>
  <si>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</si>
  <si>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</si>
  <si>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</si>
  <si>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</si>
  <si>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</si>
  <si>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</si>
  <si>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</si>
  <si>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</si>
  <si>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</si>
  <si>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</si>
  <si>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</si>
  <si>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</si>
  <si>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</si>
  <si>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</si>
  <si>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</si>
  <si>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</si>
  <si>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</si>
  <si>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</si>
  <si>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</si>
  <si>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</si>
  <si>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</si>
  <si>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</si>
  <si>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</si>
  <si>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</si>
  <si>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</si>
  <si>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</si>
  <si>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</si>
  <si>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</si>
  <si>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</si>
  <si>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</si>
  <si>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</si>
  <si>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</si>
  <si>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</si>
  <si>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</si>
  <si>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</si>
  <si>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</si>
  <si>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</si>
  <si>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</si>
  <si>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</si>
  <si>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</si>
  <si>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</si>
  <si>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</si>
  <si>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</si>
  <si>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</si>
  <si>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</si>
  <si>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</si>
  <si>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</si>
  <si>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</si>
  <si>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</si>
  <si>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</si>
  <si>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</si>
  <si>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</si>
  <si>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</si>
  <si>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</si>
  <si>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</si>
  <si>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</si>
  <si>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</si>
  <si>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</si>
  <si>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</si>
  <si>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</si>
  <si>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</si>
  <si>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</si>
  <si>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</si>
  <si>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</si>
  <si>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</si>
  <si>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</si>
  <si>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</si>
  <si>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</si>
  <si>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</si>
  <si>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</si>
  <si>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</si>
  <si>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</si>
  <si>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</si>
  <si>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</si>
  <si>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</si>
  <si>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</si>
  <si>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</si>
  <si>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</si>
  <si>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</si>
  <si>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</si>
  <si>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</si>
  <si>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</si>
  <si>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</si>
  <si>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</si>
  <si>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</si>
  <si>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</si>
  <si>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</si>
  <si>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</si>
  <si>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</si>
  <si>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</si>
  <si>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</si>
  <si>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</si>
  <si>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</si>
  <si>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</si>
  <si>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</si>
  <si>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</si>
  <si>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</si>
  <si>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</si>
  <si>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</si>
  <si>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</si>
  <si>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</si>
  <si>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</si>
  <si>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</si>
  <si>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</si>
  <si>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</si>
  <si>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</si>
  <si>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</si>
  <si>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</si>
  <si>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</si>
  <si>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</si>
  <si>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</si>
  <si>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</si>
  <si>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</si>
  <si>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</si>
  <si>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</si>
  <si>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</si>
  <si>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</si>
  <si>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</si>
  <si>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</si>
  <si>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</si>
  <si>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</si>
  <si>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</si>
  <si>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</si>
  <si>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</si>
  <si>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</si>
  <si>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</si>
  <si>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</si>
  <si>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</si>
  <si>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</si>
  <si>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</si>
  <si>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</si>
  <si>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</si>
  <si>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</si>
  <si>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</si>
  <si>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</si>
  <si>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</si>
  <si>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</si>
  <si>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</si>
  <si>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</si>
  <si>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</si>
  <si>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</si>
  <si>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</si>
  <si>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</si>
  <si>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</si>
  <si>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</si>
  <si>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</si>
  <si>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</si>
  <si>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</si>
  <si>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</si>
  <si>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</si>
  <si>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</si>
  <si>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</si>
  <si>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</si>
  <si>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</si>
  <si>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</si>
  <si>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</si>
  <si>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</si>
  <si>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</si>
  <si>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</si>
  <si>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</si>
  <si>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</si>
  <si>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</si>
  <si>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</si>
  <si>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</si>
  <si>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</si>
  <si>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</si>
  <si>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</si>
  <si>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</si>
  <si>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</si>
  <si>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</si>
  <si>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</si>
  <si>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</si>
  <si>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</si>
  <si>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</si>
  <si>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</si>
  <si>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</si>
  <si>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</si>
  <si>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</si>
  <si>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</si>
  <si>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</si>
  <si>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</si>
  <si>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</si>
  <si>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</si>
  <si>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</si>
  <si>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</si>
  <si>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</si>
  <si>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</si>
  <si>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</si>
  <si>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</si>
  <si>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</si>
  <si>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</si>
  <si>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</si>
  <si>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</si>
  <si>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</si>
  <si>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</si>
  <si>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</si>
  <si>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</si>
  <si>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</si>
  <si>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</si>
  <si>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</si>
  <si>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</si>
  <si>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</si>
  <si>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</si>
  <si>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</si>
  <si>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</si>
  <si>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</si>
  <si>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</si>
  <si>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</si>
  <si>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</si>
  <si>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</si>
  <si>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</si>
  <si>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</si>
  <si>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</si>
  <si>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</si>
  <si>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</si>
  <si>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</si>
  <si>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</si>
  <si>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</si>
  <si>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</si>
  <si>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</si>
  <si>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</si>
  <si>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</si>
  <si>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</si>
  <si>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</si>
  <si>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</si>
  <si>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</si>
  <si>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</si>
  <si>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</si>
  <si>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</si>
  <si>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</si>
  <si>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</si>
  <si>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</si>
  <si>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</si>
  <si>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</si>
  <si>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</si>
  <si>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</si>
  <si>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</si>
  <si>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</si>
  <si>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</si>
  <si>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</si>
  <si>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</si>
  <si>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</si>
  <si>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</si>
  <si>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</si>
  <si>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</si>
  <si>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</si>
  <si>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</si>
  <si>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</si>
  <si>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</si>
  <si>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</si>
  <si>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</si>
  <si>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</si>
  <si>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</si>
  <si>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</si>
  <si>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</si>
  <si>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</si>
  <si>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</si>
  <si>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</si>
  <si>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</si>
  <si>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</si>
  <si>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</si>
  <si>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</si>
  <si>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</si>
  <si>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</si>
  <si>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</si>
  <si>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</si>
  <si>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</si>
  <si>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</si>
  <si>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</si>
  <si>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</si>
  <si>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</si>
  <si>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</si>
  <si>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</si>
  <si>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</si>
  <si>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</si>
  <si>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</si>
  <si>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</si>
  <si>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</si>
  <si>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</si>
  <si>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</si>
  <si>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</si>
  <si>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</si>
  <si>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</si>
  <si>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</si>
  <si>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</si>
  <si>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</si>
  <si>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</si>
  <si>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</si>
  <si>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</si>
  <si>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</si>
  <si>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</si>
  <si>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</si>
  <si>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</si>
  <si>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</si>
  <si>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</si>
  <si>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</si>
  <si>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</si>
  <si>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</si>
  <si>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</si>
  <si>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</si>
  <si>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</si>
  <si>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</si>
  <si>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</si>
  <si>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</si>
  <si>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</si>
  <si>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</si>
  <si>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</si>
  <si>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</si>
  <si>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</si>
  <si>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</si>
  <si>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</si>
  <si>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</si>
  <si>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</si>
  <si>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</si>
  <si>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</si>
  <si>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</si>
  <si>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</si>
  <si>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</si>
  <si>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</si>
  <si>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</si>
  <si>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</si>
  <si>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</si>
  <si>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</si>
  <si>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</si>
  <si>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</si>
  <si>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</si>
  <si>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</si>
  <si>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</si>
  <si>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</si>
  <si>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</si>
  <si>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</si>
  <si>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</si>
  <si>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</si>
  <si>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</si>
  <si>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</si>
  <si>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</si>
  <si>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</si>
  <si>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</si>
  <si>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</si>
  <si>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</si>
  <si>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</si>
  <si>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</si>
  <si>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</si>
  <si>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</si>
  <si>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</si>
  <si>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</si>
  <si>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</si>
  <si>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</si>
  <si>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</si>
  <si>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</si>
  <si>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</si>
  <si>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</si>
  <si>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</si>
  <si>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</si>
  <si>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</si>
  <si>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</si>
  <si>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</si>
  <si>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</si>
  <si>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</si>
  <si>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</si>
  <si>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</si>
  <si>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</si>
  <si>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</si>
  <si>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</si>
  <si>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</si>
  <si>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</si>
  <si>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</si>
  <si>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</si>
  <si>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</si>
  <si>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</si>
  <si>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</si>
  <si>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</si>
  <si>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</si>
  <si>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</si>
  <si>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</si>
  <si>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</si>
  <si>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</si>
  <si>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</si>
  <si>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</si>
  <si>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</si>
  <si>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</si>
  <si>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</si>
  <si>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</si>
  <si>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</si>
  <si>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</si>
  <si>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</si>
  <si>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</si>
  <si>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</si>
  <si>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</si>
  <si>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</si>
  <si>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</si>
  <si>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</si>
  <si>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</si>
  <si>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</si>
  <si>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</si>
  <si>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</si>
  <si>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</si>
  <si>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</si>
  <si>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</si>
  <si>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</si>
  <si>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</si>
  <si>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</si>
  <si>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</si>
  <si>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</si>
  <si>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</si>
  <si>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</si>
  <si>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</si>
  <si>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</si>
  <si>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</si>
  <si>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</si>
  <si>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</si>
  <si>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</si>
  <si>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</si>
  <si>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</si>
  <si>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</si>
  <si>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</si>
  <si>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</si>
  <si>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</si>
  <si>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</si>
  <si>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</si>
  <si>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</si>
  <si>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</si>
  <si>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</si>
  <si>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</si>
  <si>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</si>
  <si>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</si>
  <si>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</si>
  <si>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</si>
  <si>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</si>
  <si>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</si>
  <si>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</si>
  <si>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</si>
  <si>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</si>
  <si>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</si>
  <si>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</si>
  <si>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</si>
  <si>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</si>
  <si>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</si>
  <si>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</si>
  <si>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</si>
  <si>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</si>
  <si>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</si>
  <si>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</si>
  <si>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</si>
  <si>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</si>
  <si>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</si>
  <si>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</si>
  <si>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</si>
  <si>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</si>
  <si>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</si>
  <si>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</si>
  <si>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</si>
  <si>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</si>
  <si>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</si>
  <si>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</si>
  <si>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</si>
  <si>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</si>
  <si>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</si>
  <si>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</si>
  <si>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</si>
  <si>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</si>
  <si>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</si>
  <si>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</si>
  <si>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</si>
  <si>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</si>
  <si>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</si>
  <si>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</si>
  <si>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</si>
  <si>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</si>
  <si>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</si>
  <si>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</si>
  <si>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</si>
  <si>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</si>
  <si>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</si>
  <si>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</si>
  <si>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</si>
  <si>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</si>
  <si>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</si>
  <si>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</si>
  <si>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</si>
  <si>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</si>
  <si>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</si>
  <si>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</si>
  <si>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</si>
  <si>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</si>
  <si>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</si>
  <si>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</si>
  <si>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</si>
  <si>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</si>
  <si>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</si>
  <si>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</si>
  <si>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</si>
  <si>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</si>
  <si>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</si>
  <si>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</si>
  <si>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</si>
  <si>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</si>
  <si>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</si>
  <si>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</si>
  <si>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</si>
  <si>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</si>
  <si>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</si>
  <si>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</si>
  <si>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</si>
  <si>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</si>
  <si>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</si>
  <si>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</si>
  <si>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</si>
  <si>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</si>
  <si>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</si>
  <si>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</si>
  <si>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</si>
  <si>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</si>
  <si>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</si>
  <si>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</si>
  <si>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</si>
  <si>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</si>
  <si>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</si>
  <si>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</si>
  <si>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</si>
  <si>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</si>
  <si>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</si>
  <si>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</si>
  <si>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</si>
  <si>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</si>
  <si>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</si>
  <si>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</si>
  <si>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</si>
  <si>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</si>
  <si>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</si>
  <si>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</si>
  <si>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</si>
  <si>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</si>
  <si>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</si>
  <si>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</si>
  <si>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</si>
  <si>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</si>
  <si>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</si>
  <si>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</si>
  <si>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</si>
  <si>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</si>
  <si>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</si>
  <si>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</si>
  <si>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</si>
  <si>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</si>
  <si>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</si>
  <si>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</si>
  <si>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</si>
  <si>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</si>
  <si>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</si>
  <si>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</si>
  <si>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</si>
  <si>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</si>
  <si>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</si>
  <si>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</si>
  <si>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</si>
  <si>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</si>
  <si>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</si>
  <si>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</si>
  <si>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</si>
  <si>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</si>
  <si>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</si>
  <si>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</si>
  <si>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</si>
  <si>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</si>
  <si>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</si>
  <si>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</si>
  <si>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</si>
  <si>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</si>
  <si>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</si>
  <si>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</si>
  <si>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</si>
  <si>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</si>
  <si>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</si>
  <si>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</si>
  <si>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</si>
  <si>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</si>
  <si>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</si>
  <si>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</si>
  <si>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</si>
  <si>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</si>
  <si>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</si>
  <si>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</si>
  <si>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</si>
  <si>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</si>
  <si>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</si>
  <si>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</si>
  <si>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</si>
  <si>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</si>
  <si>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厂房</t>
  </si>
  <si>
    <t>厂房</t>
    <phoneticPr fontId="7" type="noConversion"/>
  </si>
  <si>
    <t>成新度</t>
  </si>
  <si>
    <t>利息：取LPR加浮动点数</t>
  </si>
  <si>
    <t>未包含在土地购买价格中</t>
  </si>
  <si>
    <t>全部缴纳</t>
  </si>
  <si>
    <t>已包含在土地取得成本中</t>
  </si>
  <si>
    <t>押一</t>
  </si>
  <si>
    <t>钢</t>
  </si>
  <si>
    <t>非生产用房</t>
  </si>
  <si>
    <t>否</t>
  </si>
  <si>
    <t>收益法</t>
  </si>
  <si>
    <t>自定义容积率</t>
  </si>
  <si>
    <t>不临65条商业街</t>
  </si>
  <si>
    <t>通路</t>
  </si>
  <si>
    <t>通电</t>
  </si>
  <si>
    <t>通讯</t>
  </si>
  <si>
    <t>通上水</t>
  </si>
  <si>
    <t>通下水</t>
  </si>
  <si>
    <t>通热</t>
  </si>
  <si>
    <t>平整</t>
  </si>
  <si>
    <t>较好</t>
  </si>
  <si>
    <t>较差</t>
  </si>
  <si>
    <t>差</t>
  </si>
  <si>
    <t>好</t>
  </si>
  <si>
    <t>一般</t>
  </si>
  <si>
    <t>成本法</t>
  </si>
  <si>
    <t>总价</t>
  </si>
  <si>
    <t>成本比率</t>
  </si>
  <si>
    <t>地块名称</t>
  </si>
  <si>
    <t>城市</t>
  </si>
  <si>
    <t>规划用途</t>
  </si>
  <si>
    <t>建设用地面积</t>
  </si>
  <si>
    <t>规划建筑面积</t>
  </si>
  <si>
    <t>容积率</t>
  </si>
  <si>
    <t>出让方式</t>
  </si>
  <si>
    <t>截止时间</t>
  </si>
  <si>
    <t>受让单位</t>
  </si>
  <si>
    <t>起始价</t>
  </si>
  <si>
    <t>成交价</t>
  </si>
  <si>
    <t>成交楼面价</t>
  </si>
  <si>
    <t>地面价</t>
    <phoneticPr fontId="3" type="noConversion"/>
  </si>
  <si>
    <t>溢价率</t>
  </si>
  <si>
    <t>出让年限</t>
    <phoneticPr fontId="3" type="noConversion"/>
  </si>
  <si>
    <t>年期</t>
    <phoneticPr fontId="3" type="noConversion"/>
  </si>
  <si>
    <t>容积率</t>
    <phoneticPr fontId="3" type="noConversion"/>
  </si>
  <si>
    <t>亦庄新城0302街区B11M3地块工业项目</t>
  </si>
  <si>
    <t>≤0.8</t>
  </si>
  <si>
    <t>挂牌</t>
  </si>
  <si>
    <t>2023-02-23</t>
  </si>
  <si>
    <t>广钢气体(北京)有限公司</t>
  </si>
  <si>
    <t>亦庄新城0702街区N44M1地块工业项目</t>
  </si>
  <si>
    <t>2023-02-07</t>
  </si>
  <si>
    <t>北京京东方创元科技有限公司</t>
  </si>
  <si>
    <t>亦庄新城0104街区48M4地块工业项目</t>
  </si>
  <si>
    <t>小于等于2.35</t>
  </si>
  <si>
    <t>2023-01-29</t>
  </si>
  <si>
    <t>北京北方华创微电子装备有限公司</t>
  </si>
  <si>
    <t>北京经济技术开发区42M2地块工业项目</t>
  </si>
  <si>
    <t>小于等于1.5</t>
  </si>
  <si>
    <t>北京屹唐科技有限公司</t>
  </si>
  <si>
    <t>亦庄新城0104街区34M4地块工业项目</t>
  </si>
  <si>
    <t>小于等于1.07</t>
  </si>
  <si>
    <t>亦庄新城0606街区YZ00-0606-0039地块工业用地项目</t>
  </si>
  <si>
    <t>2023-01-05</t>
  </si>
  <si>
    <t>北京世维通科技股份有限公司</t>
  </si>
  <si>
    <t>大兴新城东南片区0605-022C地块M2工业用地</t>
  </si>
  <si>
    <t>≤1.5</t>
  </si>
  <si>
    <t>2022-11-03</t>
  </si>
  <si>
    <t>北京天科合达半导体股份有限公司</t>
  </si>
  <si>
    <t>亦庄新城0606街区YZ00-0606-0027地块</t>
  </si>
  <si>
    <t>2022-10-26</t>
  </si>
  <si>
    <t>盛吉盛半导体科技(北京)有限公司</t>
  </si>
  <si>
    <t>亦庄新城0606街区YZ00-0606-0034地块</t>
  </si>
  <si>
    <t>东方晶源微电子科技(北京)有限公司</t>
  </si>
  <si>
    <t>亦庄新城0803街区YZ00-0803-1101地块工业项目</t>
  </si>
  <si>
    <t>≤1.15</t>
  </si>
  <si>
    <t>2022-09-05</t>
  </si>
  <si>
    <t>航家通用航空有限公司</t>
  </si>
  <si>
    <t>亦庄新城0803街区YZ00-0803-1501地块工业项目</t>
  </si>
  <si>
    <t>北京神导惯性技术有限公司</t>
  </si>
  <si>
    <t>亦庄新城0606街区YZ00-0606-0054地块工业项目</t>
  </si>
  <si>
    <t>2022-08-15</t>
  </si>
  <si>
    <t>至纯科技(北京)有限公司</t>
  </si>
  <si>
    <t>亦庄新城0107街区72M1地块工业项目</t>
  </si>
  <si>
    <t>萨姆森控制设备(中国)有限公司</t>
  </si>
  <si>
    <t>大兴生物医药产业基地DX00-0501-0051-2地块M1工业用地国有建设用地使用权出让公告</t>
  </si>
  <si>
    <t>≥1.0,≤1.0</t>
  </si>
  <si>
    <t>2022-06-30</t>
  </si>
  <si>
    <t>北京华洋奎龙药业有限公司</t>
  </si>
  <si>
    <t>亦庄新城0701街区N4M1地块工业项目</t>
  </si>
  <si>
    <t>≤1.0</t>
  </si>
  <si>
    <t>2022-06-01</t>
  </si>
  <si>
    <t>华丰燃料电池有限公司</t>
  </si>
  <si>
    <t>亦庄新城0606街区YZ00-0606-0016地块工业项目</t>
  </si>
  <si>
    <t>北京富创精密半导体有限公司</t>
  </si>
  <si>
    <t>北京大兴国际机场综合保税区*DX12-0107-081-01地块W1物流用地</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</si>
  <si>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</si>
  <si>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</si>
  <si>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</si>
  <si>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</si>
  <si>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</si>
  <si>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</si>
  <si>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</si>
  <si>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2022-04-20</t>
  </si>
  <si>
    <t>北京新光凯乐汽车冷成型件股份有限公司</t>
  </si>
  <si>
    <t>北京经济技术开发区亦庄新城YZ00-0606-0101地块工业项目</t>
  </si>
  <si>
    <t>小米景曦科技有限公司</t>
  </si>
  <si>
    <t>北京大兴国际机场综合保税区DX12-0107-081-02地块W1物流用地</t>
  </si>
  <si>
    <t>2022-03-22</t>
  </si>
  <si>
    <t>南洋云仓(北京)供应链管理有限公司</t>
  </si>
  <si>
    <t>大兴区庞各庄镇区DX06-0103-6078地块*(原PGZ03-78地块)项目工业用地国有建设用地使用权出让挂牌文件</t>
  </si>
  <si>
    <t>2022-03-10</t>
  </si>
  <si>
    <t>国家电投集团氢能科技发展有限公司</t>
  </si>
  <si>
    <t>北京经济技术开发区0606街区*YZ00-0606-0012地块工业项目国有建设用地使用权供应</t>
  </si>
  <si>
    <t>2022-02-08</t>
  </si>
  <si>
    <t>华海清科(北京)科技有限公司</t>
  </si>
  <si>
    <t>大兴新城东南片区0605-015E地块</t>
  </si>
  <si>
    <t>2021-12-31</t>
  </si>
  <si>
    <t>北京海德利森科技有限公司</t>
  </si>
  <si>
    <t>北京经济技术开发区0606街区YZ00-0606-0051地块M1一类工业用地国有建设用地使用权出让公告</t>
  </si>
  <si>
    <t>2021-12-24</t>
  </si>
  <si>
    <t>北京华封集芯电子有限公司</t>
  </si>
  <si>
    <t>大兴区庞各庄镇DX06-0103-6022地块一类工业用地</t>
  </si>
  <si>
    <t>招标</t>
  </si>
  <si>
    <t>2021-10-18</t>
  </si>
  <si>
    <t>北京安盾兰达智能科技有限公司</t>
  </si>
  <si>
    <t>大兴生物医药产业基地DX00-0501-0057地块M1一类工业用地国有建设用地使用权出让挂牌文件</t>
  </si>
  <si>
    <t>2021-10-11</t>
  </si>
  <si>
    <t>北京谊安和瑞技术有限公司</t>
  </si>
  <si>
    <t>大兴生物医药产业基地DX00-0502-0045地块M1一类工业用地国有建设用地使用权出让挂牌文件</t>
  </si>
  <si>
    <t>北京生物医药产业基地发展有限公司</t>
  </si>
  <si>
    <t>大兴生物医药产业基地DX00-0501-0051-1地块M1一类工业用地国有建设用地使用权出让挂牌文件</t>
  </si>
  <si>
    <t>北京巴瑞医疗器械有限公司</t>
  </si>
  <si>
    <t>大兴生物医药产业基地DX00-0501-0061地块M1一类工业用地国有建设用地使用权出让挂牌文件</t>
  </si>
  <si>
    <t>亦庄新城0302街区B9M1地块</t>
  </si>
  <si>
    <t>2021-09-27</t>
  </si>
  <si>
    <t>北京集电控股有限公司</t>
  </si>
  <si>
    <t>北京经济技术开发区路东区D9M3地块</t>
  </si>
  <si>
    <t>俐玛光电科技(北京)有限公司</t>
  </si>
  <si>
    <t>亦庄新城0803街区YZ00-0803-0405地块</t>
  </si>
  <si>
    <t>2021-09-15</t>
  </si>
  <si>
    <t>艾美疫苗股份有限公司</t>
  </si>
  <si>
    <t>北京经济技术开发区0606街区YZ00-0606-0060地块</t>
  </si>
  <si>
    <t>≤0.7</t>
  </si>
  <si>
    <t>2021-09-07</t>
  </si>
  <si>
    <t>联华林德工业气体(北京)有限公司</t>
  </si>
  <si>
    <t>大兴生物医药产业基地DX00-0502-0029地块M1一类工业用地</t>
  </si>
  <si>
    <t>2021-08-25</t>
  </si>
  <si>
    <t>北京药康生物科技有限公司</t>
  </si>
  <si>
    <t>亦庄新城0104街区42M1地块工业项目</t>
  </si>
  <si>
    <t>≤2.0</t>
  </si>
  <si>
    <t>2021-08-16</t>
  </si>
  <si>
    <t>北京盛迪医药有限公司</t>
  </si>
  <si>
    <t>北京大兴国际机场综合保税区0107-037地块M1工业用地国有建设用地使用权出让</t>
  </si>
  <si>
    <t>≤1</t>
  </si>
  <si>
    <t>2021-06-03</t>
  </si>
  <si>
    <t>北京航城兴达建设实业有限公司</t>
  </si>
  <si>
    <t>亦庄新城0606街区YZ00-0606-0032地块工业项目国有建设用地使用权挂牌供应公告</t>
  </si>
  <si>
    <t>≤2</t>
  </si>
  <si>
    <t>2021-06-02</t>
  </si>
  <si>
    <t>北京市经济技术开发区金桥产业基地B2-3-3-1地块</t>
  </si>
  <si>
    <t>≤1.2</t>
  </si>
  <si>
    <t>2021-05-17</t>
  </si>
  <si>
    <t>宝健(中国)有限公司</t>
  </si>
  <si>
    <t>北京经济技术开发区路东区B13M1、B14M1地块</t>
  </si>
  <si>
    <t>≤2.44</t>
  </si>
  <si>
    <t>2021-05-13</t>
  </si>
  <si>
    <t>北京经济技术开发区0701街区N5M5地块工业项目</t>
  </si>
  <si>
    <t>2021-04-20</t>
  </si>
  <si>
    <t>北京唯源立康生物科技有限公司</t>
  </si>
  <si>
    <t>亦庄新城0605街区B4-2-5-1地块</t>
  </si>
  <si>
    <t>2021-04-01</t>
  </si>
  <si>
    <t>北京亦庄京广科技创新有限公司</t>
  </si>
  <si>
    <t>北京经济技术开发区河西区X6-1M3地块工业项目</t>
  </si>
  <si>
    <t>2021-03-11</t>
  </si>
  <si>
    <t>北京科益虹源光电技术有限公司</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</si>
  <si>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</si>
  <si>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</si>
  <si>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</si>
  <si>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</si>
  <si>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</si>
  <si>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</si>
  <si>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</si>
  <si>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</si>
  <si>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中科伟通(北京)科技发展有限公司</t>
  </si>
  <si>
    <t>亦庄新城0606街区YZ00-0606-0001地块M1一类工业用地国有建设用地使用权出让公告</t>
  </si>
  <si>
    <t>2020-12-29</t>
  </si>
  <si>
    <t>中芯京城集成电路制造(北京)有限公司</t>
  </si>
  <si>
    <t>北京经济技术开发区核心区34M3地块M1一类工业用地国有建设用地使用权出让公告</t>
  </si>
  <si>
    <t>≤1.8</t>
  </si>
  <si>
    <t>2020-12-24</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</si>
  <si>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</si>
  <si>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</si>
  <si>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</si>
  <si>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</si>
  <si>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</si>
  <si>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</si>
  <si>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北京经济技术开发区0701街区N16M2地块M1一类工业用地国有建设用地使用权出让公告</t>
  </si>
  <si>
    <t>2020-12-03</t>
  </si>
  <si>
    <t>北京智飞绿竹生物制药有限公司</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</si>
  <si>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</si>
  <si>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</si>
  <si>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</si>
  <si>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</si>
  <si>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</si>
  <si>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</si>
  <si>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</si>
  <si>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</si>
  <si>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北京经济技术开发区0606街区YZ00-0606-0014-2地块M1一类工业用地国有建设用地使用权出让公告</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</si>
  <si>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</si>
  <si>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</si>
  <si>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</si>
  <si>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2020-11-04</t>
  </si>
  <si>
    <t>北京热景生物技术股份有限公司</t>
  </si>
  <si>
    <t>大兴生物医药产业基地DX00-0502-6016地块M1一类工业用地国有建设用地使用权出让</t>
  </si>
  <si>
    <t>北京沃森创新生物技术有限公司</t>
  </si>
  <si>
    <t>正常</t>
  </si>
  <si>
    <t>楼面地价</t>
  </si>
  <si>
    <t>工业</t>
    <phoneticPr fontId="32" type="noConversion"/>
  </si>
  <si>
    <t>七通</t>
  </si>
  <si>
    <t>七通</t>
    <phoneticPr fontId="32" type="noConversion"/>
  </si>
  <si>
    <t>六通</t>
  </si>
  <si>
    <t>六通</t>
    <phoneticPr fontId="32" type="noConversion"/>
  </si>
  <si>
    <t>五通</t>
  </si>
  <si>
    <t>五通</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</si>
</sst>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0" fillId="0" borderId="1" xfId="0" applyNumberFormat="1" applyBorder="1" applyAlignment="1" applyProtection="1">
      <alignment horizontal="left" vertical="center"/>
      <protection locked="0"/>
    </xf>
    <xf numFmtId="0" fontId="53" fillId="0" borderId="0" xfId="19" applyAlignment="1">
      <alignment horizontal="left" vertical="center"/>
    </xf>
    <xf numFmtId="0" fontId="19" fillId="0" borderId="0" xfId="19" applyFont="1" applyAlignment="1">
      <alignment horizontal="left" vertical="center"/>
    </xf>
    <xf numFmtId="0" fontId="53" fillId="0" borderId="0" xfId="19" applyFill="1" applyAlignment="1">
      <alignment horizontal="left" vertical="center"/>
    </xf>
    <xf numFmtId="0" fontId="53" fillId="9" borderId="0" xfId="19" applyFill="1" applyAlignment="1">
      <alignment horizontal="left" vertical="center"/>
    </xf>
    <xf numFmtId="0" fontId="53" fillId="15" borderId="0" xfId="19"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95250</xdr:rowOff>
    </xdr:from>
    <xdr:to>
      <xdr:col>16</xdr:col>
      <xdr:colOff>398679</xdr:colOff>
      <xdr:row>31</xdr:row>
      <xdr:rowOff>46988</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66700"/>
          <a:ext cx="10971429" cy="5095238"/>
        </a:xfrm>
        <a:prstGeom prst="rect">
          <a:avLst/>
        </a:prstGeom>
      </xdr:spPr>
    </xdr:pic>
    <xdr:clientData/>
  </xdr:twoCellAnchor>
  <xdr:twoCellAnchor editAs="oneCell">
    <xdr:from>
      <xdr:col>0</xdr:col>
      <xdr:colOff>342900</xdr:colOff>
      <xdr:row>32</xdr:row>
      <xdr:rowOff>133350</xdr:rowOff>
    </xdr:from>
    <xdr:to>
      <xdr:col>15</xdr:col>
      <xdr:colOff>541615</xdr:colOff>
      <xdr:row>63</xdr:row>
      <xdr:rowOff>56496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5619750"/>
          <a:ext cx="10485715" cy="5238096"/>
        </a:xfrm>
        <a:prstGeom prst="rect">
          <a:avLst/>
        </a:prstGeom>
      </xdr:spPr>
    </xdr:pic>
    <xdr:clientData/>
  </xdr:twoCellAnchor>
  <xdr:twoCellAnchor editAs="oneCell">
    <xdr:from>
      <xdr:col>0</xdr:col>
      <xdr:colOff>257175</xdr:colOff>
      <xdr:row>64</xdr:row>
      <xdr:rowOff>47625</xdr:rowOff>
    </xdr:from>
    <xdr:to>
      <xdr:col>16</xdr:col>
      <xdr:colOff>236757</xdr:colOff>
      <xdr:row>93</xdr:row>
      <xdr:rowOff>123194</xdr:rowOff>
    </xdr:to>
    <xdr:pic>
      <xdr:nvPicPr>
        <xdr:cNvPr id="4" name="图片 3"/>
        <xdr:cNvPicPr>
          <a:picLocks noChangeAspect="1"/>
        </xdr:cNvPicPr>
      </xdr:nvPicPr>
      <xdr:blipFill>
        <a:blip xmlns:r="http://schemas.openxmlformats.org/officeDocument/2006/relationships" r:embed="rId3"/>
        <a:stretch>
          <a:fillRect/>
        </a:stretch>
      </xdr:blipFill>
      <xdr:spPr>
        <a:xfrm>
          <a:off x="257175" y="11020425"/>
          <a:ext cx="10952382" cy="5047619"/>
        </a:xfrm>
        <a:prstGeom prst="rect">
          <a:avLst/>
        </a:prstGeom>
      </xdr:spPr>
    </xdr:pic>
    <xdr:clientData/>
  </xdr:twoCellAnchor>
  <xdr:twoCellAnchor editAs="oneCell">
    <xdr:from>
      <xdr:col>1</xdr:col>
      <xdr:colOff>0</xdr:colOff>
      <xdr:row>95</xdr:row>
      <xdr:rowOff>161925</xdr:rowOff>
    </xdr:from>
    <xdr:to>
      <xdr:col>13</xdr:col>
      <xdr:colOff>503734</xdr:colOff>
      <xdr:row>106</xdr:row>
      <xdr:rowOff>152166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449675"/>
          <a:ext cx="8733334" cy="1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657225</xdr:colOff>
      <xdr:row>62</xdr:row>
      <xdr:rowOff>114300</xdr:rowOff>
    </xdr:from>
    <xdr:to>
      <xdr:col>5</xdr:col>
      <xdr:colOff>513691</xdr:colOff>
      <xdr:row>92</xdr:row>
      <xdr:rowOff>37503</xdr:rowOff>
    </xdr:to>
    <xdr:pic>
      <xdr:nvPicPr>
        <xdr:cNvPr id="2" name="图片 1"/>
        <xdr:cNvPicPr>
          <a:picLocks noChangeAspect="1"/>
        </xdr:cNvPicPr>
      </xdr:nvPicPr>
      <xdr:blipFill>
        <a:blip xmlns:r="http://schemas.openxmlformats.org/officeDocument/2006/relationships" r:embed="rId1"/>
        <a:stretch>
          <a:fillRect/>
        </a:stretch>
      </xdr:blipFill>
      <xdr:spPr>
        <a:xfrm>
          <a:off x="657225" y="10153650"/>
          <a:ext cx="5276191" cy="4780953"/>
        </a:xfrm>
        <a:prstGeom prst="rect">
          <a:avLst/>
        </a:prstGeom>
      </xdr:spPr>
    </xdr:pic>
    <xdr:clientData/>
  </xdr:twoCellAnchor>
  <xdr:twoCellAnchor>
    <xdr:from>
      <xdr:col>1</xdr:col>
      <xdr:colOff>333375</xdr:colOff>
      <xdr:row>74</xdr:row>
      <xdr:rowOff>104774</xdr:rowOff>
    </xdr:from>
    <xdr:to>
      <xdr:col>2</xdr:col>
      <xdr:colOff>123825</xdr:colOff>
      <xdr:row>76</xdr:row>
      <xdr:rowOff>66675</xdr:rowOff>
    </xdr:to>
    <xdr:sp macro="" textlink="">
      <xdr:nvSpPr>
        <xdr:cNvPr id="3" name="五角星 2"/>
        <xdr:cNvSpPr/>
      </xdr:nvSpPr>
      <xdr:spPr>
        <a:xfrm flipH="1">
          <a:off x="2962275" y="12087224"/>
          <a:ext cx="266700" cy="285751"/>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9525</xdr:colOff>
      <xdr:row>68</xdr:row>
      <xdr:rowOff>9525</xdr:rowOff>
    </xdr:from>
    <xdr:to>
      <xdr:col>3</xdr:col>
      <xdr:colOff>276225</xdr:colOff>
      <xdr:row>69</xdr:row>
      <xdr:rowOff>142875</xdr:rowOff>
    </xdr:to>
    <xdr:sp macro="" textlink="">
      <xdr:nvSpPr>
        <xdr:cNvPr id="4" name="六角星 3"/>
        <xdr:cNvSpPr/>
      </xdr:nvSpPr>
      <xdr:spPr>
        <a:xfrm flipH="1">
          <a:off x="3714750" y="11020425"/>
          <a:ext cx="266700" cy="295275"/>
        </a:xfrm>
        <a:prstGeom prst="star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666750</xdr:colOff>
      <xdr:row>73</xdr:row>
      <xdr:rowOff>114300</xdr:rowOff>
    </xdr:from>
    <xdr:to>
      <xdr:col>5</xdr:col>
      <xdr:colOff>38100</xdr:colOff>
      <xdr:row>75</xdr:row>
      <xdr:rowOff>47625</xdr:rowOff>
    </xdr:to>
    <xdr:sp macro="" textlink="">
      <xdr:nvSpPr>
        <xdr:cNvPr id="5" name="六角星 4"/>
        <xdr:cNvSpPr/>
      </xdr:nvSpPr>
      <xdr:spPr>
        <a:xfrm>
          <a:off x="5229225" y="11934825"/>
          <a:ext cx="228600" cy="257175"/>
        </a:xfrm>
        <a:prstGeom prst="star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466725</xdr:colOff>
      <xdr:row>94</xdr:row>
      <xdr:rowOff>38100</xdr:rowOff>
    </xdr:from>
    <xdr:to>
      <xdr:col>4</xdr:col>
      <xdr:colOff>837584</xdr:colOff>
      <xdr:row>98</xdr:row>
      <xdr:rowOff>38019</xdr:rowOff>
    </xdr:to>
    <xdr:pic>
      <xdr:nvPicPr>
        <xdr:cNvPr id="6" name="图片 5"/>
        <xdr:cNvPicPr>
          <a:picLocks noChangeAspect="1"/>
        </xdr:cNvPicPr>
      </xdr:nvPicPr>
      <xdr:blipFill>
        <a:blip xmlns:r="http://schemas.openxmlformats.org/officeDocument/2006/relationships" r:embed="rId2"/>
        <a:stretch>
          <a:fillRect/>
        </a:stretch>
      </xdr:blipFill>
      <xdr:spPr>
        <a:xfrm>
          <a:off x="466725" y="15259050"/>
          <a:ext cx="4933334" cy="647619"/>
        </a:xfrm>
        <a:prstGeom prst="rect">
          <a:avLst/>
        </a:prstGeom>
      </xdr:spPr>
    </xdr:pic>
    <xdr:clientData/>
  </xdr:twoCellAnchor>
  <xdr:twoCellAnchor editAs="oneCell">
    <xdr:from>
      <xdr:col>0</xdr:col>
      <xdr:colOff>485775</xdr:colOff>
      <xdr:row>98</xdr:row>
      <xdr:rowOff>133350</xdr:rowOff>
    </xdr:from>
    <xdr:to>
      <xdr:col>8</xdr:col>
      <xdr:colOff>865786</xdr:colOff>
      <xdr:row>118</xdr:row>
      <xdr:rowOff>132945</xdr:rowOff>
    </xdr:to>
    <xdr:pic>
      <xdr:nvPicPr>
        <xdr:cNvPr id="7" name="图片 6"/>
        <xdr:cNvPicPr>
          <a:picLocks noChangeAspect="1"/>
        </xdr:cNvPicPr>
      </xdr:nvPicPr>
      <xdr:blipFill>
        <a:blip xmlns:r="http://schemas.openxmlformats.org/officeDocument/2006/relationships" r:embed="rId3"/>
        <a:stretch>
          <a:fillRect/>
        </a:stretch>
      </xdr:blipFill>
      <xdr:spPr>
        <a:xfrm>
          <a:off x="485775" y="16002000"/>
          <a:ext cx="7914286" cy="3238095"/>
        </a:xfrm>
        <a:prstGeom prst="rect">
          <a:avLst/>
        </a:prstGeom>
      </xdr:spPr>
    </xdr:pic>
    <xdr:clientData/>
  </xdr:twoCellAnchor>
  <xdr:twoCellAnchor editAs="oneCell">
    <xdr:from>
      <xdr:col>0</xdr:col>
      <xdr:colOff>514350</xdr:colOff>
      <xdr:row>119</xdr:row>
      <xdr:rowOff>19050</xdr:rowOff>
    </xdr:from>
    <xdr:to>
      <xdr:col>8</xdr:col>
      <xdr:colOff>780076</xdr:colOff>
      <xdr:row>139</xdr:row>
      <xdr:rowOff>56741</xdr:rowOff>
    </xdr:to>
    <xdr:pic>
      <xdr:nvPicPr>
        <xdr:cNvPr id="8" name="图片 7"/>
        <xdr:cNvPicPr>
          <a:picLocks noChangeAspect="1"/>
        </xdr:cNvPicPr>
      </xdr:nvPicPr>
      <xdr:blipFill>
        <a:blip xmlns:r="http://schemas.openxmlformats.org/officeDocument/2006/relationships" r:embed="rId4"/>
        <a:stretch>
          <a:fillRect/>
        </a:stretch>
      </xdr:blipFill>
      <xdr:spPr>
        <a:xfrm>
          <a:off x="514350" y="19288125"/>
          <a:ext cx="7800001" cy="3276191"/>
        </a:xfrm>
        <a:prstGeom prst="rect">
          <a:avLst/>
        </a:prstGeom>
      </xdr:spPr>
    </xdr:pic>
    <xdr:clientData/>
  </xdr:twoCellAnchor>
  <xdr:twoCellAnchor editAs="oneCell">
    <xdr:from>
      <xdr:col>8</xdr:col>
      <xdr:colOff>981075</xdr:colOff>
      <xdr:row>102</xdr:row>
      <xdr:rowOff>66675</xdr:rowOff>
    </xdr:from>
    <xdr:to>
      <xdr:col>16</xdr:col>
      <xdr:colOff>599290</xdr:colOff>
      <xdr:row>127</xdr:row>
      <xdr:rowOff>113788</xdr:rowOff>
    </xdr:to>
    <xdr:pic>
      <xdr:nvPicPr>
        <xdr:cNvPr id="9" name="图片 8"/>
        <xdr:cNvPicPr>
          <a:picLocks noChangeAspect="1"/>
        </xdr:cNvPicPr>
      </xdr:nvPicPr>
      <xdr:blipFill>
        <a:blip xmlns:r="http://schemas.openxmlformats.org/officeDocument/2006/relationships" r:embed="rId5"/>
        <a:stretch>
          <a:fillRect/>
        </a:stretch>
      </xdr:blipFill>
      <xdr:spPr>
        <a:xfrm>
          <a:off x="8515350" y="16583025"/>
          <a:ext cx="6285715" cy="4095238"/>
        </a:xfrm>
        <a:prstGeom prst="rect">
          <a:avLst/>
        </a:prstGeom>
      </xdr:spPr>
    </xdr:pic>
    <xdr:clientData/>
  </xdr:twoCellAnchor>
  <xdr:twoCellAnchor editAs="oneCell">
    <xdr:from>
      <xdr:col>0</xdr:col>
      <xdr:colOff>542925</xdr:colOff>
      <xdr:row>141</xdr:row>
      <xdr:rowOff>152400</xdr:rowOff>
    </xdr:from>
    <xdr:to>
      <xdr:col>5</xdr:col>
      <xdr:colOff>142248</xdr:colOff>
      <xdr:row>146</xdr:row>
      <xdr:rowOff>18966</xdr:rowOff>
    </xdr:to>
    <xdr:pic>
      <xdr:nvPicPr>
        <xdr:cNvPr id="10" name="图片 9"/>
        <xdr:cNvPicPr>
          <a:picLocks noChangeAspect="1"/>
        </xdr:cNvPicPr>
      </xdr:nvPicPr>
      <xdr:blipFill>
        <a:blip xmlns:r="http://schemas.openxmlformats.org/officeDocument/2006/relationships" r:embed="rId6"/>
        <a:stretch>
          <a:fillRect/>
        </a:stretch>
      </xdr:blipFill>
      <xdr:spPr>
        <a:xfrm>
          <a:off x="542925" y="22983825"/>
          <a:ext cx="5019048" cy="676191"/>
        </a:xfrm>
        <a:prstGeom prst="rect">
          <a:avLst/>
        </a:prstGeom>
      </xdr:spPr>
    </xdr:pic>
    <xdr:clientData/>
  </xdr:twoCellAnchor>
  <xdr:twoCellAnchor editAs="oneCell">
    <xdr:from>
      <xdr:col>0</xdr:col>
      <xdr:colOff>514350</xdr:colOff>
      <xdr:row>146</xdr:row>
      <xdr:rowOff>95250</xdr:rowOff>
    </xdr:from>
    <xdr:to>
      <xdr:col>8</xdr:col>
      <xdr:colOff>1094361</xdr:colOff>
      <xdr:row>188</xdr:row>
      <xdr:rowOff>122972</xdr:rowOff>
    </xdr:to>
    <xdr:pic>
      <xdr:nvPicPr>
        <xdr:cNvPr id="11" name="图片 10"/>
        <xdr:cNvPicPr>
          <a:picLocks noChangeAspect="1"/>
        </xdr:cNvPicPr>
      </xdr:nvPicPr>
      <xdr:blipFill>
        <a:blip xmlns:r="http://schemas.openxmlformats.org/officeDocument/2006/relationships" r:embed="rId7"/>
        <a:stretch>
          <a:fillRect/>
        </a:stretch>
      </xdr:blipFill>
      <xdr:spPr>
        <a:xfrm>
          <a:off x="514350" y="23736300"/>
          <a:ext cx="8114286" cy="6828572"/>
        </a:xfrm>
        <a:prstGeom prst="rect">
          <a:avLst/>
        </a:prstGeom>
      </xdr:spPr>
    </xdr:pic>
    <xdr:clientData/>
  </xdr:twoCellAnchor>
  <xdr:twoCellAnchor editAs="oneCell">
    <xdr:from>
      <xdr:col>0</xdr:col>
      <xdr:colOff>476250</xdr:colOff>
      <xdr:row>190</xdr:row>
      <xdr:rowOff>19050</xdr:rowOff>
    </xdr:from>
    <xdr:to>
      <xdr:col>5</xdr:col>
      <xdr:colOff>180335</xdr:colOff>
      <xdr:row>194</xdr:row>
      <xdr:rowOff>28493</xdr:rowOff>
    </xdr:to>
    <xdr:pic>
      <xdr:nvPicPr>
        <xdr:cNvPr id="12" name="图片 11"/>
        <xdr:cNvPicPr>
          <a:picLocks noChangeAspect="1"/>
        </xdr:cNvPicPr>
      </xdr:nvPicPr>
      <xdr:blipFill>
        <a:blip xmlns:r="http://schemas.openxmlformats.org/officeDocument/2006/relationships" r:embed="rId8"/>
        <a:stretch>
          <a:fillRect/>
        </a:stretch>
      </xdr:blipFill>
      <xdr:spPr>
        <a:xfrm>
          <a:off x="476250" y="30784800"/>
          <a:ext cx="5123810" cy="657143"/>
        </a:xfrm>
        <a:prstGeom prst="rect">
          <a:avLst/>
        </a:prstGeom>
      </xdr:spPr>
    </xdr:pic>
    <xdr:clientData/>
  </xdr:twoCellAnchor>
  <xdr:twoCellAnchor editAs="oneCell">
    <xdr:from>
      <xdr:col>8</xdr:col>
      <xdr:colOff>942975</xdr:colOff>
      <xdr:row>150</xdr:row>
      <xdr:rowOff>28575</xdr:rowOff>
    </xdr:from>
    <xdr:to>
      <xdr:col>15</xdr:col>
      <xdr:colOff>608885</xdr:colOff>
      <xdr:row>175</xdr:row>
      <xdr:rowOff>66165</xdr:rowOff>
    </xdr:to>
    <xdr:pic>
      <xdr:nvPicPr>
        <xdr:cNvPr id="13" name="图片 12"/>
        <xdr:cNvPicPr>
          <a:picLocks noChangeAspect="1"/>
        </xdr:cNvPicPr>
      </xdr:nvPicPr>
      <xdr:blipFill>
        <a:blip xmlns:r="http://schemas.openxmlformats.org/officeDocument/2006/relationships" r:embed="rId9"/>
        <a:stretch>
          <a:fillRect/>
        </a:stretch>
      </xdr:blipFill>
      <xdr:spPr>
        <a:xfrm>
          <a:off x="8477250" y="24317325"/>
          <a:ext cx="5723810" cy="4085715"/>
        </a:xfrm>
        <a:prstGeom prst="rect">
          <a:avLst/>
        </a:prstGeom>
      </xdr:spPr>
    </xdr:pic>
    <xdr:clientData/>
  </xdr:twoCellAnchor>
  <xdr:twoCellAnchor editAs="oneCell">
    <xdr:from>
      <xdr:col>0</xdr:col>
      <xdr:colOff>371475</xdr:colOff>
      <xdr:row>195</xdr:row>
      <xdr:rowOff>0</xdr:rowOff>
    </xdr:from>
    <xdr:to>
      <xdr:col>8</xdr:col>
      <xdr:colOff>932439</xdr:colOff>
      <xdr:row>236</xdr:row>
      <xdr:rowOff>151552</xdr:rowOff>
    </xdr:to>
    <xdr:pic>
      <xdr:nvPicPr>
        <xdr:cNvPr id="14" name="图片 13"/>
        <xdr:cNvPicPr>
          <a:picLocks noChangeAspect="1"/>
        </xdr:cNvPicPr>
      </xdr:nvPicPr>
      <xdr:blipFill>
        <a:blip xmlns:r="http://schemas.openxmlformats.org/officeDocument/2006/relationships" r:embed="rId10"/>
        <a:stretch>
          <a:fillRect/>
        </a:stretch>
      </xdr:blipFill>
      <xdr:spPr>
        <a:xfrm>
          <a:off x="371475" y="31575375"/>
          <a:ext cx="8095239" cy="6790477"/>
        </a:xfrm>
        <a:prstGeom prst="rect">
          <a:avLst/>
        </a:prstGeom>
      </xdr:spPr>
    </xdr:pic>
    <xdr:clientData/>
  </xdr:twoCellAnchor>
  <xdr:twoCellAnchor editAs="oneCell">
    <xdr:from>
      <xdr:col>8</xdr:col>
      <xdr:colOff>1647825</xdr:colOff>
      <xdr:row>197</xdr:row>
      <xdr:rowOff>28575</xdr:rowOff>
    </xdr:from>
    <xdr:to>
      <xdr:col>18</xdr:col>
      <xdr:colOff>608745</xdr:colOff>
      <xdr:row>222</xdr:row>
      <xdr:rowOff>94736</xdr:rowOff>
    </xdr:to>
    <xdr:pic>
      <xdr:nvPicPr>
        <xdr:cNvPr id="15" name="图片 14"/>
        <xdr:cNvPicPr>
          <a:picLocks noChangeAspect="1"/>
        </xdr:cNvPicPr>
      </xdr:nvPicPr>
      <xdr:blipFill>
        <a:blip xmlns:r="http://schemas.openxmlformats.org/officeDocument/2006/relationships" r:embed="rId11"/>
        <a:stretch>
          <a:fillRect/>
        </a:stretch>
      </xdr:blipFill>
      <xdr:spPr>
        <a:xfrm>
          <a:off x="9182100" y="31927800"/>
          <a:ext cx="6847620" cy="4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估价对象为北京市房地产，为所有。根据《国有土地使用证》[]，估价对象（分摊）出让国有建设用地使用权面积为14034平方米，建筑面积为6998.6平方米。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估价对象为北京市房地产,属开发建设的，该项目尚在开发建设中。根据《国有土地使用证》[]，估价对象（分摊）出让国有建设用地使用权面积为14034平方米，规划建筑面积为6998.6平方米。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2023年3月8日</v>
      </c>
    </row>
    <row r="13" spans="1:2" s="1203" customFormat="1">
      <c r="A13" s="1201" t="s">
        <v>529</v>
      </c>
      <c r="B13" s="1202" t="str">
        <f>'预评函-1'!A18</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3997</v>
      </c>
    </row>
    <row r="21" spans="1:2" s="1203" customFormat="1">
      <c r="A21" s="1201" t="s">
        <v>537</v>
      </c>
      <c r="B21" s="1202">
        <f ca="1">'预评函-2'!D7</f>
        <v>5711</v>
      </c>
    </row>
    <row r="22" spans="1:2" s="1203" customFormat="1">
      <c r="A22" s="1201" t="s">
        <v>538</v>
      </c>
      <c r="B22" s="1202" t="str">
        <f ca="1">'预评函-2'!D6</f>
        <v>叁仟玖佰玖拾柒万元整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3997</v>
      </c>
    </row>
    <row r="31" spans="1:2" s="1203" customFormat="1">
      <c r="A31" s="1201" t="s">
        <v>576</v>
      </c>
      <c r="B31" s="1202">
        <f ca="1">'预评函-2'!D15</f>
        <v>5711</v>
      </c>
    </row>
    <row r="32" spans="1:2" s="1203" customFormat="1">
      <c r="A32" s="1201" t="s">
        <v>543</v>
      </c>
      <c r="B32" s="1202" t="str">
        <f ca="1">'预评函-2'!D14</f>
        <v>叁仟玖佰玖拾柒万元整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6998.6</v>
      </c>
    </row>
    <row r="44" spans="1:2" s="1203" customFormat="1">
      <c r="A44" s="1201" t="s">
        <v>575</v>
      </c>
      <c r="B44" s="1202" t="str">
        <f>'预评函-3'!C2</f>
        <v>(分摊)土地面积</v>
      </c>
    </row>
    <row r="45" spans="1:2" s="1203" customFormat="1">
      <c r="A45" s="1201" t="s">
        <v>547</v>
      </c>
      <c r="B45" s="1202">
        <f>'预评函-3'!C4</f>
        <v>14034</v>
      </c>
    </row>
    <row r="46" spans="1:2" s="1203" customFormat="1">
      <c r="A46" s="1201" t="s">
        <v>573</v>
      </c>
      <c r="B46" s="1202" t="str">
        <f>'预评函-3'!D2</f>
        <v>出让国有建设用地使用权价值</v>
      </c>
    </row>
    <row r="47" spans="1:2" s="1203" customFormat="1">
      <c r="A47" s="1201" t="s">
        <v>548</v>
      </c>
      <c r="B47" s="1202">
        <f ca="1">'预评函-3'!D4</f>
        <v>2058</v>
      </c>
    </row>
    <row r="48" spans="1:2" s="1203" customFormat="1">
      <c r="A48" s="1201" t="s">
        <v>549</v>
      </c>
      <c r="B48" s="1202">
        <f ca="1">'预评函-3'!E4</f>
        <v>2940</v>
      </c>
    </row>
    <row r="49" spans="1:2" s="1203" customFormat="1">
      <c r="A49" s="1201" t="s">
        <v>550</v>
      </c>
      <c r="B49" s="1202" t="str">
        <f ca="1">'预评函-3'!D5</f>
        <v>贰仟零伍拾捌万元整</v>
      </c>
    </row>
    <row r="50" spans="1:2" s="1203" customFormat="1">
      <c r="A50" s="1201" t="s">
        <v>574</v>
      </c>
      <c r="B50" s="1202" t="str">
        <f>'预评函-3'!F2</f>
        <v>在建建筑物价值</v>
      </c>
    </row>
    <row r="51" spans="1:2" s="1203" customFormat="1">
      <c r="A51" s="1201" t="s">
        <v>551</v>
      </c>
      <c r="B51" s="1202">
        <f ca="1">'预评函-3'!F4</f>
        <v>1939</v>
      </c>
    </row>
    <row r="52" spans="1:2" s="1203" customFormat="1">
      <c r="A52" s="1201" t="s">
        <v>552</v>
      </c>
      <c r="B52" s="1202">
        <f ca="1">'预评函-3'!G4</f>
        <v>2771</v>
      </c>
    </row>
    <row r="53" spans="1:2" s="1203" customFormat="1">
      <c r="A53" s="1201" t="s">
        <v>580</v>
      </c>
      <c r="B53" s="1202" t="str">
        <f ca="1">'预评函-3'!F5</f>
        <v>壹仟玖佰叁拾玖万元整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5" sqref="D1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44993</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f>B6</f>
        <v>58510</v>
      </c>
      <c r="C5" s="3023">
        <f>ROUNDDOWN(MIN((B5-B3)/365,A5),2)</f>
        <v>37.03</v>
      </c>
      <c r="D5" s="3025">
        <f>IF(ISERROR(ROUND(POWER(1+E5,A5-C5)*(POWER(1+E5,C5)-1)/(POWER(1+E5,A5)-1),3)),0,ROUND(POWER(1+E5,A5-C5)*(POWER(1+E5,C5)-1)/(POWER(1+E5,A5)-1),4))</f>
        <v>0.96750000000000003</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f>项目基本情况!H13</f>
        <v>58510</v>
      </c>
      <c r="C6" s="3023">
        <f>ROUNDDOWN(MIN((B6-B3)/365,A6),2)</f>
        <v>37.03</v>
      </c>
      <c r="D6" s="3025">
        <f>IF(ISERROR(ROUND(POWER(1+E6,A6-C6)*(POWER(1+E6,C6)-1)/(POWER(1+E6,A6)-1),3)),0,ROUND(POWER(1+E6,A6-C6)*(POWER(1+E6,C6)-1)/(POWER(1+E6,A6)-1),4))</f>
        <v>0.89139999999999997</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f>B6</f>
        <v>58510</v>
      </c>
      <c r="C7" s="3023">
        <f>ROUNDDOWN(MIN((B7-B3)/365,A7),2)</f>
        <v>37.03</v>
      </c>
      <c r="D7" s="3025">
        <f>IF(ISERROR(ROUND(POWER(1+E7,A7-C7)*(POWER(1+E7,C7)-1)/(POWER(1+E7,A7)-1),3)),0,ROUND(POWER(1+E7,A7-C7)*(POWER(1+E7,C7)-1)/(POWER(1+E7,A7)-1),4))</f>
        <v>0.81850000000000001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50</v>
      </c>
      <c r="C11" s="3023" t="s">
        <v>2512</v>
      </c>
      <c r="D11" s="3789">
        <v>4.4999999999999998E-2</v>
      </c>
      <c r="E11" s="3023" t="s">
        <v>2513</v>
      </c>
      <c r="F11" s="3030">
        <f>ROUND(1-(1/(POWER(1+D11,B11))),4)</f>
        <v>0.88929999999999998</v>
      </c>
    </row>
    <row r="12" spans="1:18">
      <c r="A12" s="3020" t="s">
        <v>2514</v>
      </c>
      <c r="B12" s="3028">
        <v>20</v>
      </c>
      <c r="C12" s="3023" t="s">
        <v>2515</v>
      </c>
      <c r="D12" s="3789">
        <v>4.4999999999999998E-2</v>
      </c>
      <c r="E12" s="3023" t="s">
        <v>2516</v>
      </c>
      <c r="F12" s="3030">
        <f>ROUND(1-(1/(POWER(1+D12,B12))),4)</f>
        <v>0.58540000000000003</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3291.35</v>
      </c>
      <c r="C15" s="3023">
        <f>ROUND(F12/F11,4)</f>
        <v>0.6583</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7307.03</v>
      </c>
      <c r="C18" s="3032">
        <f>ROUND(F11/F12,4)</f>
        <v>1.5190999999999999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44993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495" t="s">
        <v>2176</v>
      </c>
      <c r="E8" s="2391" t="s">
        <v>3379</v>
      </c>
      <c r="F8" s="2392"/>
      <c r="G8" s="2663"/>
      <c r="H8" s="2663"/>
      <c r="I8" s="2663"/>
      <c r="J8" s="2439"/>
      <c r="K8" s="2614"/>
      <c r="L8" s="2613"/>
      <c r="M8" s="2613"/>
      <c r="N8" s="2439"/>
      <c r="O8" s="2450"/>
      <c r="P8" s="2439"/>
      <c r="Q8" s="2439"/>
      <c r="R8" s="2439"/>
    </row>
    <row r="9" spans="1:30" ht="13.5" thickBot="1">
      <c r="A9" s="2393" t="s">
        <v>2177</v>
      </c>
      <c r="B9" s="2394" t="s">
        <v>3379</v>
      </c>
      <c r="C9" s="2395"/>
      <c r="D9" s="3496"/>
      <c r="E9" s="2394"/>
      <c r="F9" s="2396"/>
      <c r="G9" s="2665"/>
      <c r="H9" s="2665"/>
      <c r="I9" s="2665"/>
      <c r="J9" s="2439"/>
      <c r="K9" s="2616"/>
      <c r="L9" s="2613"/>
      <c r="M9" s="2613"/>
      <c r="N9" s="2439"/>
      <c r="O9" s="2450"/>
      <c r="P9" s="2439"/>
      <c r="Q9" s="2439"/>
      <c r="R9" s="2439"/>
    </row>
    <row r="10" spans="1:30" ht="13.5" thickTop="1">
      <c r="A10" s="2397" t="s">
        <v>2178</v>
      </c>
      <c r="B10" s="2398" t="s">
        <v>3380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3338</v>
      </c>
      <c r="B13" s="2407" t="s">
        <v>2189</v>
      </c>
      <c r="C13" s="856"/>
      <c r="D13" s="856"/>
      <c r="E13" s="856"/>
      <c r="F13" s="856"/>
      <c r="G13" s="856"/>
      <c r="H13" s="856">
        <v>58510</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37.03</v>
      </c>
      <c r="I15" s="2410" t="str">
        <f>IF(A13="出让",IF(I13="","",ROUNDDOWN(MIN((I13-$D$3)/365,I14),2)),I14)</f>
        <v/>
      </c>
      <c r="J15" s="3064"/>
      <c r="K15" s="2451"/>
      <c r="L15" s="2451"/>
      <c r="M15" s="2509"/>
      <c r="N15" s="2451"/>
      <c r="O15" s="2509"/>
      <c r="P15" s="2439"/>
      <c r="Q15" s="2439"/>
      <c r="AD15" s="1745"/>
    </row>
    <row r="16" spans="1:30">
      <c r="A16" s="2400" t="s">
        <v>2192</v>
      </c>
      <c r="B16" s="3502"/>
      <c r="C16" s="3503"/>
      <c r="D16" s="3504"/>
      <c r="E16" s="2413" t="s">
        <v>2193</v>
      </c>
      <c r="F16" s="3505"/>
      <c r="G16" s="3506"/>
      <c r="H16" s="3506"/>
      <c r="I16" s="3507"/>
      <c r="J16" s="2439"/>
      <c r="K16" s="2617"/>
      <c r="L16" s="2451"/>
      <c r="M16" s="2451"/>
      <c r="N16" s="2509"/>
      <c r="O16" s="2451"/>
      <c r="P16" s="2509"/>
      <c r="Q16" s="2439"/>
      <c r="R16" s="2439"/>
    </row>
    <row r="17" spans="1:28">
      <c r="A17" s="313" t="s">
        <v>2194</v>
      </c>
      <c r="B17" s="302" t="s">
        <v>2195</v>
      </c>
      <c r="C17" s="8">
        <f>'数据-汇总表'!E3</f>
        <v>6998.6</v>
      </c>
      <c r="D17" s="2322" t="s">
        <v>2196</v>
      </c>
      <c r="E17" s="3508" t="s">
        <v>2197</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14034</v>
      </c>
      <c r="D18" s="1092" t="s">
        <v>2200</v>
      </c>
      <c r="E18" s="3511" t="s">
        <v>2201</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498" t="s">
        <v>2205</v>
      </c>
      <c r="C20" s="3499"/>
      <c r="D20" s="3500" t="s">
        <v>2206</v>
      </c>
      <c r="E20" s="3501"/>
      <c r="F20" s="2647" t="s">
        <v>1056</v>
      </c>
      <c r="G20" s="2664"/>
      <c r="H20" s="2664"/>
      <c r="I20" s="2664"/>
      <c r="J20" s="2439"/>
      <c r="K20" s="349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2217</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4" t="s">
        <v>2227</v>
      </c>
      <c r="T34" s="2428" t="str">
        <f>NUMBERSTRING(7-K34,1)&amp;"通"</f>
        <v>七通</v>
      </c>
      <c r="U34" s="2439"/>
      <c r="V34" s="2439"/>
    </row>
    <row r="35" spans="1:30">
      <c r="A35" s="2429"/>
      <c r="B35" s="3521" t="s">
        <v>2228</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275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14034</v>
      </c>
      <c r="B3" s="11">
        <f>IF(C3="否",G5-AT5,G5)</f>
        <v>6998.6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6998.6</v>
      </c>
      <c r="H5" s="13">
        <f t="shared" ref="H5:AT5" si="0">SUM(H13:H656)</f>
        <v>6998.6</v>
      </c>
      <c r="I5" s="13">
        <f t="shared" si="0"/>
        <v>6998.6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6998.6</v>
      </c>
      <c r="BA5" s="15">
        <f t="shared" si="1"/>
        <v>6998.6</v>
      </c>
      <c r="BB5" s="15">
        <f t="shared" si="1"/>
        <v>6998.6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14034</v>
      </c>
      <c r="F6" s="13" t="s">
        <v>0</v>
      </c>
      <c r="G6" s="13" t="s">
        <v>1</v>
      </c>
      <c r="H6" s="17">
        <f>SUMIF(I$12:AB$12,"总值",I6:AB6)</f>
        <v>14034</v>
      </c>
      <c r="I6" s="13">
        <f t="shared" ref="I6:AB6" si="2">ROUND($A$3*I5/$B$3,2)</f>
        <v>14034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14034</v>
      </c>
      <c r="AZ6" s="13" t="s">
        <v>2</v>
      </c>
      <c r="BA6" s="13">
        <f>ROUND($AY$6*BA5/$AZ$5,2)</f>
        <v>14034</v>
      </c>
      <c r="BB6" s="13">
        <f>ROUND($AY$6*BB5/$AZ$5,2)</f>
        <v>14034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14034</v>
      </c>
      <c r="F13" s="29"/>
      <c r="G13" s="30">
        <f>H13+AC13+AT13</f>
        <v>6998.6</v>
      </c>
      <c r="H13" s="17">
        <f>SUMIF(I$12:AB$12,"总值",I13:AB13)</f>
        <v>6998.6</v>
      </c>
      <c r="I13" s="1626">
        <v>6998.6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14034</v>
      </c>
      <c r="AZ13" s="13">
        <f>BA13+BL13</f>
        <v>6998.6</v>
      </c>
      <c r="BA13" s="13">
        <f>SUM(BB13:BK13)</f>
        <v>6998.6</v>
      </c>
      <c r="BB13" s="13">
        <f>IF($D13="是",I13-J13,0)</f>
        <v>6998.6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14034</v>
      </c>
      <c r="E3" s="43">
        <f>'数据-基础表'!AZ5</f>
        <v>6998.6</v>
      </c>
      <c r="F3" s="2659"/>
      <c r="G3" s="1145"/>
      <c r="H3" s="1026" t="s">
        <v>1106</v>
      </c>
      <c r="I3" s="855">
        <f>ROUND('数据-基础表'!B3/'数据-基础表'!A3,2)</f>
        <v>0.5</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0.5</v>
      </c>
      <c r="J5" s="2659"/>
      <c r="K5" s="2659"/>
      <c r="L5" s="2659"/>
      <c r="M5" s="2659"/>
      <c r="N5" s="2659"/>
      <c r="O5" s="2659"/>
      <c r="P5" s="2659"/>
    </row>
    <row r="6" spans="1:16" ht="15" thickBot="1">
      <c r="A6" s="1644"/>
      <c r="B6" s="3536" t="s">
        <v>1111</v>
      </c>
      <c r="C6" s="3536"/>
      <c r="D6" s="45">
        <f>ROUND($D$3*E6/$E$3,2)</f>
        <v>14034</v>
      </c>
      <c r="E6" s="46">
        <f>E3-E5</f>
        <v>6998.6</v>
      </c>
      <c r="F6" s="2659"/>
      <c r="G6" s="2653" t="s">
        <v>1112</v>
      </c>
      <c r="H6" s="1146" t="s">
        <v>1113</v>
      </c>
      <c r="I6" s="2654">
        <f>ROUND(F31/D31,2)</f>
        <v>0.5</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14034</v>
      </c>
      <c r="E8" s="48">
        <f>SUMIF('数据-基础表'!BB10:BK10,"地上",'数据-基础表'!BB5:BK5)</f>
        <v>6998.6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14034</v>
      </c>
      <c r="E16" s="50">
        <f>SUM(E8:E15)</f>
        <v>6998.6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14034</v>
      </c>
      <c r="E19" s="53">
        <f t="shared" ref="E19:E26" si="1">SUM(F19:G19)</f>
        <v>6998.6</v>
      </c>
      <c r="F19" s="2795">
        <f>'数据-基础表'!I13</f>
        <v>6998.6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14034</v>
      </c>
      <c r="S19" s="1027">
        <f t="shared" si="5"/>
        <v>6998.6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14034</v>
      </c>
      <c r="E27" s="1141">
        <f>IF(SUM(E19:E26)='数据-基础表'!BA5,SUM(E19:E26),IF(F27="地上面积有误","面积有误","地下面积有误"))</f>
        <v>6998.6</v>
      </c>
      <c r="F27" s="1140">
        <f>IF(SUM(F19:F26)=E8,SUM(F19:F26),"地上面积有误")</f>
        <v>6998.6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14034</v>
      </c>
      <c r="S27" s="1026">
        <f>IF(SUM(S19:S26)=$E$3,SUM(S19:S26),SUM(S19:S26)&amp;"误差"&amp;ROUND(SUM(S19:S26)-E3,2))</f>
        <v>6998.6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14034</v>
      </c>
      <c r="E31" s="676">
        <f>E27+E30</f>
        <v>6998.6</v>
      </c>
      <c r="F31" s="677">
        <f>F27+F30</f>
        <v>6998.6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1.1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厂房</v>
      </c>
      <c r="B6" s="1713" t="str">
        <f>IF(A6=0,"","经营性")</f>
        <v>经营性</v>
      </c>
      <c r="C6" s="1714" t="s">
        <v>3</v>
      </c>
      <c r="D6" s="858">
        <f>SUMIF(项目基本情况!C$12:I$12,C6,项目基本情况!C$14:I$14)</f>
        <v>50</v>
      </c>
      <c r="E6" s="857">
        <f>IF(B6="","",SUMIF(项目基本情况!C$12:I$12,C6,项目基本情况!C$13:I$13))</f>
        <v>58510</v>
      </c>
      <c r="F6" s="64">
        <f>SUMIF(项目基本情况!C$12:I$12,C6,项目基本情况!C$15:I$15)</f>
        <v>37.03</v>
      </c>
      <c r="G6" s="65">
        <f>IF(ISERROR(ROUND(POWER(1+H6,D6-F6)*(POWER(1+H6,F6)-1)/(POWER(1+H6,D6)-1),3)),0,ROUND(POWER(1+H6,D6-F6)*(POWER(1+H6,F6)-1)/(POWER(1+H6,D6)-1),3))</f>
        <v>0.90400000000000003</v>
      </c>
      <c r="H6" s="732">
        <v>4.4999999999999998E-2</v>
      </c>
      <c r="I6" s="732">
        <v>0.05</v>
      </c>
      <c r="J6" s="66">
        <v>7.4999999999999997E-2</v>
      </c>
      <c r="K6" s="1030">
        <f>SUMIF('数据-汇总表'!C$19:C$33,A6,'数据-汇总表'!E$19:E$33)</f>
        <v>6998.6</v>
      </c>
      <c r="L6" s="733">
        <v>2500</v>
      </c>
      <c r="M6" s="67">
        <f t="shared" ref="M6:M14" si="0">ROUND(K6*L6/10000,0)</f>
        <v>1750</v>
      </c>
      <c r="N6" s="731">
        <f>N19</f>
        <v>0.87</v>
      </c>
      <c r="O6" s="67" t="str">
        <f>IF($N$5="成新度","——",ROUND(M6*N6,0))</f>
        <v>——</v>
      </c>
      <c r="P6" s="68" t="str">
        <f>IF($N$5="成新度","——",M6-O6)</f>
        <v>——</v>
      </c>
      <c r="Q6" s="734">
        <v>0.1</v>
      </c>
      <c r="R6" s="69">
        <f ca="1">SUMIF('数据-汇总表'!C$19:C$33,A6,'数据-汇总表'!R$19:R$27)</f>
        <v>14034</v>
      </c>
      <c r="S6" s="51">
        <f>IF('数据-汇总表'!$I$17="按面积比例",SUMIF('数据-汇总表'!C$19:C$33,A6,'数据-汇总表'!K$19:K$33),SUMIF('数据-汇总表'!C$19:C$33,A6,'数据-汇总表'!N$19:N$33))</f>
        <v>0</v>
      </c>
      <c r="T6" s="1172">
        <f>ROUND($L$14*S6/10000,0)</f>
        <v>0</v>
      </c>
      <c r="U6" s="3428">
        <v>1</v>
      </c>
      <c r="V6" s="70">
        <v>0.02</v>
      </c>
      <c r="W6" s="70">
        <v>0.15</v>
      </c>
      <c r="X6" s="1040"/>
      <c r="Y6" s="71">
        <f>N6</f>
        <v>0.87</v>
      </c>
      <c r="Z6" s="72"/>
      <c r="AA6" s="66"/>
      <c r="AB6" s="66"/>
      <c r="AC6" s="1040"/>
      <c r="AD6" s="73"/>
      <c r="AE6" s="1041">
        <f ca="1">IF(AN6="",0,SUMIF(INDIRECT("'"&amp;AN6&amp;"'"&amp;"!E:E"),$AE$5,INDIRECT("'"&amp;AN6&amp;"'"&amp;"!F:F")))</f>
        <v>37.03</v>
      </c>
      <c r="AF6" s="1348"/>
      <c r="AG6" s="138">
        <f>IF(AF6="",0,AE6-AF6)</f>
        <v>0</v>
      </c>
      <c r="AH6" s="74"/>
      <c r="AI6" s="76">
        <v>365</v>
      </c>
      <c r="AJ6" s="77"/>
      <c r="AK6" s="78">
        <v>5.0000000000000001E-3</v>
      </c>
      <c r="AL6" s="79">
        <v>1E-3</v>
      </c>
      <c r="AM6" s="80">
        <v>0.01</v>
      </c>
      <c r="AN6" s="1715" t="s">
        <v>3395</v>
      </c>
      <c r="AO6" s="52">
        <f ca="1">SUMIF(INDIRECT("'"&amp;AN6&amp;"'"&amp;"!A:A"),"总价",INDIRECT("'"&amp;AN6&amp;"'"&amp;"!B:B"))</f>
        <v>3631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0.90400000000000003</v>
      </c>
      <c r="H16" s="90">
        <f>ROUND(SUMPRODUCT(H6:H13,K6:K13)/SUMPRODUCT((H6:H13&gt;0)*(K6:K13)),3)</f>
        <v>4.4999999999999998E-2</v>
      </c>
      <c r="I16" s="91"/>
      <c r="J16" s="91"/>
      <c r="K16" s="92">
        <f>SUM(K6:K15)</f>
        <v>6998.6</v>
      </c>
      <c r="L16" s="93">
        <f>ROUND(M16*10000/SUM(K6:K14),0)</f>
        <v>2501</v>
      </c>
      <c r="M16" s="93">
        <f>SUM(M6:M14)</f>
        <v>1750</v>
      </c>
      <c r="N16" s="94">
        <f>ROUND(SUMPRODUCT(M6:M14,N6:N14)/M16,3)</f>
        <v>0.87</v>
      </c>
      <c r="O16" s="93">
        <f>SUM(O6:O14)</f>
        <v>0</v>
      </c>
      <c r="P16" s="93">
        <f>SUM(P6:P14)</f>
        <v>0</v>
      </c>
      <c r="Q16" s="95">
        <f>ROUND(SUMPRODUCT(Q6:Q13,K6:K13)/SUMPRODUCT((Q6:Q13&gt;0)*(K6:K13)),2)</f>
        <v>0.1</v>
      </c>
      <c r="R16" s="1034">
        <f ca="1">SUM(R6:R13)</f>
        <v>14034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ROUND(1-(2023-N18)/80*0.98,2)</f>
        <v>0.87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133</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2285</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0</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44993</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SUM(D14:D23)</f>
        <v>0</v>
      </c>
      <c r="C5" s="2512">
        <f ca="1">IF(B5=D14,结果表!H102,ROUND(B5*10000/$B$1,0))</f>
        <v>5711</v>
      </c>
      <c r="D5" s="2512" t="e">
        <f>ROUND(B5*10000/$B$2,0)</f>
        <v>#DIV/0!</v>
      </c>
      <c r="E5" s="2686"/>
      <c r="F5" s="2687"/>
      <c r="G5" s="2687"/>
      <c r="H5" s="2688"/>
      <c r="I5" s="2688"/>
      <c r="J5" s="2688"/>
      <c r="K5" s="2688"/>
    </row>
    <row r="6" spans="1:11">
      <c r="A6" s="2512" t="s">
        <v>656</v>
      </c>
      <c r="B6" s="2512">
        <f>SUM(G14:G23)</f>
        <v>0</v>
      </c>
      <c r="C6" s="2512">
        <f ca="1">IF(B6=G14,结果表!H108,ROUND(B6*10000/$B$1,0))</f>
        <v>5711</v>
      </c>
      <c r="D6" s="2512" t="e">
        <f>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3362</v>
      </c>
      <c r="D10" s="2512" t="s">
        <v>3363</v>
      </c>
      <c r="E10" s="3441"/>
      <c r="F10" s="3445" t="s">
        <v>3364</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c r="C14" s="2518"/>
      <c r="D14" s="2518"/>
      <c r="E14" s="2518" t="e">
        <f>ROUND(D14*10000/B14,0)</f>
        <v>#DIV/0!</v>
      </c>
      <c r="F14" s="2518" t="e">
        <f>ROUND(D14*10000/C14,0)</f>
        <v>#DIV/0!</v>
      </c>
      <c r="G14" s="2518"/>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3410</v>
      </c>
      <c r="D4" s="1756" t="s">
        <v>3395</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2130</v>
      </c>
      <c r="F18" s="3632"/>
      <c r="G18" s="3632"/>
      <c r="H18" s="3632"/>
      <c r="I18" s="3632"/>
      <c r="K18" s="302" t="s">
        <v>1289</v>
      </c>
      <c r="L18" s="302">
        <f>IF(C1="",'数据-汇总表'!E3,SUMIF(项目类型,C1,'数据-汇总表'!E17:E26)+SUMIF(项目类型,C1,'数据-汇总表'!I17:I26))</f>
        <v>6998.6</v>
      </c>
      <c r="M18" s="302">
        <f>IF(C1="",'数据-汇总表'!E3,SUMIF(项目类型,C1,'数据-汇总表'!E17:E26))</f>
        <v>6998.6</v>
      </c>
    </row>
    <row r="19" spans="1:36" ht="15">
      <c r="A19" s="1761" t="s">
        <v>1290</v>
      </c>
      <c r="B19" s="1762" t="s">
        <v>1291</v>
      </c>
      <c r="C19" s="134">
        <f ca="1">SUMIF(INDIRECT("'"&amp;C4&amp;"'"&amp;"!A:A"),结果表!B19,INDIRECT("'"&amp;C4&amp;"'"&amp;"!B:B"))</f>
        <v>4363</v>
      </c>
      <c r="D19" s="135">
        <f ca="1">SUMIF(INDIRECT("'"&amp;D4&amp;"'"&amp;"!A:A"),结果表!B19,INDIRECT("'"&amp;D4&amp;"'"&amp;"!B:B"))</f>
        <v>3631</v>
      </c>
      <c r="E19" s="1761" t="s">
        <v>1292</v>
      </c>
      <c r="F19" s="1762" t="s">
        <v>1291</v>
      </c>
      <c r="G19" s="136">
        <f ca="1">ROUND(C19*$C$18+D19*$D$18,0)</f>
        <v>3997</v>
      </c>
      <c r="H19" s="1763" t="s">
        <v>1293</v>
      </c>
      <c r="I19" s="129"/>
      <c r="K19" s="302" t="s">
        <v>1294</v>
      </c>
      <c r="L19" s="302">
        <f>IF(C1="",'数据-汇总表'!D3,SUMIF(项目类型,C1,'数据-汇总表'!D17:D26)+SUMIF(项目类型,C1,'数据-汇总表'!H17:H27))</f>
        <v>14034</v>
      </c>
      <c r="M19" s="302">
        <f>IF(C1="",'数据-汇总表'!D3,SUMIF(项目类型,C1,'数据-汇总表'!D17:D26))</f>
        <v>14034</v>
      </c>
    </row>
    <row r="20" spans="1:36" ht="15">
      <c r="A20" s="1764"/>
      <c r="B20" s="1026" t="s">
        <v>1295</v>
      </c>
      <c r="C20" s="137">
        <f ca="1">SUMIF(INDIRECT("'"&amp;C4&amp;"'"&amp;"!A:A"),结果表!B20,INDIRECT("'"&amp;C4&amp;"'"&amp;"!B:B"))</f>
        <v>6234</v>
      </c>
      <c r="D20" s="138">
        <f ca="1">SUMIF(INDIRECT("'"&amp;D4&amp;"'"&amp;"!A:A"),结果表!B20,INDIRECT("'"&amp;D4&amp;"'"&amp;"!B:B"))</f>
        <v>5188</v>
      </c>
      <c r="E20" s="1764"/>
      <c r="F20" s="1026" t="s">
        <v>1295</v>
      </c>
      <c r="G20" s="139">
        <f ca="1">ROUND(C20*$C$18+D20*$D$18,0)</f>
        <v>5711</v>
      </c>
      <c r="H20" s="808" t="s">
        <v>1296</v>
      </c>
      <c r="I20" s="129"/>
    </row>
    <row r="21" spans="1:36" ht="15" customHeight="1" thickBot="1">
      <c r="A21" s="828"/>
      <c r="B21" s="1765" t="s">
        <v>1297</v>
      </c>
      <c r="C21" s="719">
        <f ca="1">ROUND(C19*10000/L19,0)</f>
        <v>3109</v>
      </c>
      <c r="D21" s="720">
        <f ca="1">ROUND(D19*10000/L19,0)</f>
        <v>2587</v>
      </c>
      <c r="E21" s="828"/>
      <c r="F21" s="1765" t="s">
        <v>1297</v>
      </c>
      <c r="G21" s="140">
        <f ca="1">ROUND(G19*10000/L19,0)</f>
        <v>2848</v>
      </c>
      <c r="H21" s="1766" t="s">
        <v>1296</v>
      </c>
      <c r="I21" s="129"/>
    </row>
    <row r="22" spans="1:36" ht="15" thickBot="1">
      <c r="A22" s="1688" t="s">
        <v>1298</v>
      </c>
      <c r="B22" s="1767"/>
      <c r="C22" s="1768"/>
      <c r="D22" s="721">
        <f ca="1">IF(C19&lt;D19,D19/C19-1,C19/D19-1)</f>
        <v>0.20159735610024776</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3997</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取值（总价）</v>
      </c>
      <c r="G33" s="129"/>
      <c r="H33" s="129"/>
      <c r="I33" s="129"/>
    </row>
    <row r="34" spans="1:15" ht="15">
      <c r="A34" s="1781"/>
      <c r="B34" s="1782" t="s">
        <v>1308</v>
      </c>
      <c r="C34" s="148">
        <f ca="1">IF(C33="自定义",F34,C32-C35)</f>
        <v>2058</v>
      </c>
      <c r="D34" s="861">
        <f ca="1">IF(C33="自定义",ROUND(C34/C32,3),IF(C33="收益比率",SUMIF(INDIRECT("'"&amp;D33&amp;"'"&amp;"!b:b"),"土地收益比率",INDIRECT("'"&amp;D33&amp;"'"&amp;"!c:c")),SUMIF(INDIRECT("'"&amp;D33&amp;"'"&amp;"!b:b"),"土地成本比率",INDIRECT("'"&amp;D33&amp;"'"&amp;"!c:c"))))</f>
        <v>0.51500000000000001</v>
      </c>
      <c r="E34" s="1783" t="s">
        <v>1309</v>
      </c>
      <c r="F34" s="1330"/>
      <c r="G34" s="129"/>
      <c r="H34" s="129"/>
      <c r="I34" s="129"/>
    </row>
    <row r="35" spans="1:15" ht="15.75" thickBot="1">
      <c r="A35" s="1784"/>
      <c r="B35" s="1785" t="s">
        <v>1310</v>
      </c>
      <c r="C35" s="1170">
        <f ca="1">IF(C33="自定义",F35,ROUND(C32*D35,0))</f>
        <v>1939</v>
      </c>
      <c r="D35" s="1171">
        <f ca="1">IF(C33="自定义",ROUND(C35/C32,3),IF(C33="收益比率",SUMIF(INDIRECT("'"&amp;D33&amp;"'"&amp;"!b:b"),"建筑物收益比率",INDIRECT("'"&amp;D33&amp;"'"&amp;"!c:c")),SUMIF(INDIRECT("'"&amp;D33&amp;"'"&amp;"!b:b"),"建筑物成本比率",INDIRECT("'"&amp;D33&amp;"'"&amp;"!c:c"))))</f>
        <v>0.48499999999999999</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3997</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44993</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3997</v>
      </c>
      <c r="N48" s="3545"/>
      <c r="O48" s="3545"/>
    </row>
    <row r="49" spans="1:35" ht="25.5" customHeight="1">
      <c r="A49" s="2333" t="s">
        <v>1341</v>
      </c>
      <c r="B49" s="3590" t="s">
        <v>1342</v>
      </c>
      <c r="C49" s="3590"/>
      <c r="D49" s="1590">
        <v>0</v>
      </c>
      <c r="E49" s="324" t="s">
        <v>1343</v>
      </c>
      <c r="F49" s="2424" t="s">
        <v>28</v>
      </c>
      <c r="G49" s="3573"/>
      <c r="H49" s="2310" t="s">
        <v>2133</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3997</v>
      </c>
      <c r="N49" s="3545"/>
      <c r="O49" s="3545"/>
    </row>
    <row r="50" spans="1:35" ht="25.5" customHeight="1">
      <c r="A50" s="2551"/>
      <c r="B50" s="3590" t="s">
        <v>1344</v>
      </c>
      <c r="C50" s="3590"/>
      <c r="D50" s="2552"/>
      <c r="E50" s="332"/>
      <c r="F50" s="2424"/>
      <c r="G50" s="3574"/>
      <c r="H50" s="2312" t="s">
        <v>2134</v>
      </c>
      <c r="I50" s="2311"/>
      <c r="J50" s="3541" t="s">
        <v>1345</v>
      </c>
      <c r="K50" s="3541"/>
      <c r="L50" s="3541"/>
      <c r="M50" s="3541"/>
      <c r="N50" s="3541"/>
      <c r="O50" s="3541"/>
    </row>
    <row r="51" spans="1:35" ht="20.45" customHeight="1">
      <c r="A51" s="2553"/>
      <c r="B51" s="3590" t="s">
        <v>1346</v>
      </c>
      <c r="C51" s="3590"/>
      <c r="D51" s="1087"/>
      <c r="E51" s="327"/>
      <c r="F51" s="2424"/>
      <c r="G51" s="3575"/>
      <c r="H51" s="2312" t="s">
        <v>2135</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209</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2290</v>
      </c>
      <c r="C53" s="3592"/>
      <c r="D53" s="1087">
        <f ca="1">ROUND(D45*'数据-取费表'!B41/(1+'数据-取费表'!C42),0)</f>
        <v>209</v>
      </c>
      <c r="E53" s="2334" t="s">
        <v>1354</v>
      </c>
      <c r="F53" s="2554">
        <f>'数据-取费表'!B41</f>
        <v>5.5000000000000007E-2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2291</v>
      </c>
      <c r="C54" s="3592"/>
      <c r="D54" s="1087">
        <f ca="1">C68</f>
        <v>209</v>
      </c>
      <c r="E54" s="327" t="s">
        <v>1359</v>
      </c>
      <c r="F54" s="2554">
        <f>'数据-取费表'!B41</f>
        <v>5.5000000000000007E-2</v>
      </c>
      <c r="G54" s="2555"/>
      <c r="H54" s="2556"/>
      <c r="I54" s="1807"/>
      <c r="J54" s="2523">
        <v>3</v>
      </c>
      <c r="K54" s="3567" t="s">
        <v>1360</v>
      </c>
      <c r="L54" s="3567"/>
      <c r="M54" s="2525">
        <f t="shared" ca="1" si="0"/>
        <v>2266</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38</v>
      </c>
      <c r="N55" s="2040" t="str">
        <f>E59</f>
        <v>差额计税</v>
      </c>
      <c r="O55" s="2529">
        <f>F59</f>
        <v>0.01</v>
      </c>
    </row>
    <row r="56" spans="1:35" ht="24.75">
      <c r="A56" s="3627" t="s">
        <v>1363</v>
      </c>
      <c r="B56" s="3605"/>
      <c r="C56" s="3605"/>
      <c r="D56" s="2324">
        <f ca="1">IF(H56="个人住宅",D57,D58)</f>
        <v>2266</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2306</v>
      </c>
      <c r="O57" s="2533"/>
      <c r="P57" s="2690">
        <f ca="1">N57/M49</f>
        <v>0.57693269952464343</v>
      </c>
    </row>
    <row r="58" spans="1:35" ht="24.75">
      <c r="A58" s="2335" t="s">
        <v>1352</v>
      </c>
      <c r="B58" s="3591" t="s">
        <v>1369</v>
      </c>
      <c r="C58" s="3590"/>
      <c r="D58" s="2324">
        <f ca="1">IF(H58="转让取得",C81,C97)</f>
        <v>2266</v>
      </c>
      <c r="E58" s="2334" t="s">
        <v>1364</v>
      </c>
      <c r="F58" s="302" t="s">
        <v>28</v>
      </c>
      <c r="G58" s="2555"/>
      <c r="H58" s="2558"/>
      <c r="I58" s="1808"/>
      <c r="J58" s="3567"/>
      <c r="K58" s="3567"/>
      <c r="L58" s="2530" t="s">
        <v>1370</v>
      </c>
      <c r="M58" s="2534"/>
      <c r="N58" s="2535" t="str">
        <f ca="1">NUMBERSTRING(INT(N57*10000),2)&amp;"元整"</f>
        <v>贰仟叁佰零陆万元整</v>
      </c>
      <c r="O58" s="2536"/>
    </row>
    <row r="59" spans="1:35" ht="24.75" thickBot="1">
      <c r="A59" s="3571" t="s">
        <v>1371</v>
      </c>
      <c r="B59" s="3572"/>
      <c r="C59" s="3572"/>
      <c r="D59" s="2560">
        <f ca="1">IF(H59="非个人房产","——",IF(H59="个人住宅（满五唯一有凭证）",0,IF(H59="个人其他（无凭证）",ROUND(D45*F59,0),ROUND(C67*F59,0))))</f>
        <v>38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69">
        <f>J57+1</f>
        <v>6</v>
      </c>
      <c r="K59" s="3567" t="s">
        <v>1372</v>
      </c>
      <c r="L59" s="2523" t="s">
        <v>1368</v>
      </c>
      <c r="M59" s="2537"/>
      <c r="N59" s="2538">
        <f ca="1">M49-N57</f>
        <v>1691</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壹仟陆佰玖拾壹万元整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2416</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3807</v>
      </c>
      <c r="D63" s="167"/>
      <c r="E63" s="168"/>
      <c r="F63" s="1808"/>
      <c r="G63" s="1808"/>
      <c r="H63" s="1810"/>
      <c r="I63" s="129"/>
      <c r="J63" s="3550" t="s">
        <v>1379</v>
      </c>
      <c r="K63" s="1332" t="s">
        <v>1380</v>
      </c>
      <c r="L63" s="1332">
        <f ca="1">IF(M49&gt;10000,M49*0.5%,IF(AND(M49&gt;1000,M49&lt;=10000),M49*1%,IF(AND(M49&gt;100,M49&lt;=1000),M49*3%,IF(AND(M49&gt;10,M49&lt;=100),M49*5%,M49*8%))))</f>
        <v>39.97</v>
      </c>
      <c r="M63" s="302">
        <f ca="1">ROUND(L63,1)</f>
        <v>40</v>
      </c>
      <c r="N63" s="2543"/>
      <c r="Z63" s="1752"/>
      <c r="AI63" s="1753"/>
    </row>
    <row r="64" spans="1:35" ht="14.25" customHeight="1">
      <c r="A64" s="169" t="s">
        <v>325</v>
      </c>
      <c r="B64" s="170" t="s">
        <v>1381</v>
      </c>
      <c r="C64" s="2565">
        <f ca="1">D45</f>
        <v>3997</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19.984999999999999</v>
      </c>
      <c r="M64" s="302">
        <f t="shared" ref="M64:M65" ca="1" si="1">ROUND(L64,1)</f>
        <v>20</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3.9969999999999999</v>
      </c>
      <c r="M65" s="302">
        <f t="shared" ca="1" si="1"/>
        <v>4</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19.984999999999999</v>
      </c>
      <c r="M66" s="302">
        <f ca="1">IF(L66&gt;0.5,0.5,ROUND(L66,0))</f>
        <v>0.5</v>
      </c>
      <c r="N66" s="2544" t="s">
        <v>1388</v>
      </c>
      <c r="Z66" s="1752"/>
      <c r="AI66" s="1753"/>
    </row>
    <row r="67" spans="1:35" ht="14.25" customHeight="1">
      <c r="A67" s="173" t="s">
        <v>328</v>
      </c>
      <c r="B67" s="174" t="s">
        <v>1389</v>
      </c>
      <c r="C67" s="2568">
        <f ca="1">C63-C66</f>
        <v>3807</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209</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79.94</v>
      </c>
      <c r="M68" s="302">
        <f ca="1">ROUND(L68,1)</f>
        <v>79.900000000000006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147</v>
      </c>
      <c r="N69" s="2545">
        <f ca="1">M69/M49</f>
        <v>3.6777583187390543E-2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19</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3788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199.36842105263159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2266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2128</v>
      </c>
      <c r="H90" s="355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19</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3788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199.36842105263159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2266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3997</v>
      </c>
      <c r="I101" s="129"/>
    </row>
    <row r="102" spans="1:35" ht="18.75" customHeight="1">
      <c r="A102" s="3578" t="s">
        <v>1433</v>
      </c>
      <c r="B102" s="2584" t="s">
        <v>1432</v>
      </c>
      <c r="C102" s="2585">
        <f ca="1">IF(D32="楼面单价",ROUND(C19,0),C19)</f>
        <v>4363</v>
      </c>
      <c r="D102" s="2586">
        <f ca="1">IF(D32="楼面单价",ROUND(D19,0),D19)</f>
        <v>3631</v>
      </c>
      <c r="E102" s="3546"/>
      <c r="F102" s="3547"/>
      <c r="G102" s="1827" t="s">
        <v>1434</v>
      </c>
      <c r="H102" s="2555">
        <f ca="1">I118</f>
        <v>5711</v>
      </c>
      <c r="I102" s="129"/>
    </row>
    <row r="103" spans="1:35" ht="42.75" customHeight="1">
      <c r="A103" s="3578"/>
      <c r="B103" s="2584" t="s">
        <v>1434</v>
      </c>
      <c r="C103" s="2587">
        <f ca="1">C20</f>
        <v>6234</v>
      </c>
      <c r="D103" s="2588">
        <f ca="1">D20</f>
        <v>5188</v>
      </c>
      <c r="E103" s="3539" t="s">
        <v>1435</v>
      </c>
      <c r="F103" s="3540"/>
      <c r="G103" s="1828" t="s">
        <v>1436</v>
      </c>
      <c r="H103" s="2595">
        <f>IF(D36="正常操作",H104+H105+H106,H105+H106)</f>
        <v>0</v>
      </c>
      <c r="I103" s="129"/>
    </row>
    <row r="104" spans="1:35" ht="18.75" customHeight="1">
      <c r="A104" s="3578" t="s">
        <v>1437</v>
      </c>
      <c r="B104" s="2589" t="s">
        <v>1432</v>
      </c>
      <c r="C104" s="2590">
        <f ca="1">H118</f>
        <v>3997</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5711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3997</v>
      </c>
      <c r="I107" s="129"/>
    </row>
    <row r="108" spans="1:35" ht="18.75" customHeight="1">
      <c r="A108" s="129"/>
      <c r="B108" s="129"/>
      <c r="C108" s="129"/>
      <c r="D108" s="129"/>
      <c r="E108" s="3579"/>
      <c r="F108" s="3547"/>
      <c r="G108" s="1827" t="s">
        <v>1434</v>
      </c>
      <c r="H108" s="2555">
        <f ca="1">IF(H107=H101,H102,ROUND(H107*10000/'数据-汇总表'!E3,0))</f>
        <v>5711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6998.6</v>
      </c>
      <c r="C118" s="2329">
        <f>M19</f>
        <v>14034</v>
      </c>
      <c r="D118" s="2329">
        <f ca="1">ROUND(IF(D32="总价",C34,E118*B118/10000),0)</f>
        <v>2058</v>
      </c>
      <c r="E118" s="2329">
        <f ca="1">ROUND(IF(C33="自定义",IF(D32="楼面单价",C34,D118*10000/B118),I118-G118),0)</f>
        <v>2940</v>
      </c>
      <c r="F118" s="2329">
        <f ca="1">ROUND(IF(D32="总价",C35,G118*B118/10000),0)</f>
        <v>1939</v>
      </c>
      <c r="G118" s="2329">
        <f ca="1">ROUND(IF(D32="楼面单价",C35,F118*10000/B118),0)</f>
        <v>2771</v>
      </c>
      <c r="H118" s="2329">
        <f ca="1">ROUND(IF(D32="总价",C32,I118*B118/10000),0)</f>
        <v>3997</v>
      </c>
      <c r="I118" s="2329">
        <f ca="1">ROUND(IF(D32="楼面单价",C32,H118*10000/B118),0)</f>
        <v>5711</v>
      </c>
    </row>
    <row r="119" spans="1:27" ht="18.75" customHeight="1">
      <c r="A119" s="3554" t="s">
        <v>1452</v>
      </c>
      <c r="B119" s="3554"/>
      <c r="C119" s="3554"/>
      <c r="D119" s="3560" t="str">
        <f ca="1">NUMBERSTRING(INT(D118*10000),2)&amp;"元整"</f>
        <v>贰仟零伍拾捌万元整</v>
      </c>
      <c r="E119" s="3561"/>
      <c r="F119" s="3560" t="str">
        <f ca="1">NUMBERSTRING(INT(F118*10000),2)&amp;"元整"</f>
        <v>壹仟玖佰叁拾玖万元整</v>
      </c>
      <c r="G119" s="3561"/>
      <c r="H119" s="3560" t="str">
        <f ca="1">NUMBERSTRING(INT(H118*10000),2)&amp;"元整"</f>
        <v>叁仟玖佰玖拾柒万元整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3997</v>
      </c>
      <c r="E122" s="3556"/>
      <c r="F122" s="3556"/>
      <c r="G122" s="3556"/>
      <c r="H122" s="3556"/>
      <c r="I122" s="3557"/>
      <c r="AA122" s="725"/>
    </row>
    <row r="123" spans="1:27" ht="18.75" customHeight="1">
      <c r="A123" s="3554" t="s">
        <v>1452</v>
      </c>
      <c r="B123" s="3554"/>
      <c r="C123" s="3554"/>
      <c r="D123" s="3560" t="str">
        <f ca="1">NUMBERSTRING(INT(D122*10000),2)&amp;"元整"</f>
        <v>叁仟玖佰玖拾柒万元整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24" sqref="I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3384</v>
      </c>
      <c r="C1" s="198"/>
      <c r="D1" s="198"/>
      <c r="E1" s="198"/>
      <c r="F1" s="198"/>
      <c r="G1" s="1126">
        <f>MATCH(B1,'数据-取费表'!A6:A16,0)+5</f>
        <v>6</v>
      </c>
    </row>
    <row r="2" spans="1:9" s="200" customFormat="1" ht="18" customHeight="1">
      <c r="A2" s="201" t="s">
        <v>1462</v>
      </c>
      <c r="B2" s="202">
        <f ca="1">IF(D2="——",C52,C52-E2)</f>
        <v>4363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6234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1785</v>
      </c>
      <c r="D5" s="211" t="s">
        <v>1469</v>
      </c>
      <c r="E5" s="212" t="s">
        <v>1470</v>
      </c>
      <c r="F5" s="212" t="s">
        <v>1471</v>
      </c>
      <c r="G5" s="213"/>
    </row>
    <row r="6" spans="1:9" s="214" customFormat="1" ht="13.5" customHeight="1">
      <c r="A6" s="778" t="s">
        <v>1472</v>
      </c>
      <c r="B6" s="215" t="s">
        <v>1473</v>
      </c>
      <c r="C6" s="216">
        <f>基准地价修正!E33</f>
        <v>1603</v>
      </c>
      <c r="D6" s="217"/>
      <c r="E6" s="218"/>
      <c r="F6" s="218"/>
      <c r="G6" s="219"/>
    </row>
    <row r="7" spans="1:9" s="214" customFormat="1" ht="13.5" customHeight="1">
      <c r="A7" s="778" t="s">
        <v>1474</v>
      </c>
      <c r="B7" s="215" t="s">
        <v>1475</v>
      </c>
      <c r="C7" s="220">
        <f>ROUND(C6*F7,0)</f>
        <v>49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133</v>
      </c>
      <c r="D8" s="222"/>
      <c r="E8" s="220"/>
      <c r="F8" s="221"/>
      <c r="G8" s="1856" t="s">
        <v>3388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3389</v>
      </c>
      <c r="H9" s="1137"/>
      <c r="I9" s="1858" t="s">
        <v>1479</v>
      </c>
    </row>
    <row r="10" spans="1:9" s="214" customFormat="1" ht="13.5" customHeight="1">
      <c r="A10" s="779" t="s">
        <v>356</v>
      </c>
      <c r="B10" s="224" t="s">
        <v>1480</v>
      </c>
      <c r="C10" s="225">
        <f ca="1">ROUND(D10*E10/10000,0)</f>
        <v>133</v>
      </c>
      <c r="D10" s="845">
        <f ca="1">IF(B1="",'数据-汇总表'!E6,IF(INDIRECT("'数据-取费表'!c"&amp;$G$1)="住宅",INDIRECT("'数据-取费表'!s"&amp;$G$1),INDIRECT("'数据-取费表'!k"&amp;$G$1)+INDIRECT("'数据-取费表'!s"&amp;$G$1)))</f>
        <v>6998.6</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6998.6</v>
      </c>
      <c r="E19" s="211">
        <f>'数据-取费表'!B31</f>
        <v>200</v>
      </c>
      <c r="F19" s="231"/>
      <c r="G19" s="1856" t="s">
        <v>3390</v>
      </c>
    </row>
    <row r="20" spans="1:7" s="214" customFormat="1" ht="13.5" customHeight="1">
      <c r="A20" s="255" t="s">
        <v>1493</v>
      </c>
      <c r="B20" s="210" t="s">
        <v>1494</v>
      </c>
      <c r="C20" s="232">
        <f ca="1">ROUND((C5+C19)*F20,0)</f>
        <v>36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75</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182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182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1750</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140</v>
      </c>
      <c r="D37" s="217">
        <f ca="1">D19</f>
        <v>6998.6</v>
      </c>
      <c r="E37" s="249">
        <f>'数据-取费表'!B35</f>
        <v>200</v>
      </c>
      <c r="F37" s="259"/>
      <c r="G37" s="261" t="s">
        <v>1532</v>
      </c>
    </row>
    <row r="38" spans="1:7" ht="13.5" customHeight="1">
      <c r="A38" s="780" t="s">
        <v>354</v>
      </c>
      <c r="B38" s="215" t="s">
        <v>1533</v>
      </c>
      <c r="C38" s="220">
        <f ca="1">ROUND(C34*F38,0)</f>
        <v>26</v>
      </c>
      <c r="D38" s="220"/>
      <c r="E38" s="220"/>
      <c r="F38" s="259">
        <f>'数据-取费表'!B36</f>
        <v>1.4999999999999999E-2</v>
      </c>
      <c r="G38" s="219" t="s">
        <v>1528</v>
      </c>
    </row>
    <row r="39" spans="1:7" s="214" customFormat="1" ht="13.5" customHeight="1">
      <c r="A39" s="255" t="s">
        <v>1534</v>
      </c>
      <c r="B39" s="210" t="s">
        <v>1535</v>
      </c>
      <c r="C39" s="232">
        <f ca="1">ROUND(C33*F20,0)</f>
        <v>39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41</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201</v>
      </c>
      <c r="D45" s="235">
        <f ca="1">C47</f>
        <v>2E-3</v>
      </c>
      <c r="E45" s="236" t="s">
        <v>1539</v>
      </c>
      <c r="F45" s="246">
        <f ca="1">F27</f>
        <v>0.1</v>
      </c>
      <c r="G45" s="247" t="s">
        <v>1548</v>
      </c>
    </row>
    <row r="46" spans="1:7" s="214" customFormat="1" ht="13.5" customHeight="1">
      <c r="A46" s="780" t="s">
        <v>346</v>
      </c>
      <c r="B46" s="248" t="s">
        <v>1549</v>
      </c>
      <c r="C46" s="249">
        <f ca="1">ROUND((C33+C39)*F27,0)</f>
        <v>201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2433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2117</v>
      </c>
      <c r="D51" s="232"/>
      <c r="E51" s="232"/>
      <c r="F51" s="264"/>
      <c r="G51" s="234" t="s">
        <v>1560</v>
      </c>
    </row>
    <row r="52" spans="1:7" s="208" customFormat="1" ht="16.5" thickBot="1">
      <c r="A52" s="265" t="s">
        <v>1561</v>
      </c>
      <c r="B52" s="266"/>
      <c r="C52" s="267">
        <f ca="1">C31+C51</f>
        <v>4363</v>
      </c>
      <c r="D52" s="266"/>
      <c r="E52" s="266"/>
      <c r="F52" s="266"/>
      <c r="G52" s="268"/>
    </row>
    <row r="55" spans="1:7" ht="15">
      <c r="B55" s="270" t="s">
        <v>1562</v>
      </c>
      <c r="C55" s="271"/>
    </row>
    <row r="56" spans="1:7">
      <c r="B56" s="273" t="s">
        <v>802</v>
      </c>
      <c r="C56" s="275">
        <f ca="1">1-C57</f>
        <v>0.51500000000000001</v>
      </c>
    </row>
    <row r="57" spans="1:7">
      <c r="B57" s="273" t="s">
        <v>803</v>
      </c>
      <c r="C57" s="274">
        <f ca="1">ROUND(C51/C52,3)</f>
        <v>0.48499999999999999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2459.2746000000002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1329734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1329734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1329734</v>
      </c>
      <c r="D10" s="845">
        <f ca="1">IF(B1="",'数据-汇总表'!E6,IF(INDIRECT("'数据-取费表'!c"&amp;$G$1)="住宅",INDIRECT("'数据-取费表'!s"&amp;$G$1),INDIRECT("'数据-取费表'!k"&amp;$G$1)+INDIRECT("'数据-取费表'!s"&amp;$G$1)))</f>
        <v>6998.6</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1399720</v>
      </c>
      <c r="D19" s="849">
        <f ca="1">D9+D10</f>
        <v>6998.6</v>
      </c>
      <c r="E19" s="211">
        <f>'数据-取费表'!B31</f>
        <v>200</v>
      </c>
      <c r="F19" s="231"/>
      <c r="G19" s="1856"/>
    </row>
    <row r="20" spans="1:7" s="214" customFormat="1" ht="13.5" customHeight="1">
      <c r="A20" s="255" t="s">
        <v>1574</v>
      </c>
      <c r="B20" s="210" t="s">
        <v>1575</v>
      </c>
      <c r="C20" s="232">
        <f ca="1">ROUND((C5+C19)*F20,0)</f>
        <v>54589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114405</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55184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58088</v>
      </c>
      <c r="D24" s="238"/>
      <c r="E24" s="238"/>
      <c r="F24" s="239"/>
      <c r="G24" s="240" t="s">
        <v>1586</v>
      </c>
    </row>
    <row r="25" spans="1:7" s="214" customFormat="1" ht="24">
      <c r="A25" s="780" t="s">
        <v>1476</v>
      </c>
      <c r="B25" s="215" t="s">
        <v>1587</v>
      </c>
      <c r="C25" s="1128">
        <f ca="1">ROUND(IF('数据-取费表'!B22&lt;=1,C20*F22*'数据-取费表'!B22/2,C20*(POWER((1+F22),'数据-取费表'!B22/2)-1)),0)</f>
        <v>1133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278404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278404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3433692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19683563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17496500</v>
      </c>
      <c r="D34" s="217"/>
      <c r="E34" s="220"/>
      <c r="F34" s="257"/>
      <c r="G34" s="219"/>
    </row>
    <row r="35" spans="1:7" ht="13.5" customHeight="1">
      <c r="A35" s="780" t="s">
        <v>351</v>
      </c>
      <c r="B35" s="215" t="s">
        <v>1527</v>
      </c>
      <c r="C35" s="220">
        <f ca="1">ROUND(C34*F35,0)</f>
        <v>524895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1399720</v>
      </c>
      <c r="D37" s="217">
        <f ca="1">D19</f>
        <v>6998.6</v>
      </c>
      <c r="E37" s="249">
        <f>'数据-取费表'!B35</f>
        <v>200</v>
      </c>
      <c r="F37" s="259"/>
      <c r="G37" s="261"/>
    </row>
    <row r="38" spans="1:7" ht="13.5" customHeight="1">
      <c r="A38" s="780" t="s">
        <v>354</v>
      </c>
      <c r="B38" s="215" t="s">
        <v>1533</v>
      </c>
      <c r="C38" s="220">
        <f ca="1">ROUND(C34*F38,0)</f>
        <v>262448</v>
      </c>
      <c r="D38" s="220"/>
      <c r="E38" s="220"/>
      <c r="F38" s="259">
        <f>'数据-取费表'!B36</f>
        <v>1.4999999999999999E-2</v>
      </c>
      <c r="G38" s="219" t="s">
        <v>1528</v>
      </c>
    </row>
    <row r="39" spans="1:7" s="214" customFormat="1" ht="13.5" customHeight="1">
      <c r="A39" s="255" t="s">
        <v>1534</v>
      </c>
      <c r="B39" s="210" t="s">
        <v>1535</v>
      </c>
      <c r="C39" s="232">
        <f ca="1">ROUND(C33*F20,0)</f>
        <v>393671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416603</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408434</v>
      </c>
      <c r="D42" s="238"/>
      <c r="E42" s="238"/>
      <c r="F42" s="239"/>
      <c r="G42" s="3633" t="s">
        <v>1591</v>
      </c>
    </row>
    <row r="43" spans="1:7" ht="13.5" customHeight="1">
      <c r="A43" s="780" t="s">
        <v>347</v>
      </c>
      <c r="B43" s="215" t="s">
        <v>1545</v>
      </c>
      <c r="C43" s="238">
        <f ca="1">ROUND(IF('数据-取费表'!B22&lt;=1,C39*F22*'数据-取费表'!B20/2,C39*(POWER((1+F22),'数据-取费表'!B20/2)-1)),0)</f>
        <v>8169</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2007723</v>
      </c>
      <c r="D45" s="235">
        <f ca="1">C47</f>
        <v>2E-3</v>
      </c>
      <c r="E45" s="236" t="s">
        <v>1539</v>
      </c>
      <c r="F45" s="246">
        <f ca="1">F27</f>
        <v>0.1</v>
      </c>
      <c r="G45" s="247" t="s">
        <v>1548</v>
      </c>
    </row>
    <row r="46" spans="1:7" s="214" customFormat="1" ht="13.5" customHeight="1">
      <c r="A46" s="780" t="s">
        <v>346</v>
      </c>
      <c r="B46" s="248" t="s">
        <v>1549</v>
      </c>
      <c r="C46" s="249">
        <f ca="1">ROUND((C33+C39)*F27,0)</f>
        <v>2007723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24320752</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21159054</v>
      </c>
      <c r="D51" s="232"/>
      <c r="E51" s="232"/>
      <c r="F51" s="264"/>
      <c r="G51" s="234" t="s">
        <v>1560</v>
      </c>
    </row>
    <row r="52" spans="1:7" s="208" customFormat="1" ht="16.5" thickBot="1">
      <c r="A52" s="265" t="s">
        <v>1561</v>
      </c>
      <c r="B52" s="266"/>
      <c r="C52" s="267">
        <f ca="1">C31+C51</f>
        <v>24592746</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6998.6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6998.6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133</v>
      </c>
      <c r="D20" s="846">
        <f ca="1">IF(C1="",'数据-汇总表'!E6,IF(INDIRECT("'数据-取费表'!c"&amp;$K$1)="住宅",INDIRECT("'数据-取费表'!s"&amp;$K$1),INDIRECT("'数据-取费表'!k"&amp;$K$1)+INDIRECT("'数据-取费表'!s"&amp;$K$1)))</f>
        <v>6998.6</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37.03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3631</v>
      </c>
      <c r="C2" s="1387" t="s">
        <v>805</v>
      </c>
      <c r="D2" s="1387"/>
      <c r="E2" s="1388"/>
      <c r="F2" s="1389"/>
      <c r="G2" s="2706"/>
      <c r="H2" s="2695"/>
      <c r="I2" s="2695"/>
      <c r="J2" s="2695"/>
      <c r="K2" s="2696"/>
      <c r="L2" s="2695"/>
      <c r="M2" s="2695"/>
    </row>
    <row r="3" spans="1:37" ht="18" customHeight="1" thickBot="1">
      <c r="A3" s="1390" t="s">
        <v>806</v>
      </c>
      <c r="B3" s="1391">
        <f ca="1">IF(ISERROR(B2*10000/F43),0,ROUND(B2*10000/F43,0))</f>
        <v>5188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217</v>
      </c>
      <c r="D6" s="155" t="s">
        <v>2108</v>
      </c>
      <c r="E6" s="302" t="s">
        <v>696</v>
      </c>
      <c r="F6" s="303">
        <f ca="1">INDIRECT("'数据-取费表'!u"&amp;$G$1)</f>
        <v>1</v>
      </c>
      <c r="G6" s="1384"/>
      <c r="H6" s="1069" t="s">
        <v>398</v>
      </c>
      <c r="I6" s="3638" t="s">
        <v>694</v>
      </c>
      <c r="J6" s="301">
        <f ca="1">ROUND(M6*M8*M7*(1-M9)/10000,0)</f>
        <v>0</v>
      </c>
      <c r="K6" s="155"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6998.6</v>
      </c>
      <c r="G7" s="1384"/>
      <c r="H7" s="304"/>
      <c r="I7" s="3639"/>
      <c r="J7" s="306"/>
      <c r="K7" s="307"/>
      <c r="L7" s="302" t="s">
        <v>697</v>
      </c>
      <c r="M7" s="303">
        <f ca="1">F7</f>
        <v>6998.6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3391</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2117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1750</v>
      </c>
      <c r="D14" s="1345" t="s">
        <v>708</v>
      </c>
      <c r="E14" s="1342"/>
      <c r="F14" s="319"/>
      <c r="G14" s="1384"/>
      <c r="H14" s="982" t="s">
        <v>398</v>
      </c>
      <c r="I14" s="302" t="s">
        <v>709</v>
      </c>
      <c r="J14" s="21">
        <f ca="1">C29</f>
        <v>2433</v>
      </c>
      <c r="K14" s="12"/>
      <c r="L14" s="807"/>
      <c r="M14" s="808"/>
    </row>
    <row r="15" spans="1:37" s="1397" customFormat="1" ht="18" customHeight="1" thickBot="1">
      <c r="A15" s="982" t="s">
        <v>399</v>
      </c>
      <c r="B15" s="302" t="s">
        <v>710</v>
      </c>
      <c r="C15" s="21">
        <f ca="1">ROUND(C14*F15,0)</f>
        <v>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14</v>
      </c>
      <c r="K16" s="1087" t="s">
        <v>715</v>
      </c>
      <c r="L16" s="1088"/>
      <c r="M16" s="1072"/>
    </row>
    <row r="17" spans="1:37" s="1397" customFormat="1" ht="18" customHeight="1">
      <c r="A17" s="982" t="s">
        <v>681</v>
      </c>
      <c r="B17" s="302" t="s">
        <v>716</v>
      </c>
      <c r="C17" s="21">
        <f ca="1">ROUND(F17*(F43+INDIRECT("'数据-取费表'!S"&amp;$G$1))/10000,0)</f>
        <v>140</v>
      </c>
      <c r="D17" s="302" t="s">
        <v>717</v>
      </c>
      <c r="E17" s="302" t="s">
        <v>718</v>
      </c>
      <c r="F17" s="23">
        <f>'数据-取费表'!B35</f>
        <v>200</v>
      </c>
      <c r="G17" s="1396"/>
      <c r="H17" s="982" t="s">
        <v>398</v>
      </c>
      <c r="I17" s="302" t="s">
        <v>719</v>
      </c>
      <c r="J17" s="2316">
        <f ca="1">ROUND(IF(AND(项目基本情况!B11="自然人",项目基本情况!B10="北京市"),J6*M17/(1+'数据-取费表'!C42),J18+J19+J20),2)</f>
        <v>2.11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1969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39</v>
      </c>
      <c r="D20" s="323" t="s">
        <v>729</v>
      </c>
      <c r="E20" s="302" t="s">
        <v>712</v>
      </c>
      <c r="F20" s="322">
        <f>'数据-取费表'!B37</f>
        <v>0.02</v>
      </c>
      <c r="G20" s="1396"/>
      <c r="H20" s="982" t="s">
        <v>680</v>
      </c>
      <c r="I20" s="155" t="s">
        <v>730</v>
      </c>
      <c r="J20" s="22">
        <f ca="1">ROUND(M20*M21/10000,2)</f>
        <v>2.11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14034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12.17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-14</v>
      </c>
      <c r="K25" s="1095" t="s">
        <v>753</v>
      </c>
      <c r="L25" s="1096"/>
      <c r="M25" s="1097"/>
    </row>
    <row r="26" spans="1:37">
      <c r="A26" s="982" t="s">
        <v>397</v>
      </c>
      <c r="B26" s="302" t="s">
        <v>754</v>
      </c>
      <c r="C26" s="21">
        <f ca="1">ROUND((C19+C20)*F26,0)</f>
        <v>201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2433</v>
      </c>
      <c r="D29" s="1092"/>
      <c r="E29" s="1090"/>
      <c r="F29" s="1093"/>
      <c r="G29" s="1396"/>
      <c r="H29" s="334" t="s">
        <v>396</v>
      </c>
      <c r="I29" s="335" t="s">
        <v>768</v>
      </c>
      <c r="J29" s="336">
        <f ca="1">ROUND(J26/(1+F40)^F41,0)</f>
        <v>0</v>
      </c>
      <c r="K29" s="337" t="s">
        <v>769</v>
      </c>
      <c r="L29" s="338"/>
      <c r="M29" s="339">
        <f ca="1">INDIRECT("'数据-取费表'!k"&amp;$G$1)</f>
        <v>6998.6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38.28</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11.37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24.8</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2.11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14034</v>
      </c>
      <c r="G35" s="1384"/>
      <c r="H35" s="2697"/>
      <c r="I35" s="1398"/>
      <c r="J35" s="1399"/>
      <c r="K35" s="2701"/>
      <c r="L35" s="2700"/>
      <c r="M35" s="2700"/>
    </row>
    <row r="36" spans="1:18" ht="18" customHeight="1">
      <c r="A36" s="1102" t="s">
        <v>402</v>
      </c>
      <c r="B36" s="302" t="s">
        <v>738</v>
      </c>
      <c r="C36" s="21">
        <f ca="1">ROUND(C29*F36,2)</f>
        <v>12.17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2.12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2.17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3554</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5078</v>
      </c>
      <c r="D43" s="337" t="s">
        <v>777</v>
      </c>
      <c r="E43" s="338" t="s">
        <v>778</v>
      </c>
      <c r="F43" s="339">
        <f ca="1">INDIRECT("'数据-取费表'!k"&amp;$G$1)</f>
        <v>6998.6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-3821</v>
      </c>
      <c r="D46" s="1406" t="str">
        <f>C2</f>
        <v>万元</v>
      </c>
      <c r="E46" s="1400"/>
      <c r="F46" s="1400"/>
      <c r="I46" s="1407" t="s">
        <v>810</v>
      </c>
      <c r="J46" s="1408"/>
      <c r="K46" s="1409"/>
      <c r="L46" s="1410">
        <f ca="1">IF(M47="住宅",0,IF(L48&gt;J51,L60,J60))</f>
        <v>77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3554</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37.03</v>
      </c>
      <c r="O48" s="1418" t="s">
        <v>404</v>
      </c>
      <c r="P48" s="1419" t="s">
        <v>821</v>
      </c>
      <c r="Q48" s="1420">
        <f ca="1">J60</f>
        <v>77</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2433</v>
      </c>
      <c r="R49" s="1420" t="s">
        <v>818</v>
      </c>
    </row>
    <row r="50" spans="1:18" s="1384" customFormat="1" ht="13.5" thickBot="1">
      <c r="A50" s="976"/>
      <c r="B50" s="979"/>
      <c r="C50" s="1118"/>
      <c r="D50" s="953"/>
      <c r="E50" s="1056" t="s">
        <v>697</v>
      </c>
      <c r="F50" s="1057">
        <f ca="1">F7</f>
        <v>6998.6</v>
      </c>
      <c r="H50" s="723"/>
      <c r="I50" s="1421" t="s">
        <v>826</v>
      </c>
      <c r="J50" s="1429">
        <f>SUMPRODUCT((I63:I65=J47)*(J62:L62=J48)*(J63:L65))</f>
        <v>80</v>
      </c>
      <c r="K50" s="1423" t="s">
        <v>827</v>
      </c>
      <c r="L50" s="1427"/>
      <c r="M50" s="1430"/>
      <c r="O50" s="1428" t="s">
        <v>406</v>
      </c>
      <c r="P50" s="1419" t="s">
        <v>828</v>
      </c>
      <c r="Q50" s="1431">
        <f ca="1">J58</f>
        <v>0.54600000000000004</v>
      </c>
      <c r="R50" s="1420"/>
    </row>
    <row r="51" spans="1:18" s="1384" customFormat="1" ht="13.5" thickBot="1">
      <c r="A51" s="977"/>
      <c r="B51" s="979"/>
      <c r="C51" s="980"/>
      <c r="D51" s="953"/>
      <c r="E51" s="981" t="s">
        <v>698</v>
      </c>
      <c r="F51" s="303">
        <f ca="1">F8</f>
        <v>365</v>
      </c>
      <c r="I51" s="1432" t="s">
        <v>829</v>
      </c>
      <c r="J51" s="1433">
        <f>IF(J49="",J50,J49+J50-YEAR('数据-取费表'!B2))</f>
        <v>80</v>
      </c>
      <c r="K51" s="1434" t="s">
        <v>830</v>
      </c>
      <c r="L51" s="1435">
        <f ca="1">ROUND(-PV(INDIRECT("'数据-取费表'!h"&amp;$G$1),J51,(C39-C13*C76),0),0)</f>
        <v>70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37.03</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37.03</v>
      </c>
      <c r="K53" s="3636" t="s">
        <v>837</v>
      </c>
      <c r="L53" s="3637"/>
      <c r="O53" s="1418" t="s">
        <v>409</v>
      </c>
      <c r="P53" s="1419" t="s">
        <v>838</v>
      </c>
      <c r="Q53" s="1420">
        <f ca="1">Q47+Q48</f>
        <v>3631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0.54600000000000004</v>
      </c>
      <c r="K55" s="1445" t="s">
        <v>841</v>
      </c>
      <c r="L55" s="1446"/>
      <c r="O55" s="1411" t="s">
        <v>811</v>
      </c>
      <c r="P55" s="1412" t="s">
        <v>812</v>
      </c>
      <c r="Q55" s="1413" t="s">
        <v>813</v>
      </c>
      <c r="R55" s="1413" t="s">
        <v>814</v>
      </c>
    </row>
    <row r="56" spans="1:18" s="1384" customFormat="1" ht="25.5" thickTop="1" thickBot="1">
      <c r="A56" s="957">
        <v>2</v>
      </c>
      <c r="B56" s="958" t="s">
        <v>704</v>
      </c>
      <c r="C56" s="232">
        <f ca="1">C13</f>
        <v>2117</v>
      </c>
      <c r="D56" s="1447"/>
      <c r="E56" s="1448"/>
      <c r="F56" s="1440"/>
      <c r="I56" s="1449" t="s">
        <v>842</v>
      </c>
      <c r="J56" s="1450" t="s">
        <v>3394</v>
      </c>
      <c r="K56" s="1421" t="s">
        <v>843</v>
      </c>
      <c r="L56" s="1424" t="str">
        <f ca="1">IF(L48&lt;J51,"——",L48-J53)</f>
        <v>——</v>
      </c>
      <c r="O56" s="1418" t="s">
        <v>403</v>
      </c>
      <c r="P56" s="1419" t="s">
        <v>817</v>
      </c>
      <c r="Q56" s="1420">
        <f ca="1">C40+J29</f>
        <v>3554</v>
      </c>
      <c r="R56" s="1420" t="s">
        <v>818</v>
      </c>
    </row>
    <row r="57" spans="1:18" s="1384" customFormat="1" ht="24.75" thickBot="1">
      <c r="A57" s="1451"/>
      <c r="B57" s="950" t="s">
        <v>767</v>
      </c>
      <c r="C57" s="238">
        <f ca="1">C29</f>
        <v>2433</v>
      </c>
      <c r="D57" s="1452"/>
      <c r="E57" s="1453"/>
      <c r="F57" s="1454"/>
      <c r="I57" s="1455" t="s">
        <v>844</v>
      </c>
      <c r="J57" s="1456">
        <f ca="1">IF(OR(M47="住宅",J51&lt;L48,J56="是"),"——",J51-L48)</f>
        <v>42.97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0.54600000000000004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2.11</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3554</v>
      </c>
      <c r="R62" s="1420" t="s">
        <v>410</v>
      </c>
    </row>
    <row r="63" spans="1:18" s="1384" customFormat="1" ht="13.5" thickBot="1">
      <c r="A63" s="326"/>
      <c r="B63" s="956"/>
      <c r="C63" s="26"/>
      <c r="D63" s="966"/>
      <c r="E63" s="950" t="s">
        <v>788</v>
      </c>
      <c r="F63" s="303">
        <f t="shared" ca="1" si="0"/>
        <v>14034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2.12</v>
      </c>
      <c r="D65" s="964" t="s">
        <v>743</v>
      </c>
      <c r="E65" s="950" t="s">
        <v>744</v>
      </c>
      <c r="F65" s="330">
        <f t="shared" ca="1" si="0"/>
        <v>1E-3</v>
      </c>
      <c r="I65" s="1462" t="s">
        <v>867</v>
      </c>
      <c r="J65" s="1463">
        <v>40</v>
      </c>
      <c r="K65" s="1463">
        <v>30</v>
      </c>
      <c r="L65" s="1463">
        <v>50</v>
      </c>
      <c r="M65" s="1465">
        <v>0.02</v>
      </c>
      <c r="O65" s="1418" t="s">
        <v>403</v>
      </c>
      <c r="P65" s="1419" t="s">
        <v>868</v>
      </c>
      <c r="Q65" s="1420">
        <f ca="1">C40+J29</f>
        <v>3554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70</v>
      </c>
      <c r="R67" s="1420" t="s">
        <v>870</v>
      </c>
    </row>
    <row r="68" spans="1:18" s="1384" customFormat="1" ht="16.5" thickBot="1">
      <c r="A68" s="947" t="s">
        <v>395</v>
      </c>
      <c r="B68" s="948" t="s">
        <v>774</v>
      </c>
      <c r="C68" s="301">
        <f ca="1">ROUND(C67*(1-((1+F70)/(1+F68))^F69)/(F68-F70),0)</f>
        <v>-267</v>
      </c>
      <c r="D68" s="965" t="s">
        <v>758</v>
      </c>
      <c r="E68" s="950" t="s">
        <v>759</v>
      </c>
      <c r="F68" s="312">
        <f ca="1">F40</f>
        <v>0.05</v>
      </c>
      <c r="O68" s="1428" t="s">
        <v>406</v>
      </c>
      <c r="P68" s="1467" t="s">
        <v>871</v>
      </c>
      <c r="Q68" s="1420">
        <f ca="1">ROUND(Q69-Q70*Q71,0)</f>
        <v>3</v>
      </c>
      <c r="R68" s="1420" t="s">
        <v>414</v>
      </c>
    </row>
    <row r="69" spans="1:18" s="1384" customFormat="1" ht="13.5" thickBot="1">
      <c r="A69" s="951"/>
      <c r="B69" s="952"/>
      <c r="C69" s="306"/>
      <c r="D69" s="970" t="s">
        <v>762</v>
      </c>
      <c r="E69" s="950" t="s">
        <v>763</v>
      </c>
      <c r="F69" s="333">
        <f ca="1">F41</f>
        <v>37.03</v>
      </c>
      <c r="O69" s="1428" t="s">
        <v>411</v>
      </c>
      <c r="P69" s="1467" t="s">
        <v>872</v>
      </c>
      <c r="Q69" s="1420">
        <f ca="1">C39</f>
        <v>162</v>
      </c>
      <c r="R69" s="1420" t="s">
        <v>818</v>
      </c>
    </row>
    <row r="70" spans="1:18" s="1384" customFormat="1" ht="13.5" thickBot="1">
      <c r="A70" s="954"/>
      <c r="B70" s="955"/>
      <c r="C70" s="310"/>
      <c r="D70" s="966"/>
      <c r="E70" s="950" t="s">
        <v>766</v>
      </c>
      <c r="F70" s="1054"/>
      <c r="O70" s="1428" t="s">
        <v>412</v>
      </c>
      <c r="P70" s="1467" t="s">
        <v>873</v>
      </c>
      <c r="Q70" s="1420">
        <f ca="1">C13</f>
        <v>2117</v>
      </c>
      <c r="R70" s="1420" t="s">
        <v>818</v>
      </c>
    </row>
    <row r="71" spans="1:18" s="1384" customFormat="1" ht="13.5" thickBot="1">
      <c r="A71" s="971" t="s">
        <v>396</v>
      </c>
      <c r="B71" s="972" t="s">
        <v>776</v>
      </c>
      <c r="C71" s="336">
        <f ca="1">ROUND(C68*10000/F71,0)</f>
        <v>-382</v>
      </c>
      <c r="D71" s="973" t="s">
        <v>777</v>
      </c>
      <c r="E71" s="974" t="s">
        <v>778</v>
      </c>
      <c r="F71" s="339">
        <f ca="1">F43</f>
        <v>6998.6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159</v>
      </c>
      <c r="D75" s="1384"/>
      <c r="E75" s="1384"/>
      <c r="F75" s="1384"/>
      <c r="K75" s="1402"/>
      <c r="L75" s="1384"/>
      <c r="O75" s="1418" t="s">
        <v>409</v>
      </c>
      <c r="P75" s="1419" t="s">
        <v>838</v>
      </c>
      <c r="Q75" s="1420">
        <f ca="1">Q65+Q66</f>
        <v>3554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1.9000000000000017E-2</v>
      </c>
    </row>
    <row r="80" spans="1:18">
      <c r="B80" s="340" t="s">
        <v>800</v>
      </c>
      <c r="C80" s="274">
        <f ca="1">ROUND(C75/C39,3)</f>
        <v>0.98099999999999998</v>
      </c>
    </row>
    <row r="81" spans="2:3">
      <c r="B81" s="270" t="s">
        <v>801</v>
      </c>
      <c r="C81" s="238"/>
    </row>
    <row r="82" spans="2:3">
      <c r="B82" s="273" t="s">
        <v>802</v>
      </c>
      <c r="C82" s="275">
        <f ca="1">1-C83</f>
        <v>0.40400000000000003</v>
      </c>
    </row>
    <row r="83" spans="2:3">
      <c r="B83" s="273" t="s">
        <v>803</v>
      </c>
      <c r="C83" s="274">
        <f ca="1">ROUND(C13/C40,3)</f>
        <v>0.59599999999999997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2105</v>
      </c>
      <c r="E6" s="302" t="s">
        <v>696</v>
      </c>
      <c r="F6" s="303">
        <f ca="1">INDIRECT("'数据-取费表'!u"&amp;$G$1)</f>
        <v>0</v>
      </c>
      <c r="G6" s="1384"/>
      <c r="H6" s="1069" t="s">
        <v>398</v>
      </c>
      <c r="I6" s="3638" t="s">
        <v>694</v>
      </c>
      <c r="J6" s="301">
        <f ca="1">ROUND(M6*M8*M7*(1-M9),0)</f>
        <v>0</v>
      </c>
      <c r="K6" s="1376" t="s">
        <v>2106</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3365</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3631</v>
      </c>
      <c r="C2" s="1872" t="s">
        <v>1651</v>
      </c>
      <c r="D2" s="1873" t="s">
        <v>1652</v>
      </c>
      <c r="E2" s="2607">
        <f>SUM(E6:E13)</f>
        <v>6998.6</v>
      </c>
      <c r="F2" s="2707"/>
      <c r="G2" s="1489"/>
      <c r="H2" s="1489"/>
      <c r="I2" s="1489"/>
      <c r="J2" s="1489"/>
      <c r="K2" s="1489"/>
      <c r="L2" s="1489"/>
      <c r="M2" s="1489"/>
      <c r="N2" s="1489"/>
      <c r="O2" s="1489"/>
      <c r="P2" s="1489"/>
      <c r="Q2" s="1489"/>
      <c r="R2" s="1489"/>
      <c r="S2" s="1489"/>
    </row>
    <row r="3" spans="1:22" ht="15.75">
      <c r="A3" s="1870" t="s">
        <v>686</v>
      </c>
      <c r="B3" s="2601">
        <f ca="1">ROUND(B2*10000/E2,0)</f>
        <v>5188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3631</v>
      </c>
      <c r="C6" s="1872" t="s">
        <v>1651</v>
      </c>
      <c r="D6" s="2709"/>
      <c r="E6" s="2606">
        <f>IF(OR(A6=0,F6="否"),0,'数据-取费表'!K6+'数据-取费表'!S6)</f>
        <v>6998.6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6998.6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6998.6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6998.6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6998.6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44993</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估价对象为北京市房地产，为所有。根据《国有土地使用证》[]，估价对象（分摊）出让国有建设用地使用权面积为14034平方米，建筑面积为6998.6平方米。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估价对象为北京市房地产,属开发建设的，该项目尚在开发建设中。根据《国有土地使用证》[]，估价对象（分摊）出让国有建设用地使用权面积为14034平方米，规划建筑面积为6998.6平方米。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7"/>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6998.6</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6998.6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22" zoomScale="80" zoomScaleNormal="60" zoomScaleSheetLayoutView="80" workbookViewId="0">
      <selection activeCell="M28" sqref="M2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664</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949</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44993</v>
      </c>
      <c r="D7" s="365">
        <v>100</v>
      </c>
      <c r="E7" s="366" t="str">
        <f>土地案例!H11</f>
        <v>2022-09-05</v>
      </c>
      <c r="F7" s="367">
        <f>SUMIF(65:65,YEAR(E7)&amp;"-"&amp;INT((MONTH(E7)+2)/3),66:66)</f>
        <v>100</v>
      </c>
      <c r="G7" s="1974" t="str">
        <f>土地案例!H12</f>
        <v>2022-09-05</v>
      </c>
      <c r="H7" s="365">
        <f>SUMIF(65:65,YEAR(G7)&amp;"-"&amp;INT((MONTH(G7)+2)/3),66:66)</f>
        <v>100</v>
      </c>
      <c r="I7" s="1974" t="str">
        <f>土地案例!H19</f>
        <v>2022-05-19</v>
      </c>
      <c r="J7" s="365">
        <f>SUMIF(65:65,YEAR(I7)&amp;"-"&amp;INT((MONTH(I7)+2)/3),66:66)</f>
        <v>100</v>
      </c>
      <c r="K7" s="560"/>
      <c r="L7" s="2717"/>
      <c r="M7" s="2718"/>
      <c r="N7" s="2718"/>
      <c r="O7" s="2718"/>
      <c r="P7" s="3665"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704">
        <f>D7/J7</f>
        <v>1</v>
      </c>
    </row>
    <row r="8" spans="1:29" s="108" customFormat="1" ht="15.75" thickBot="1">
      <c r="A8" s="362" t="s">
        <v>1681</v>
      </c>
      <c r="B8" s="363"/>
      <c r="C8" s="368" t="s">
        <v>1682</v>
      </c>
      <c r="D8" s="365">
        <v>100</v>
      </c>
      <c r="E8" s="368" t="s">
        <v>3601</v>
      </c>
      <c r="F8" s="367">
        <f>SUMIF(68:68,E8,69:69)-SUMIF(68:68,C8,69:69)+100</f>
        <v>100</v>
      </c>
      <c r="G8" s="368" t="s">
        <v>3601</v>
      </c>
      <c r="H8" s="365">
        <f>SUMIF(68:68,G8,69:69)-SUMIF(68:68,C8,69:69)+100</f>
        <v>100</v>
      </c>
      <c r="I8" s="368" t="s">
        <v>3601</v>
      </c>
      <c r="J8" s="365">
        <f>SUMIF(68:68,I8,69:69)-SUMIF(68:68,C8,69:69)+100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1977" t="s">
        <v>3</v>
      </c>
      <c r="D9" s="126">
        <v>100</v>
      </c>
      <c r="E9" s="1977" t="s">
        <v>3</v>
      </c>
      <c r="F9" s="126">
        <f>SUMIF(70:70,E9,71:71)-SUMIF(70:70,C9,71:71)+100</f>
        <v>100</v>
      </c>
      <c r="G9" s="1977" t="s">
        <v>3</v>
      </c>
      <c r="H9" s="126">
        <f>SUMIF(70:70,G9,71:71)-SUMIF(70:70,C9,71:71)+100</f>
        <v>100</v>
      </c>
      <c r="I9" s="1977" t="s">
        <v>3</v>
      </c>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7"/>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1"/>
      <c r="M11" s="2716"/>
      <c r="N11" s="2716"/>
      <c r="O11" s="2774"/>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102</v>
      </c>
      <c r="K15" s="621">
        <v>2</v>
      </c>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102</v>
      </c>
      <c r="X15" s="1355"/>
      <c r="Y15" s="3699" t="s">
        <v>1691</v>
      </c>
      <c r="Z15" s="1356" t="str">
        <f t="shared" si="7"/>
        <v>产业集聚程度</v>
      </c>
      <c r="AA15" s="1353">
        <f t="shared" si="3"/>
        <v>1</v>
      </c>
      <c r="AB15" s="1353">
        <f t="shared" si="4"/>
        <v>1</v>
      </c>
      <c r="AC15" s="1353">
        <f t="shared" si="5"/>
        <v>0.98039215686274506</v>
      </c>
    </row>
    <row r="16" spans="1:29" ht="15">
      <c r="A16" s="379"/>
      <c r="B16" s="578"/>
      <c r="C16" s="398" t="s">
        <v>3409</v>
      </c>
      <c r="D16" s="399"/>
      <c r="E16" s="398" t="s">
        <v>3409</v>
      </c>
      <c r="F16" s="399"/>
      <c r="G16" s="398" t="s">
        <v>3409</v>
      </c>
      <c r="H16" s="401"/>
      <c r="I16" s="1904" t="s">
        <v>3405</v>
      </c>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t="s">
        <v>3405</v>
      </c>
      <c r="D18" s="399"/>
      <c r="E18" s="398" t="s">
        <v>3405</v>
      </c>
      <c r="F18" s="399"/>
      <c r="G18" s="398" t="s">
        <v>3405</v>
      </c>
      <c r="H18" s="399"/>
      <c r="I18" s="398" t="s">
        <v>3405</v>
      </c>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f>'数据-基础表'!A3</f>
        <v>14034</v>
      </c>
      <c r="D34" s="418">
        <v>100</v>
      </c>
      <c r="E34" s="627">
        <f>土地案例!D11</f>
        <v>26316.6</v>
      </c>
      <c r="F34" s="418">
        <f>LOOKUP(E34,108:108,109:109)-LOOKUP(C34,108:108,109:109)+100</f>
        <v>100</v>
      </c>
      <c r="G34" s="627">
        <f>土地案例!D12</f>
        <v>10526.1</v>
      </c>
      <c r="H34" s="418">
        <f>LOOKUP(G34,108:108,109:109)-LOOKUP(C34,108:108,109:109)+100</f>
        <v>100</v>
      </c>
      <c r="I34" s="479">
        <f>土地案例!D19</f>
        <v>103092.9</v>
      </c>
      <c r="J34" s="418">
        <f>LOOKUP(I34,108:108,109:109)-LOOKUP(C34,108:108,109:109)+100</f>
        <v>102</v>
      </c>
      <c r="K34" s="562"/>
      <c r="L34" s="2722"/>
      <c r="M34" s="2716"/>
      <c r="N34" s="2716"/>
      <c r="O34" s="2774"/>
      <c r="P34" s="3704"/>
      <c r="Q34" s="1352" t="str">
        <f>B34</f>
        <v>宗地面积</v>
      </c>
      <c r="R34" s="705" t="s">
        <v>14</v>
      </c>
      <c r="S34" s="706">
        <f t="shared" si="10"/>
        <v>100</v>
      </c>
      <c r="T34" s="705" t="s">
        <v>14</v>
      </c>
      <c r="U34" s="706">
        <f t="shared" si="11"/>
        <v>100</v>
      </c>
      <c r="V34" s="705" t="s">
        <v>14</v>
      </c>
      <c r="W34" s="706">
        <f t="shared" si="12"/>
        <v>102</v>
      </c>
      <c r="X34" s="1355"/>
      <c r="Y34" s="3704"/>
      <c r="Z34" s="1356" t="str">
        <f t="shared" si="13"/>
        <v>宗地面积</v>
      </c>
      <c r="AA34" s="1353">
        <f t="shared" si="3"/>
        <v>1</v>
      </c>
      <c r="AB34" s="1353">
        <f t="shared" si="4"/>
        <v>1</v>
      </c>
      <c r="AC34" s="1353">
        <f t="shared" si="5"/>
        <v>0.98039215686274506</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v>2</v>
      </c>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t="s">
        <v>3606</v>
      </c>
      <c r="D36" s="127">
        <v>100</v>
      </c>
      <c r="E36" s="1980" t="s">
        <v>3608</v>
      </c>
      <c r="F36" s="386">
        <f>SUMIF(112:112,E36,113:113)-SUMIF(112:112,C36,113:113)+100</f>
        <v>99</v>
      </c>
      <c r="G36" s="1980" t="s">
        <v>3608</v>
      </c>
      <c r="H36" s="386">
        <f>SUMIF(112:112,G36,113:113)-SUMIF(112:112,C36,113:113)+100</f>
        <v>99</v>
      </c>
      <c r="I36" s="1980" t="s">
        <v>3604</v>
      </c>
      <c r="J36" s="386">
        <f>SUMIF(112:112,I36,113:113)-SUMIF(112:112,C36,113:113)+100</f>
        <v>101</v>
      </c>
      <c r="K36" s="561">
        <v>1</v>
      </c>
      <c r="L36" s="2717"/>
      <c r="M36" s="2718"/>
      <c r="N36" s="2718"/>
      <c r="O36" s="2772"/>
      <c r="P36" s="3704"/>
      <c r="Q36" s="1352" t="str">
        <f t="shared" si="14"/>
        <v>宗地开发程度</v>
      </c>
      <c r="R36" s="701" t="s">
        <v>14</v>
      </c>
      <c r="S36" s="702">
        <f t="shared" si="10"/>
        <v>99</v>
      </c>
      <c r="T36" s="701" t="s">
        <v>14</v>
      </c>
      <c r="U36" s="702">
        <f t="shared" si="11"/>
        <v>99</v>
      </c>
      <c r="V36" s="701" t="s">
        <v>14</v>
      </c>
      <c r="W36" s="702">
        <f t="shared" si="12"/>
        <v>101</v>
      </c>
      <c r="X36" s="703"/>
      <c r="Y36" s="3704"/>
      <c r="Z36" s="52" t="str">
        <f t="shared" si="13"/>
        <v>宗地开发程度</v>
      </c>
      <c r="AA36" s="704">
        <f t="shared" si="3"/>
        <v>1.0101010101010102</v>
      </c>
      <c r="AB36" s="704">
        <f t="shared" si="4"/>
        <v>1.0101010101010102</v>
      </c>
      <c r="AC36" s="704">
        <f t="shared" si="5"/>
        <v>0.99009900990099009</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3602</v>
      </c>
      <c r="C41" s="630" t="s">
        <v>0</v>
      </c>
      <c r="D41" s="432"/>
      <c r="E41" s="433">
        <f>土地案例!Q11</f>
        <v>1038.5374855824682</v>
      </c>
      <c r="F41" s="434"/>
      <c r="G41" s="435">
        <f>土地案例!Q12</f>
        <v>1055.0204516403919</v>
      </c>
      <c r="H41" s="436"/>
      <c r="I41" s="433">
        <f>土地案例!Q19</f>
        <v>1097.2212378491447</v>
      </c>
      <c r="J41" s="436"/>
      <c r="K41" s="714"/>
      <c r="L41" s="2724"/>
      <c r="M41" s="2716"/>
      <c r="N41" s="2716"/>
      <c r="O41" s="2725"/>
      <c r="P41" s="3697" t="str">
        <f>A41</f>
        <v>成交单价</v>
      </c>
      <c r="Q41" s="3697"/>
      <c r="R41" s="3692">
        <f>E41</f>
        <v>1038.5374855824682</v>
      </c>
      <c r="S41" s="3692"/>
      <c r="T41" s="3692">
        <f>G41</f>
        <v>1055.0204516403919</v>
      </c>
      <c r="U41" s="3692"/>
      <c r="V41" s="3692">
        <f>I41</f>
        <v>1097.2212378491447</v>
      </c>
      <c r="W41" s="3692"/>
      <c r="X41" s="690"/>
      <c r="Y41" s="712"/>
      <c r="Z41" s="690"/>
      <c r="AA41" s="690"/>
      <c r="AB41" s="690"/>
      <c r="AC41" s="690"/>
    </row>
    <row r="42" spans="1:31" ht="15.75" thickBot="1">
      <c r="A42" s="437" t="s">
        <v>1793</v>
      </c>
      <c r="B42" s="631"/>
      <c r="C42" s="440">
        <f>R43</f>
        <v>949</v>
      </c>
      <c r="D42" s="2317" t="s">
        <v>2137</v>
      </c>
      <c r="E42" s="440">
        <f>R42</f>
        <v>945</v>
      </c>
      <c r="F42" s="2318"/>
      <c r="G42" s="439">
        <f>T42</f>
        <v>960</v>
      </c>
      <c r="H42" s="2318"/>
      <c r="I42" s="440">
        <f>V42</f>
        <v>941</v>
      </c>
      <c r="J42" s="2318"/>
      <c r="K42" s="2320">
        <f>F42+H42+J42</f>
        <v>0</v>
      </c>
      <c r="L42" s="2724"/>
      <c r="M42" s="2716"/>
      <c r="N42" s="2716"/>
      <c r="O42" s="2725"/>
      <c r="P42" s="3697" t="str">
        <f>A42</f>
        <v>比较价值（元/平方米）</v>
      </c>
      <c r="Q42" s="3697"/>
      <c r="R42" s="3725">
        <f>ROUND(PRODUCT(R41,AA7:AA40),0)</f>
        <v>945</v>
      </c>
      <c r="S42" s="3725"/>
      <c r="T42" s="3725">
        <f>ROUND(PRODUCT(T41,AB7:AB40),0)</f>
        <v>960</v>
      </c>
      <c r="U42" s="3725"/>
      <c r="V42" s="3725">
        <f>ROUND(PRODUCT(V41,AC7:AC40),0)</f>
        <v>941</v>
      </c>
      <c r="W42" s="3725"/>
      <c r="X42" s="690"/>
      <c r="Y42" s="690"/>
      <c r="Z42" s="690"/>
      <c r="AA42" s="690"/>
      <c r="AB42" s="690"/>
      <c r="AC42" s="690"/>
    </row>
    <row r="43" spans="1:31" ht="15.75" thickBot="1">
      <c r="A43" s="441" t="s">
        <v>1794</v>
      </c>
      <c r="B43" s="442"/>
      <c r="C43" s="443">
        <f>R43</f>
        <v>949</v>
      </c>
      <c r="D43" s="443"/>
      <c r="E43" s="443"/>
      <c r="F43" s="443"/>
      <c r="G43" s="443"/>
      <c r="H43" s="443"/>
      <c r="I43" s="443"/>
      <c r="J43" s="443"/>
      <c r="K43" s="715"/>
      <c r="L43" s="2724"/>
      <c r="M43" s="2716"/>
      <c r="N43" s="2716"/>
      <c r="O43" s="2725"/>
      <c r="P43" s="3694" t="str">
        <f>A43</f>
        <v>估价对象XX用房的比较价值（楼面单价，元/平方米）</v>
      </c>
      <c r="Q43" s="3695"/>
      <c r="R43" s="3726">
        <f>ROUND(IF(D42="简单平均",AVERAGE(R42:W42),R42*F42+T42*H42+V42*J42),0)</f>
        <v>949</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f>IF(E41&lt;E42,E42/E41-1,E41/E42-1)</f>
        <v>9.8981466224834058E-2</v>
      </c>
      <c r="F46" s="449" t="str">
        <f>IF(OR(E46&gt;=0.3,E46&lt;=-0.3),"超过30%","")</f>
        <v/>
      </c>
      <c r="G46" s="448">
        <f>IF(G41&lt;G42,G42/G41-1,G41/G42-1)</f>
        <v>9.8979637125408138E-2</v>
      </c>
      <c r="H46" s="449" t="str">
        <f>IF(OR(G46&gt;=0.3,G46&lt;=-0.3),"超过30%","")</f>
        <v/>
      </c>
      <c r="I46" s="448">
        <f>IF(I41&lt;I42,I42/I41-1,I41/I42-1)</f>
        <v>0.16601619325095074</v>
      </c>
      <c r="J46" s="449" t="str">
        <f>IF(OR(I46&gt;=0.3,I46&lt;=-0.3),"超过30%","")</f>
        <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f>IF(E42&lt;G42,G42/E42-1,E42/G42-1)</f>
        <v>1.5873015873015817E-2</v>
      </c>
      <c r="F47" s="449" t="str">
        <f>IF(OR(E47&gt;=0.2,E47&lt;=-0.2),"超过20%","")</f>
        <v/>
      </c>
      <c r="G47" s="448">
        <f>IF(G42&lt;I42,I42/G42-1,G42/I42-1)</f>
        <v>2.0191285866099973E-2</v>
      </c>
      <c r="H47" s="449" t="str">
        <f>IF(OR(G47&gt;=0.2,G47&lt;=-0.2),"超过20%","")</f>
        <v/>
      </c>
      <c r="I47" s="448">
        <f>IF(I42&lt;E42,E42/I42-1,I42/E42-1)</f>
        <v>4.2507970244420878E-3</v>
      </c>
      <c r="J47" s="449" t="str">
        <f>IF(OR(I47&gt;=0.2,I47&lt;=-0.2),"超过20%","")</f>
        <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f>IF(E41&lt;G41,G41/E41-1,E41/G41-1)</f>
        <v>1.5871325095867084E-2</v>
      </c>
      <c r="F48" s="449" t="str">
        <f>IF(OR(E48&gt;=0.3,E48&lt;=-0.3),"超过30%","")</f>
        <v/>
      </c>
      <c r="G48" s="448">
        <f>IF(G41&lt;I41,I41/G41-1,G41/I41-1)</f>
        <v>3.9999969804506819E-2</v>
      </c>
      <c r="H48" s="449" t="str">
        <f>IF(OR(G48&gt;=0.3,G48&lt;=-0.3),"超过30%","")</f>
        <v/>
      </c>
      <c r="I48" s="448">
        <f>IF(I41&lt;E41,E41/I41-1,I41/E41-1)</f>
        <v>5.6506147424965958E-2</v>
      </c>
      <c r="J48" s="449" t="str">
        <f>IF(OR(I48&gt;=0.3,I48&lt;=-0.3),"超过30%","")</f>
        <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f>C43</f>
        <v>949</v>
      </c>
      <c r="C51" s="638">
        <v>1</v>
      </c>
      <c r="D51" s="944">
        <v>1</v>
      </c>
      <c r="E51" s="638">
        <f>'数据-汇总表'!E8+'数据-汇总表'!E9</f>
        <v>6998.6</v>
      </c>
      <c r="F51" s="639">
        <f t="shared" ref="F51:F60" si="15">ROUND(B51*E51/10000,0)</f>
        <v>664</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f>ROUND($C$43*C52*D52,0)</f>
        <v>0</v>
      </c>
      <c r="C52" s="171">
        <f t="shared" ref="C52:C60" si="16">IF($C$50="北京市系数",I52,J52)</f>
        <v>0</v>
      </c>
      <c r="D52" s="945">
        <v>0.25</v>
      </c>
      <c r="E52" s="642"/>
      <c r="F52" s="639">
        <f t="shared" si="15"/>
        <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f t="shared" ref="B53:B60" si="17">ROUND($C$43*C53*D53,0)</f>
        <v>0</v>
      </c>
      <c r="C53" s="171">
        <f t="shared" si="16"/>
        <v>0</v>
      </c>
      <c r="D53" s="945">
        <v>0.25</v>
      </c>
      <c r="E53" s="642"/>
      <c r="F53" s="639">
        <f t="shared" si="15"/>
        <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f t="shared" si="17"/>
        <v>0</v>
      </c>
      <c r="C54" s="171">
        <f t="shared" si="16"/>
        <v>0</v>
      </c>
      <c r="D54" s="945">
        <v>0.25</v>
      </c>
      <c r="E54" s="642"/>
      <c r="F54" s="639">
        <f t="shared" si="15"/>
        <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6998.6</v>
      </c>
      <c r="F61" s="645">
        <f>IF(B41="楼面地价",SUM(F51:F60),ROUND(C43*E61/10000,0))</f>
        <v>664</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f>C66-$C$67</f>
        <v>100</v>
      </c>
      <c r="E66" s="544">
        <f t="shared" ref="E66:J66" si="20">D66-$C$67</f>
        <v>100</v>
      </c>
      <c r="F66" s="544">
        <f t="shared" si="20"/>
        <v>100</v>
      </c>
      <c r="G66" s="544">
        <f t="shared" si="20"/>
        <v>100</v>
      </c>
      <c r="H66" s="544">
        <f t="shared" si="20"/>
        <v>100</v>
      </c>
      <c r="I66" s="544">
        <f t="shared" si="20"/>
        <v>100</v>
      </c>
      <c r="J66" s="544">
        <f t="shared" si="20"/>
        <v>100</v>
      </c>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v>0</v>
      </c>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3795" t="s">
        <v>3603</v>
      </c>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v>
      </c>
      <c r="D74" s="496" t="str">
        <f t="shared" ref="D74:L74" si="21">D75&amp;"（含）"&amp;"-"&amp;E75</f>
        <v>（含）-</v>
      </c>
      <c r="E74" s="496" t="str">
        <f t="shared" si="21"/>
        <v>（含）-</v>
      </c>
      <c r="F74" s="496" t="str">
        <f t="shared" si="21"/>
        <v>（含）-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6">C108&amp;"(含)"&amp;"-"&amp;D108</f>
        <v>0(含)-50000</v>
      </c>
      <c r="D107" s="478" t="str">
        <f t="shared" si="26"/>
        <v>50000(含)-100000</v>
      </c>
      <c r="E107" s="478" t="str">
        <f t="shared" si="26"/>
        <v>100000(含)-150000</v>
      </c>
      <c r="F107" s="478" t="str">
        <f t="shared" si="26"/>
        <v>150000(含)-</v>
      </c>
      <c r="G107" s="478" t="str">
        <f t="shared" si="26"/>
        <v>(含)-</v>
      </c>
      <c r="H107" s="478" t="str">
        <f t="shared" si="26"/>
        <v>(含)-</v>
      </c>
      <c r="I107" s="478" t="str">
        <f t="shared" si="26"/>
        <v>(含)-</v>
      </c>
      <c r="J107" s="478" t="str">
        <f t="shared" si="26"/>
        <v>(含)-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50000</v>
      </c>
      <c r="E108" s="544">
        <v>100000</v>
      </c>
      <c r="F108" s="544">
        <v>150000</v>
      </c>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101</v>
      </c>
      <c r="E109" s="540">
        <v>102</v>
      </c>
      <c r="F109" s="540">
        <v>103</v>
      </c>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98</v>
      </c>
      <c r="E111" s="493">
        <f t="shared" si="27"/>
        <v>96</v>
      </c>
      <c r="F111" s="493">
        <f t="shared" si="27"/>
        <v>94</v>
      </c>
      <c r="G111" s="493">
        <f t="shared" si="27"/>
        <v>92</v>
      </c>
      <c r="H111" s="493">
        <f t="shared" si="27"/>
        <v>90</v>
      </c>
      <c r="I111" s="493">
        <f t="shared" si="27"/>
        <v>88</v>
      </c>
      <c r="J111" s="493">
        <f t="shared" si="27"/>
        <v>86</v>
      </c>
      <c r="K111" s="493">
        <f t="shared" si="27"/>
        <v>84</v>
      </c>
      <c r="L111" s="493">
        <f t="shared" si="27"/>
        <v>82</v>
      </c>
      <c r="M111" s="494">
        <f t="shared" si="27"/>
        <v>80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3796" t="s">
        <v>3605</v>
      </c>
      <c r="D112" s="3796" t="s">
        <v>3607</v>
      </c>
      <c r="E112" s="3796" t="s">
        <v>3609</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5" t="s">
        <v>2083</v>
      </c>
      <c r="D1" s="3736"/>
      <c r="E1" s="3736"/>
      <c r="F1" s="3736"/>
      <c r="G1" s="3736"/>
      <c r="H1" s="3736"/>
      <c r="I1" s="3736"/>
      <c r="J1" s="3736"/>
      <c r="K1" s="3736"/>
      <c r="L1" s="3736"/>
      <c r="M1" s="3736"/>
      <c r="N1" s="3736"/>
      <c r="O1" s="3736"/>
      <c r="P1" s="3736"/>
      <c r="Q1" s="3736"/>
      <c r="R1" s="3736"/>
      <c r="S1" s="37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1603</v>
      </c>
      <c r="C2" s="2145" t="s">
        <v>2073</v>
      </c>
      <c r="D2" s="2145" t="s">
        <v>2074</v>
      </c>
      <c r="E2" s="2612">
        <f ca="1">SUMIF(E6:E13,"&lt;&gt;#ref!",E6:E13)</f>
        <v>14034</v>
      </c>
      <c r="F2" s="2793"/>
      <c r="G2" s="2793"/>
      <c r="H2" s="2793"/>
      <c r="I2" s="2793"/>
      <c r="J2" s="2793"/>
      <c r="K2" s="2793"/>
      <c r="L2" s="2793"/>
      <c r="M2" s="2793"/>
      <c r="N2" s="2793"/>
      <c r="O2" s="2793"/>
      <c r="P2" s="2793"/>
    </row>
    <row r="3" spans="1:16" ht="15.75">
      <c r="A3" s="2145" t="s">
        <v>2075</v>
      </c>
      <c r="B3" s="2602">
        <f ca="1">ROUND(B2*10000/E2,0)</f>
        <v>1142</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1603</v>
      </c>
      <c r="C6" s="2145" t="s">
        <v>2073</v>
      </c>
      <c r="D6" s="2793"/>
      <c r="E6" s="2612">
        <f ca="1">SUMIF(INDIRECT("'"&amp;A6&amp;"'"&amp;"!C:C"),"建筑面积",INDIRECT("'"&amp;A6&amp;"'"&amp;"!D:D"))</f>
        <v>14034</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87" sqref="F8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14034</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1603</v>
      </c>
      <c r="C2" s="1999" t="s">
        <v>1934</v>
      </c>
      <c r="D2" s="2000" t="s">
        <v>1935</v>
      </c>
      <c r="E2" s="3422" t="s">
        <v>3</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Ⅷ-兴2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1760</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1142</v>
      </c>
      <c r="C3" s="1999" t="s">
        <v>1940</v>
      </c>
      <c r="D3" s="2000" t="s">
        <v>1941</v>
      </c>
      <c r="E3" s="3420" t="s">
        <v>2481</v>
      </c>
      <c r="F3" s="2004" t="s">
        <v>3396</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1357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1107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1120</v>
      </c>
      <c r="D5" s="1339">
        <f>ROUND(C6*C17+C20,0)</f>
        <v>1120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940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1080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856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八级</v>
      </c>
      <c r="Y7" s="1214" t="s">
        <v>1955</v>
      </c>
      <c r="Z7" s="1215">
        <f>G3</f>
        <v>1</v>
      </c>
      <c r="AA7" s="1216"/>
      <c r="AB7" s="1216"/>
      <c r="AC7" s="1217"/>
      <c r="AD7" s="1218"/>
      <c r="AE7" s="1218"/>
      <c r="AF7" s="1218"/>
      <c r="AG7" s="1218"/>
      <c r="AH7" s="1218"/>
      <c r="AI7" s="1218"/>
      <c r="AJ7" s="1219"/>
    </row>
    <row r="8" spans="1:36" ht="25.5">
      <c r="A8" s="3299"/>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1080</v>
      </c>
      <c r="N8" s="866">
        <f>SUMPRODUCT((因素修正幅度!B234:B276=I2)*(因素修正幅度!C3:G3=E2)*(因素修正幅度!C234:G276))</f>
        <v>0.15</v>
      </c>
      <c r="O8" s="1119"/>
      <c r="P8" s="1119"/>
      <c r="Q8" s="1119"/>
      <c r="R8" s="1212">
        <v>7</v>
      </c>
      <c r="S8" s="1213"/>
      <c r="T8" s="3361">
        <f t="shared" si="0"/>
        <v>0</v>
      </c>
      <c r="U8" s="1213"/>
      <c r="V8" s="3361">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1993</v>
      </c>
      <c r="C20" s="3325">
        <f>ROUND(IF(F21="与级别开发程度一致",0,(G21-E21)/C21),0)</f>
        <v>40</v>
      </c>
      <c r="D20" s="3341" t="s">
        <v>1997</v>
      </c>
      <c r="E20" s="3342"/>
      <c r="F20" s="3755" t="s">
        <v>1994</v>
      </c>
      <c r="G20" s="3756"/>
      <c r="H20" s="3326" t="s">
        <v>3398</v>
      </c>
      <c r="I20" s="3326" t="s">
        <v>3399</v>
      </c>
      <c r="J20" s="3327" t="s">
        <v>3400</v>
      </c>
      <c r="K20" s="2047" t="s">
        <v>3401</v>
      </c>
      <c r="L20" s="2047" t="s">
        <v>3402</v>
      </c>
      <c r="M20" s="2047" t="s">
        <v>3403</v>
      </c>
      <c r="N20" s="2047"/>
      <c r="O20" s="2048" t="s">
        <v>3404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44993</v>
      </c>
      <c r="H23" s="3343" t="s">
        <v>3262</v>
      </c>
      <c r="I23" s="3344" t="str">
        <f>IF(H23="季度增幅（自定义）",SUMIF(N25:N28,E2,O25:O28),"")</f>
        <v/>
      </c>
      <c r="J23" s="3446" t="s">
        <v>3261</v>
      </c>
      <c r="K23" s="1125"/>
      <c r="L23" s="2055" t="s">
        <v>2003</v>
      </c>
      <c r="M23" s="1328">
        <f>ROUND(SUMIF(地价!B2:G2,E2,地价!B16:G16),0)</f>
        <v>318</v>
      </c>
      <c r="N23" s="2056" t="s">
        <v>2004</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0.91569999999999996</v>
      </c>
      <c r="D24" s="2060" t="s">
        <v>2006</v>
      </c>
      <c r="E24" s="1335">
        <f>存贷款利率!E22/100</f>
        <v>4.3499999999999997E-2</v>
      </c>
      <c r="F24" s="2060" t="s">
        <v>1998</v>
      </c>
      <c r="G24" s="768">
        <f>SUMIF(M30:Q30,E2,M33:Q33)</f>
        <v>0.05</v>
      </c>
      <c r="H24" s="2060" t="s">
        <v>2007</v>
      </c>
      <c r="I24" s="769">
        <f>SUMIF('数据-取费表'!C6:C15,E2,'数据-取费表'!F6:F15)/COUNTIF('数据-取费表'!C6:C15,E2)</f>
        <v>37.03</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1.0601</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1603</v>
      </c>
      <c r="D30" s="2083"/>
      <c r="E30" s="2046"/>
      <c r="F30" s="2084"/>
      <c r="G30" s="2046"/>
      <c r="H30" s="2046"/>
      <c r="I30" s="2046"/>
      <c r="J30" s="2085"/>
      <c r="K30" s="1119"/>
      <c r="L30" s="3351" t="s">
        <v>1935</v>
      </c>
      <c r="M30" s="3352" t="s">
        <v>1989</v>
      </c>
      <c r="N30" s="3352" t="s">
        <v>1990</v>
      </c>
      <c r="O30" s="3352" t="s">
        <v>1991</v>
      </c>
      <c r="P30" s="3352" t="s">
        <v>1992</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1142</v>
      </c>
      <c r="D33" s="2098">
        <f>'数据-基础表'!A3</f>
        <v>14034</v>
      </c>
      <c r="E33" s="773">
        <f>ROUND(C33*D33/10000,0)</f>
        <v>1603</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171</v>
      </c>
      <c r="D34" s="2103"/>
      <c r="E34" s="773">
        <f>ROUND(IF(B25="楼层修正",SUM(V2:V16)*M40,C34*D34/10000),0)</f>
        <v>0</v>
      </c>
      <c r="F34" s="2104" t="s">
        <v>2031</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2035</v>
      </c>
      <c r="C37" s="175">
        <f>ROUND(D5*C22*C23*C24*C28*F37,0)</f>
        <v>571</v>
      </c>
      <c r="D37" s="2098"/>
      <c r="E37" s="171">
        <f>ROUND(C37*D37/10000,0)</f>
        <v>0</v>
      </c>
      <c r="F37" s="171">
        <f>SUMIF(修正!A57:A68,G2,修正!B57:B68)</f>
        <v>0.5</v>
      </c>
      <c r="G37" s="171">
        <f>ROUND(IF(E2="工业",C37*$M$42,C37*$M$41),0)</f>
        <v>86</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2036</v>
      </c>
      <c r="C38" s="175">
        <f>ROUND(D5*C22*C23*C24*C28*F38,0)</f>
        <v>228</v>
      </c>
      <c r="D38" s="2098"/>
      <c r="E38" s="171">
        <f t="shared" ref="E38:E42" si="4">ROUND(C38*D38/10000,0)</f>
        <v>0</v>
      </c>
      <c r="F38" s="171">
        <f>SUMIF(修正!A57:A68,G2,修正!C57:C68)</f>
        <v>0.2</v>
      </c>
      <c r="G38" s="171">
        <f>ROUND(IF(E2="工业",C38*$M$42,C38*$M$41),0)</f>
        <v>34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228</v>
      </c>
      <c r="D39" s="2098"/>
      <c r="E39" s="171">
        <f t="shared" si="4"/>
        <v>0</v>
      </c>
      <c r="F39" s="171">
        <f>SUMIF(修正!A57:A68,G2,修正!D57:D68)</f>
        <v>0.2</v>
      </c>
      <c r="G39" s="171">
        <f>ROUND(IF(E2="工业",C39*$M$42,C39*$M$41),0)</f>
        <v>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228</v>
      </c>
      <c r="D40" s="2098"/>
      <c r="E40" s="171">
        <f t="shared" si="4"/>
        <v>0</v>
      </c>
      <c r="F40" s="175">
        <f>SUMIF(修正!A57:A68,G2,修正!E57:E68)</f>
        <v>0.2</v>
      </c>
      <c r="G40" s="171">
        <f>ROUND(IF(E2="工业",C40*$M$42,C40*$M$41),0)</f>
        <v>34</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1.0601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t="s">
        <v>3405</v>
      </c>
      <c r="D83" s="1065">
        <f t="shared" ref="D83:D90" si="22">SUMIF($J$82:$N$82,C83,J83:N83)</f>
        <v>1.95E-2</v>
      </c>
      <c r="E83" s="744">
        <f>ROUND(SUM(D83:D90),4)</f>
        <v>6.0100000000000001E-2</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3405</v>
      </c>
      <c r="D84" s="1065">
        <f t="shared" si="22"/>
        <v>2.2499999999999999E-2</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3276</v>
      </c>
      <c r="B85" s="2134">
        <f>估价对象房地状况!G17</f>
        <v>0</v>
      </c>
      <c r="C85" s="2044" t="s">
        <v>3405</v>
      </c>
      <c r="D85" s="1065">
        <f t="shared" si="22"/>
        <v>7.4999999999999997E-3</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2066</v>
      </c>
      <c r="B86" s="2134">
        <f>估价对象房地状况!G22</f>
        <v>0</v>
      </c>
      <c r="C86" s="2044" t="s">
        <v>3407</v>
      </c>
      <c r="D86" s="1065">
        <f t="shared" si="22"/>
        <v>-7.4000000000000003E-3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2058</v>
      </c>
      <c r="B87" s="1326" t="str">
        <f>估价对象房地状况!G19</f>
        <v>估价对象所在区域公共配套设施齐备情况</v>
      </c>
      <c r="C87" s="2044" t="s">
        <v>3406</v>
      </c>
      <c r="D87" s="1065">
        <f t="shared" si="22"/>
        <v>-4.4999999999999997E-3</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2059</v>
      </c>
      <c r="B88" s="1326" t="str">
        <f>估价对象房地状况!G20</f>
        <v>估价对象所在区域基础设施水平</v>
      </c>
      <c r="C88" s="2044" t="s">
        <v>3408</v>
      </c>
      <c r="D88" s="1065">
        <f t="shared" si="22"/>
        <v>1.7999999999999999E-2</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2056</v>
      </c>
      <c r="B89" s="2136" t="s">
        <v>2070</v>
      </c>
      <c r="C89" s="2044" t="s">
        <v>3405</v>
      </c>
      <c r="D89" s="1065">
        <f t="shared" si="22"/>
        <v>4.4999999999999997E-3</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2071</v>
      </c>
      <c r="B90" s="2143" t="str">
        <f>估价对象房地状况!G18</f>
        <v>该园区内是否有污染型企业，绿化情况，卫生条件，整体环境状况判断</v>
      </c>
      <c r="C90" s="2044" t="s">
        <v>3409</v>
      </c>
      <c r="D90" s="1065">
        <f t="shared" si="22"/>
        <v>0</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0.57150000000000001</v>
      </c>
      <c r="E116" s="2000" t="s">
        <v>3320</v>
      </c>
      <c r="F116" s="3402" t="str">
        <f>E2</f>
        <v>工业</v>
      </c>
      <c r="G116" s="2000" t="s">
        <v>3321</v>
      </c>
      <c r="H116" s="3402" t="str">
        <f>G2</f>
        <v>八级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3335</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3336</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28221</v>
      </c>
      <c r="C2" s="2" t="s">
        <v>106</v>
      </c>
      <c r="D2" s="199"/>
      <c r="E2" s="199"/>
      <c r="F2" s="199"/>
      <c r="G2" s="199"/>
    </row>
    <row r="3" spans="1:7" s="200" customFormat="1" ht="18" customHeight="1" thickBot="1">
      <c r="A3" s="203" t="s">
        <v>58</v>
      </c>
      <c r="B3" s="204">
        <f ca="1">ROUND(B2*10000/'数据-汇总表'!E3,0)</f>
        <v>40324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133</v>
      </c>
      <c r="D10" s="845">
        <f>'数据-汇总表'!E6</f>
        <v>6998.6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140</v>
      </c>
      <c r="D19" s="849">
        <f>'数据-汇总表'!E3</f>
        <v>6998.6</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870</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2117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26104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1750</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140</v>
      </c>
      <c r="D37" s="217">
        <f>'数据-汇总表'!E3</f>
        <v>6998.6</v>
      </c>
      <c r="E37" s="249">
        <f>'数据-取费表'!B35</f>
        <v>200</v>
      </c>
      <c r="F37" s="259"/>
      <c r="G37" s="261" t="s">
        <v>92</v>
      </c>
    </row>
    <row r="38" spans="1:7" ht="13.5" customHeight="1">
      <c r="A38" s="780" t="s">
        <v>354</v>
      </c>
      <c r="B38" s="215" t="s">
        <v>36</v>
      </c>
      <c r="C38" s="220">
        <f>ROUND(C34*F38,0)</f>
        <v>26</v>
      </c>
      <c r="D38" s="220"/>
      <c r="E38" s="220"/>
      <c r="F38" s="259">
        <f>'数据-取费表'!B36</f>
        <v>1.4999999999999999E-2</v>
      </c>
      <c r="G38" s="219" t="s">
        <v>90</v>
      </c>
    </row>
    <row r="39" spans="1:7" s="214" customFormat="1" ht="13.5" customHeight="1">
      <c r="A39" s="777" t="s">
        <v>338</v>
      </c>
      <c r="B39" s="210" t="s">
        <v>77</v>
      </c>
      <c r="C39" s="232">
        <f>ROUND(C33*F20,0)</f>
        <v>39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41</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201</v>
      </c>
      <c r="D45" s="235">
        <f>C47</f>
        <v>2E-3</v>
      </c>
      <c r="E45" s="236" t="s">
        <v>102</v>
      </c>
      <c r="F45" s="246"/>
      <c r="G45" s="247" t="s">
        <v>434</v>
      </c>
    </row>
    <row r="46" spans="1:7" s="214" customFormat="1" ht="13.5" customHeight="1">
      <c r="A46" s="780" t="s">
        <v>349</v>
      </c>
      <c r="B46" s="248" t="s">
        <v>427</v>
      </c>
      <c r="C46" s="249">
        <f>ROUND((C33+C39)*F27,0)</f>
        <v>201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2433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2117</v>
      </c>
      <c r="D51" s="232"/>
      <c r="E51" s="232"/>
      <c r="F51" s="264"/>
      <c r="G51" s="234" t="s">
        <v>37</v>
      </c>
    </row>
    <row r="52" spans="1:7" s="208" customFormat="1" ht="16.5" thickBot="1">
      <c r="A52" s="265" t="s">
        <v>38</v>
      </c>
      <c r="B52" s="266"/>
      <c r="C52" s="267">
        <f ca="1">C31+C51</f>
        <v>28221</v>
      </c>
      <c r="D52" s="266"/>
      <c r="E52" s="266"/>
      <c r="F52" s="266"/>
      <c r="G52" s="268"/>
    </row>
    <row r="55" spans="1:7" ht="15">
      <c r="B55" s="270" t="s">
        <v>39</v>
      </c>
      <c r="C55" s="271"/>
    </row>
    <row r="56" spans="1:7">
      <c r="B56" s="273" t="s">
        <v>40</v>
      </c>
      <c r="C56" s="274">
        <f ca="1">ROUND(C51/C52,3)</f>
        <v>7.4999999999999997E-2</v>
      </c>
    </row>
    <row r="57" spans="1:7">
      <c r="B57" s="273" t="s">
        <v>41</v>
      </c>
      <c r="C57" s="275">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3997</v>
      </c>
      <c r="E5" s="1491"/>
    </row>
    <row r="6" spans="1:5" ht="15.75">
      <c r="A6" s="1491"/>
      <c r="B6" s="3452"/>
      <c r="C6" s="1494" t="s">
        <v>911</v>
      </c>
      <c r="D6" s="850" t="str">
        <f ca="1">NUMBERSTRING(INT(D5*10000),2)&amp;"元整"</f>
        <v>叁仟玖佰玖拾柒万元整</v>
      </c>
      <c r="E6" s="1491"/>
    </row>
    <row r="7" spans="1:5" ht="15.75">
      <c r="A7" s="1491"/>
      <c r="B7" s="3457"/>
      <c r="C7" s="1495" t="s">
        <v>912</v>
      </c>
      <c r="D7" s="851">
        <f ca="1">结果表!H102</f>
        <v>5711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3997</v>
      </c>
      <c r="E13" s="1491"/>
    </row>
    <row r="14" spans="1:5" ht="15.75">
      <c r="A14" s="1491"/>
      <c r="B14" s="3452"/>
      <c r="C14" s="1494" t="s">
        <v>911</v>
      </c>
      <c r="D14" s="850" t="str">
        <f ca="1">NUMBERSTRING(INT(D13*10000),2)&amp;"元整"</f>
        <v>叁仟玖佰玖拾柒万元整</v>
      </c>
      <c r="E14" s="1491"/>
    </row>
    <row r="15" spans="1:5" ht="15">
      <c r="A15" s="1491"/>
      <c r="B15" s="3457"/>
      <c r="C15" s="1495" t="s">
        <v>921</v>
      </c>
      <c r="D15" s="859">
        <f ca="1">结果表!H108</f>
        <v>5711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3238</v>
      </c>
      <c r="B1" s="3774"/>
      <c r="C1" s="3774"/>
      <c r="D1" s="3774"/>
      <c r="E1" s="3774"/>
      <c r="F1" s="3775"/>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44993</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97" sqref="A97"/>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61"/>
  <sheetViews>
    <sheetView topLeftCell="A196" workbookViewId="0">
      <selection activeCell="I185" sqref="I185"/>
    </sheetView>
  </sheetViews>
  <sheetFormatPr defaultRowHeight="12.75"/>
  <cols>
    <col min="1" max="1" width="34.5" style="3790" customWidth="1"/>
    <col min="2" max="2" width="6.25" style="3790" customWidth="1"/>
    <col min="3" max="3" width="7.875" style="3790" customWidth="1"/>
    <col min="4" max="5" width="11.25" style="3790" customWidth="1"/>
    <col min="6" max="6" width="10.875" style="3790" customWidth="1"/>
    <col min="7" max="7" width="7.875" style="3790" customWidth="1"/>
    <col min="8" max="8" width="9" style="3790" customWidth="1"/>
    <col min="9" max="9" width="31" style="3790" customWidth="1"/>
    <col min="10" max="11" width="7.5" style="3790" customWidth="1"/>
    <col min="12" max="13" width="9.625" style="3790" customWidth="1"/>
    <col min="14" max="14" width="6.25" style="3790" customWidth="1"/>
    <col min="15" max="256" width="9" style="3790"/>
    <col min="257" max="257" width="34.5" style="3790" customWidth="1"/>
    <col min="258" max="258" width="6.25" style="3790" customWidth="1"/>
    <col min="259" max="259" width="7.875" style="3790" customWidth="1"/>
    <col min="260" max="261" width="11.25" style="3790" customWidth="1"/>
    <col min="262" max="262" width="10.875" style="3790" customWidth="1"/>
    <col min="263" max="263" width="7.875" style="3790" customWidth="1"/>
    <col min="264" max="264" width="9" style="3790" customWidth="1"/>
    <col min="265" max="265" width="31" style="3790" customWidth="1"/>
    <col min="266" max="267" width="7.5" style="3790" customWidth="1"/>
    <col min="268" max="269" width="9.625" style="3790" customWidth="1"/>
    <col min="270" max="270" width="6.25" style="3790" customWidth="1"/>
    <col min="271" max="512" width="9" style="3790"/>
    <col min="513" max="513" width="34.5" style="3790" customWidth="1"/>
    <col min="514" max="514" width="6.25" style="3790" customWidth="1"/>
    <col min="515" max="515" width="7.875" style="3790" customWidth="1"/>
    <col min="516" max="517" width="11.25" style="3790" customWidth="1"/>
    <col min="518" max="518" width="10.875" style="3790" customWidth="1"/>
    <col min="519" max="519" width="7.875" style="3790" customWidth="1"/>
    <col min="520" max="520" width="9" style="3790" customWidth="1"/>
    <col min="521" max="521" width="31" style="3790" customWidth="1"/>
    <col min="522" max="523" width="7.5" style="3790" customWidth="1"/>
    <col min="524" max="525" width="9.625" style="3790" customWidth="1"/>
    <col min="526" max="526" width="6.25" style="3790" customWidth="1"/>
    <col min="527" max="768" width="9" style="3790"/>
    <col min="769" max="769" width="34.5" style="3790" customWidth="1"/>
    <col min="770" max="770" width="6.25" style="3790" customWidth="1"/>
    <col min="771" max="771" width="7.875" style="3790" customWidth="1"/>
    <col min="772" max="773" width="11.25" style="3790" customWidth="1"/>
    <col min="774" max="774" width="10.875" style="3790" customWidth="1"/>
    <col min="775" max="775" width="7.875" style="3790" customWidth="1"/>
    <col min="776" max="776" width="9" style="3790" customWidth="1"/>
    <col min="777" max="777" width="31" style="3790" customWidth="1"/>
    <col min="778" max="779" width="7.5" style="3790" customWidth="1"/>
    <col min="780" max="781" width="9.625" style="3790" customWidth="1"/>
    <col min="782" max="782" width="6.25" style="3790" customWidth="1"/>
    <col min="783" max="1024" width="9" style="3790"/>
    <col min="1025" max="1025" width="34.5" style="3790" customWidth="1"/>
    <col min="1026" max="1026" width="6.25" style="3790" customWidth="1"/>
    <col min="1027" max="1027" width="7.875" style="3790" customWidth="1"/>
    <col min="1028" max="1029" width="11.25" style="3790" customWidth="1"/>
    <col min="1030" max="1030" width="10.875" style="3790" customWidth="1"/>
    <col min="1031" max="1031" width="7.875" style="3790" customWidth="1"/>
    <col min="1032" max="1032" width="9" style="3790" customWidth="1"/>
    <col min="1033" max="1033" width="31" style="3790" customWidth="1"/>
    <col min="1034" max="1035" width="7.5" style="3790" customWidth="1"/>
    <col min="1036" max="1037" width="9.625" style="3790" customWidth="1"/>
    <col min="1038" max="1038" width="6.25" style="3790" customWidth="1"/>
    <col min="1039" max="1280" width="9" style="3790"/>
    <col min="1281" max="1281" width="34.5" style="3790" customWidth="1"/>
    <col min="1282" max="1282" width="6.25" style="3790" customWidth="1"/>
    <col min="1283" max="1283" width="7.875" style="3790" customWidth="1"/>
    <col min="1284" max="1285" width="11.25" style="3790" customWidth="1"/>
    <col min="1286" max="1286" width="10.875" style="3790" customWidth="1"/>
    <col min="1287" max="1287" width="7.875" style="3790" customWidth="1"/>
    <col min="1288" max="1288" width="9" style="3790" customWidth="1"/>
    <col min="1289" max="1289" width="31" style="3790" customWidth="1"/>
    <col min="1290" max="1291" width="7.5" style="3790" customWidth="1"/>
    <col min="1292" max="1293" width="9.625" style="3790" customWidth="1"/>
    <col min="1294" max="1294" width="6.25" style="3790" customWidth="1"/>
    <col min="1295" max="1536" width="9" style="3790"/>
    <col min="1537" max="1537" width="34.5" style="3790" customWidth="1"/>
    <col min="1538" max="1538" width="6.25" style="3790" customWidth="1"/>
    <col min="1539" max="1539" width="7.875" style="3790" customWidth="1"/>
    <col min="1540" max="1541" width="11.25" style="3790" customWidth="1"/>
    <col min="1542" max="1542" width="10.875" style="3790" customWidth="1"/>
    <col min="1543" max="1543" width="7.875" style="3790" customWidth="1"/>
    <col min="1544" max="1544" width="9" style="3790" customWidth="1"/>
    <col min="1545" max="1545" width="31" style="3790" customWidth="1"/>
    <col min="1546" max="1547" width="7.5" style="3790" customWidth="1"/>
    <col min="1548" max="1549" width="9.625" style="3790" customWidth="1"/>
    <col min="1550" max="1550" width="6.25" style="3790" customWidth="1"/>
    <col min="1551" max="1792" width="9" style="3790"/>
    <col min="1793" max="1793" width="34.5" style="3790" customWidth="1"/>
    <col min="1794" max="1794" width="6.25" style="3790" customWidth="1"/>
    <col min="1795" max="1795" width="7.875" style="3790" customWidth="1"/>
    <col min="1796" max="1797" width="11.25" style="3790" customWidth="1"/>
    <col min="1798" max="1798" width="10.875" style="3790" customWidth="1"/>
    <col min="1799" max="1799" width="7.875" style="3790" customWidth="1"/>
    <col min="1800" max="1800" width="9" style="3790" customWidth="1"/>
    <col min="1801" max="1801" width="31" style="3790" customWidth="1"/>
    <col min="1802" max="1803" width="7.5" style="3790" customWidth="1"/>
    <col min="1804" max="1805" width="9.625" style="3790" customWidth="1"/>
    <col min="1806" max="1806" width="6.25" style="3790" customWidth="1"/>
    <col min="1807" max="2048" width="9" style="3790"/>
    <col min="2049" max="2049" width="34.5" style="3790" customWidth="1"/>
    <col min="2050" max="2050" width="6.25" style="3790" customWidth="1"/>
    <col min="2051" max="2051" width="7.875" style="3790" customWidth="1"/>
    <col min="2052" max="2053" width="11.25" style="3790" customWidth="1"/>
    <col min="2054" max="2054" width="10.875" style="3790" customWidth="1"/>
    <col min="2055" max="2055" width="7.875" style="3790" customWidth="1"/>
    <col min="2056" max="2056" width="9" style="3790" customWidth="1"/>
    <col min="2057" max="2057" width="31" style="3790" customWidth="1"/>
    <col min="2058" max="2059" width="7.5" style="3790" customWidth="1"/>
    <col min="2060" max="2061" width="9.625" style="3790" customWidth="1"/>
    <col min="2062" max="2062" width="6.25" style="3790" customWidth="1"/>
    <col min="2063" max="2304" width="9" style="3790"/>
    <col min="2305" max="2305" width="34.5" style="3790" customWidth="1"/>
    <col min="2306" max="2306" width="6.25" style="3790" customWidth="1"/>
    <col min="2307" max="2307" width="7.875" style="3790" customWidth="1"/>
    <col min="2308" max="2309" width="11.25" style="3790" customWidth="1"/>
    <col min="2310" max="2310" width="10.875" style="3790" customWidth="1"/>
    <col min="2311" max="2311" width="7.875" style="3790" customWidth="1"/>
    <col min="2312" max="2312" width="9" style="3790" customWidth="1"/>
    <col min="2313" max="2313" width="31" style="3790" customWidth="1"/>
    <col min="2314" max="2315" width="7.5" style="3790" customWidth="1"/>
    <col min="2316" max="2317" width="9.625" style="3790" customWidth="1"/>
    <col min="2318" max="2318" width="6.25" style="3790" customWidth="1"/>
    <col min="2319" max="2560" width="9" style="3790"/>
    <col min="2561" max="2561" width="34.5" style="3790" customWidth="1"/>
    <col min="2562" max="2562" width="6.25" style="3790" customWidth="1"/>
    <col min="2563" max="2563" width="7.875" style="3790" customWidth="1"/>
    <col min="2564" max="2565" width="11.25" style="3790" customWidth="1"/>
    <col min="2566" max="2566" width="10.875" style="3790" customWidth="1"/>
    <col min="2567" max="2567" width="7.875" style="3790" customWidth="1"/>
    <col min="2568" max="2568" width="9" style="3790" customWidth="1"/>
    <col min="2569" max="2569" width="31" style="3790" customWidth="1"/>
    <col min="2570" max="2571" width="7.5" style="3790" customWidth="1"/>
    <col min="2572" max="2573" width="9.625" style="3790" customWidth="1"/>
    <col min="2574" max="2574" width="6.25" style="3790" customWidth="1"/>
    <col min="2575" max="2816" width="9" style="3790"/>
    <col min="2817" max="2817" width="34.5" style="3790" customWidth="1"/>
    <col min="2818" max="2818" width="6.25" style="3790" customWidth="1"/>
    <col min="2819" max="2819" width="7.875" style="3790" customWidth="1"/>
    <col min="2820" max="2821" width="11.25" style="3790" customWidth="1"/>
    <col min="2822" max="2822" width="10.875" style="3790" customWidth="1"/>
    <col min="2823" max="2823" width="7.875" style="3790" customWidth="1"/>
    <col min="2824" max="2824" width="9" style="3790" customWidth="1"/>
    <col min="2825" max="2825" width="31" style="3790" customWidth="1"/>
    <col min="2826" max="2827" width="7.5" style="3790" customWidth="1"/>
    <col min="2828" max="2829" width="9.625" style="3790" customWidth="1"/>
    <col min="2830" max="2830" width="6.25" style="3790" customWidth="1"/>
    <col min="2831" max="3072" width="9" style="3790"/>
    <col min="3073" max="3073" width="34.5" style="3790" customWidth="1"/>
    <col min="3074" max="3074" width="6.25" style="3790" customWidth="1"/>
    <col min="3075" max="3075" width="7.875" style="3790" customWidth="1"/>
    <col min="3076" max="3077" width="11.25" style="3790" customWidth="1"/>
    <col min="3078" max="3078" width="10.875" style="3790" customWidth="1"/>
    <col min="3079" max="3079" width="7.875" style="3790" customWidth="1"/>
    <col min="3080" max="3080" width="9" style="3790" customWidth="1"/>
    <col min="3081" max="3081" width="31" style="3790" customWidth="1"/>
    <col min="3082" max="3083" width="7.5" style="3790" customWidth="1"/>
    <col min="3084" max="3085" width="9.625" style="3790" customWidth="1"/>
    <col min="3086" max="3086" width="6.25" style="3790" customWidth="1"/>
    <col min="3087" max="3328" width="9" style="3790"/>
    <col min="3329" max="3329" width="34.5" style="3790" customWidth="1"/>
    <col min="3330" max="3330" width="6.25" style="3790" customWidth="1"/>
    <col min="3331" max="3331" width="7.875" style="3790" customWidth="1"/>
    <col min="3332" max="3333" width="11.25" style="3790" customWidth="1"/>
    <col min="3334" max="3334" width="10.875" style="3790" customWidth="1"/>
    <col min="3335" max="3335" width="7.875" style="3790" customWidth="1"/>
    <col min="3336" max="3336" width="9" style="3790" customWidth="1"/>
    <col min="3337" max="3337" width="31" style="3790" customWidth="1"/>
    <col min="3338" max="3339" width="7.5" style="3790" customWidth="1"/>
    <col min="3340" max="3341" width="9.625" style="3790" customWidth="1"/>
    <col min="3342" max="3342" width="6.25" style="3790" customWidth="1"/>
    <col min="3343" max="3584" width="9" style="3790"/>
    <col min="3585" max="3585" width="34.5" style="3790" customWidth="1"/>
    <col min="3586" max="3586" width="6.25" style="3790" customWidth="1"/>
    <col min="3587" max="3587" width="7.875" style="3790" customWidth="1"/>
    <col min="3588" max="3589" width="11.25" style="3790" customWidth="1"/>
    <col min="3590" max="3590" width="10.875" style="3790" customWidth="1"/>
    <col min="3591" max="3591" width="7.875" style="3790" customWidth="1"/>
    <col min="3592" max="3592" width="9" style="3790" customWidth="1"/>
    <col min="3593" max="3593" width="31" style="3790" customWidth="1"/>
    <col min="3594" max="3595" width="7.5" style="3790" customWidth="1"/>
    <col min="3596" max="3597" width="9.625" style="3790" customWidth="1"/>
    <col min="3598" max="3598" width="6.25" style="3790" customWidth="1"/>
    <col min="3599" max="3840" width="9" style="3790"/>
    <col min="3841" max="3841" width="34.5" style="3790" customWidth="1"/>
    <col min="3842" max="3842" width="6.25" style="3790" customWidth="1"/>
    <col min="3843" max="3843" width="7.875" style="3790" customWidth="1"/>
    <col min="3844" max="3845" width="11.25" style="3790" customWidth="1"/>
    <col min="3846" max="3846" width="10.875" style="3790" customWidth="1"/>
    <col min="3847" max="3847" width="7.875" style="3790" customWidth="1"/>
    <col min="3848" max="3848" width="9" style="3790" customWidth="1"/>
    <col min="3849" max="3849" width="31" style="3790" customWidth="1"/>
    <col min="3850" max="3851" width="7.5" style="3790" customWidth="1"/>
    <col min="3852" max="3853" width="9.625" style="3790" customWidth="1"/>
    <col min="3854" max="3854" width="6.25" style="3790" customWidth="1"/>
    <col min="3855" max="4096" width="9" style="3790"/>
    <col min="4097" max="4097" width="34.5" style="3790" customWidth="1"/>
    <col min="4098" max="4098" width="6.25" style="3790" customWidth="1"/>
    <col min="4099" max="4099" width="7.875" style="3790" customWidth="1"/>
    <col min="4100" max="4101" width="11.25" style="3790" customWidth="1"/>
    <col min="4102" max="4102" width="10.875" style="3790" customWidth="1"/>
    <col min="4103" max="4103" width="7.875" style="3790" customWidth="1"/>
    <col min="4104" max="4104" width="9" style="3790" customWidth="1"/>
    <col min="4105" max="4105" width="31" style="3790" customWidth="1"/>
    <col min="4106" max="4107" width="7.5" style="3790" customWidth="1"/>
    <col min="4108" max="4109" width="9.625" style="3790" customWidth="1"/>
    <col min="4110" max="4110" width="6.25" style="3790" customWidth="1"/>
    <col min="4111" max="4352" width="9" style="3790"/>
    <col min="4353" max="4353" width="34.5" style="3790" customWidth="1"/>
    <col min="4354" max="4354" width="6.25" style="3790" customWidth="1"/>
    <col min="4355" max="4355" width="7.875" style="3790" customWidth="1"/>
    <col min="4356" max="4357" width="11.25" style="3790" customWidth="1"/>
    <col min="4358" max="4358" width="10.875" style="3790" customWidth="1"/>
    <col min="4359" max="4359" width="7.875" style="3790" customWidth="1"/>
    <col min="4360" max="4360" width="9" style="3790" customWidth="1"/>
    <col min="4361" max="4361" width="31" style="3790" customWidth="1"/>
    <col min="4362" max="4363" width="7.5" style="3790" customWidth="1"/>
    <col min="4364" max="4365" width="9.625" style="3790" customWidth="1"/>
    <col min="4366" max="4366" width="6.25" style="3790" customWidth="1"/>
    <col min="4367" max="4608" width="9" style="3790"/>
    <col min="4609" max="4609" width="34.5" style="3790" customWidth="1"/>
    <col min="4610" max="4610" width="6.25" style="3790" customWidth="1"/>
    <col min="4611" max="4611" width="7.875" style="3790" customWidth="1"/>
    <col min="4612" max="4613" width="11.25" style="3790" customWidth="1"/>
    <col min="4614" max="4614" width="10.875" style="3790" customWidth="1"/>
    <col min="4615" max="4615" width="7.875" style="3790" customWidth="1"/>
    <col min="4616" max="4616" width="9" style="3790" customWidth="1"/>
    <col min="4617" max="4617" width="31" style="3790" customWidth="1"/>
    <col min="4618" max="4619" width="7.5" style="3790" customWidth="1"/>
    <col min="4620" max="4621" width="9.625" style="3790" customWidth="1"/>
    <col min="4622" max="4622" width="6.25" style="3790" customWidth="1"/>
    <col min="4623" max="4864" width="9" style="3790"/>
    <col min="4865" max="4865" width="34.5" style="3790" customWidth="1"/>
    <col min="4866" max="4866" width="6.25" style="3790" customWidth="1"/>
    <col min="4867" max="4867" width="7.875" style="3790" customWidth="1"/>
    <col min="4868" max="4869" width="11.25" style="3790" customWidth="1"/>
    <col min="4870" max="4870" width="10.875" style="3790" customWidth="1"/>
    <col min="4871" max="4871" width="7.875" style="3790" customWidth="1"/>
    <col min="4872" max="4872" width="9" style="3790" customWidth="1"/>
    <col min="4873" max="4873" width="31" style="3790" customWidth="1"/>
    <col min="4874" max="4875" width="7.5" style="3790" customWidth="1"/>
    <col min="4876" max="4877" width="9.625" style="3790" customWidth="1"/>
    <col min="4878" max="4878" width="6.25" style="3790" customWidth="1"/>
    <col min="4879" max="5120" width="9" style="3790"/>
    <col min="5121" max="5121" width="34.5" style="3790" customWidth="1"/>
    <col min="5122" max="5122" width="6.25" style="3790" customWidth="1"/>
    <col min="5123" max="5123" width="7.875" style="3790" customWidth="1"/>
    <col min="5124" max="5125" width="11.25" style="3790" customWidth="1"/>
    <col min="5126" max="5126" width="10.875" style="3790" customWidth="1"/>
    <col min="5127" max="5127" width="7.875" style="3790" customWidth="1"/>
    <col min="5128" max="5128" width="9" style="3790" customWidth="1"/>
    <col min="5129" max="5129" width="31" style="3790" customWidth="1"/>
    <col min="5130" max="5131" width="7.5" style="3790" customWidth="1"/>
    <col min="5132" max="5133" width="9.625" style="3790" customWidth="1"/>
    <col min="5134" max="5134" width="6.25" style="3790" customWidth="1"/>
    <col min="5135" max="5376" width="9" style="3790"/>
    <col min="5377" max="5377" width="34.5" style="3790" customWidth="1"/>
    <col min="5378" max="5378" width="6.25" style="3790" customWidth="1"/>
    <col min="5379" max="5379" width="7.875" style="3790" customWidth="1"/>
    <col min="5380" max="5381" width="11.25" style="3790" customWidth="1"/>
    <col min="5382" max="5382" width="10.875" style="3790" customWidth="1"/>
    <col min="5383" max="5383" width="7.875" style="3790" customWidth="1"/>
    <col min="5384" max="5384" width="9" style="3790" customWidth="1"/>
    <col min="5385" max="5385" width="31" style="3790" customWidth="1"/>
    <col min="5386" max="5387" width="7.5" style="3790" customWidth="1"/>
    <col min="5388" max="5389" width="9.625" style="3790" customWidth="1"/>
    <col min="5390" max="5390" width="6.25" style="3790" customWidth="1"/>
    <col min="5391" max="5632" width="9" style="3790"/>
    <col min="5633" max="5633" width="34.5" style="3790" customWidth="1"/>
    <col min="5634" max="5634" width="6.25" style="3790" customWidth="1"/>
    <col min="5635" max="5635" width="7.875" style="3790" customWidth="1"/>
    <col min="5636" max="5637" width="11.25" style="3790" customWidth="1"/>
    <col min="5638" max="5638" width="10.875" style="3790" customWidth="1"/>
    <col min="5639" max="5639" width="7.875" style="3790" customWidth="1"/>
    <col min="5640" max="5640" width="9" style="3790" customWidth="1"/>
    <col min="5641" max="5641" width="31" style="3790" customWidth="1"/>
    <col min="5642" max="5643" width="7.5" style="3790" customWidth="1"/>
    <col min="5644" max="5645" width="9.625" style="3790" customWidth="1"/>
    <col min="5646" max="5646" width="6.25" style="3790" customWidth="1"/>
    <col min="5647" max="5888" width="9" style="3790"/>
    <col min="5889" max="5889" width="34.5" style="3790" customWidth="1"/>
    <col min="5890" max="5890" width="6.25" style="3790" customWidth="1"/>
    <col min="5891" max="5891" width="7.875" style="3790" customWidth="1"/>
    <col min="5892" max="5893" width="11.25" style="3790" customWidth="1"/>
    <col min="5894" max="5894" width="10.875" style="3790" customWidth="1"/>
    <col min="5895" max="5895" width="7.875" style="3790" customWidth="1"/>
    <col min="5896" max="5896" width="9" style="3790" customWidth="1"/>
    <col min="5897" max="5897" width="31" style="3790" customWidth="1"/>
    <col min="5898" max="5899" width="7.5" style="3790" customWidth="1"/>
    <col min="5900" max="5901" width="9.625" style="3790" customWidth="1"/>
    <col min="5902" max="5902" width="6.25" style="3790" customWidth="1"/>
    <col min="5903" max="6144" width="9" style="3790"/>
    <col min="6145" max="6145" width="34.5" style="3790" customWidth="1"/>
    <col min="6146" max="6146" width="6.25" style="3790" customWidth="1"/>
    <col min="6147" max="6147" width="7.875" style="3790" customWidth="1"/>
    <col min="6148" max="6149" width="11.25" style="3790" customWidth="1"/>
    <col min="6150" max="6150" width="10.875" style="3790" customWidth="1"/>
    <col min="6151" max="6151" width="7.875" style="3790" customWidth="1"/>
    <col min="6152" max="6152" width="9" style="3790" customWidth="1"/>
    <col min="6153" max="6153" width="31" style="3790" customWidth="1"/>
    <col min="6154" max="6155" width="7.5" style="3790" customWidth="1"/>
    <col min="6156" max="6157" width="9.625" style="3790" customWidth="1"/>
    <col min="6158" max="6158" width="6.25" style="3790" customWidth="1"/>
    <col min="6159" max="6400" width="9" style="3790"/>
    <col min="6401" max="6401" width="34.5" style="3790" customWidth="1"/>
    <col min="6402" max="6402" width="6.25" style="3790" customWidth="1"/>
    <col min="6403" max="6403" width="7.875" style="3790" customWidth="1"/>
    <col min="6404" max="6405" width="11.25" style="3790" customWidth="1"/>
    <col min="6406" max="6406" width="10.875" style="3790" customWidth="1"/>
    <col min="6407" max="6407" width="7.875" style="3790" customWidth="1"/>
    <col min="6408" max="6408" width="9" style="3790" customWidth="1"/>
    <col min="6409" max="6409" width="31" style="3790" customWidth="1"/>
    <col min="6410" max="6411" width="7.5" style="3790" customWidth="1"/>
    <col min="6412" max="6413" width="9.625" style="3790" customWidth="1"/>
    <col min="6414" max="6414" width="6.25" style="3790" customWidth="1"/>
    <col min="6415" max="6656" width="9" style="3790"/>
    <col min="6657" max="6657" width="34.5" style="3790" customWidth="1"/>
    <col min="6658" max="6658" width="6.25" style="3790" customWidth="1"/>
    <col min="6659" max="6659" width="7.875" style="3790" customWidth="1"/>
    <col min="6660" max="6661" width="11.25" style="3790" customWidth="1"/>
    <col min="6662" max="6662" width="10.875" style="3790" customWidth="1"/>
    <col min="6663" max="6663" width="7.875" style="3790" customWidth="1"/>
    <col min="6664" max="6664" width="9" style="3790" customWidth="1"/>
    <col min="6665" max="6665" width="31" style="3790" customWidth="1"/>
    <col min="6666" max="6667" width="7.5" style="3790" customWidth="1"/>
    <col min="6668" max="6669" width="9.625" style="3790" customWidth="1"/>
    <col min="6670" max="6670" width="6.25" style="3790" customWidth="1"/>
    <col min="6671" max="6912" width="9" style="3790"/>
    <col min="6913" max="6913" width="34.5" style="3790" customWidth="1"/>
    <col min="6914" max="6914" width="6.25" style="3790" customWidth="1"/>
    <col min="6915" max="6915" width="7.875" style="3790" customWidth="1"/>
    <col min="6916" max="6917" width="11.25" style="3790" customWidth="1"/>
    <col min="6918" max="6918" width="10.875" style="3790" customWidth="1"/>
    <col min="6919" max="6919" width="7.875" style="3790" customWidth="1"/>
    <col min="6920" max="6920" width="9" style="3790" customWidth="1"/>
    <col min="6921" max="6921" width="31" style="3790" customWidth="1"/>
    <col min="6922" max="6923" width="7.5" style="3790" customWidth="1"/>
    <col min="6924" max="6925" width="9.625" style="3790" customWidth="1"/>
    <col min="6926" max="6926" width="6.25" style="3790" customWidth="1"/>
    <col min="6927" max="7168" width="9" style="3790"/>
    <col min="7169" max="7169" width="34.5" style="3790" customWidth="1"/>
    <col min="7170" max="7170" width="6.25" style="3790" customWidth="1"/>
    <col min="7171" max="7171" width="7.875" style="3790" customWidth="1"/>
    <col min="7172" max="7173" width="11.25" style="3790" customWidth="1"/>
    <col min="7174" max="7174" width="10.875" style="3790" customWidth="1"/>
    <col min="7175" max="7175" width="7.875" style="3790" customWidth="1"/>
    <col min="7176" max="7176" width="9" style="3790" customWidth="1"/>
    <col min="7177" max="7177" width="31" style="3790" customWidth="1"/>
    <col min="7178" max="7179" width="7.5" style="3790" customWidth="1"/>
    <col min="7180" max="7181" width="9.625" style="3790" customWidth="1"/>
    <col min="7182" max="7182" width="6.25" style="3790" customWidth="1"/>
    <col min="7183" max="7424" width="9" style="3790"/>
    <col min="7425" max="7425" width="34.5" style="3790" customWidth="1"/>
    <col min="7426" max="7426" width="6.25" style="3790" customWidth="1"/>
    <col min="7427" max="7427" width="7.875" style="3790" customWidth="1"/>
    <col min="7428" max="7429" width="11.25" style="3790" customWidth="1"/>
    <col min="7430" max="7430" width="10.875" style="3790" customWidth="1"/>
    <col min="7431" max="7431" width="7.875" style="3790" customWidth="1"/>
    <col min="7432" max="7432" width="9" style="3790" customWidth="1"/>
    <col min="7433" max="7433" width="31" style="3790" customWidth="1"/>
    <col min="7434" max="7435" width="7.5" style="3790" customWidth="1"/>
    <col min="7436" max="7437" width="9.625" style="3790" customWidth="1"/>
    <col min="7438" max="7438" width="6.25" style="3790" customWidth="1"/>
    <col min="7439" max="7680" width="9" style="3790"/>
    <col min="7681" max="7681" width="34.5" style="3790" customWidth="1"/>
    <col min="7682" max="7682" width="6.25" style="3790" customWidth="1"/>
    <col min="7683" max="7683" width="7.875" style="3790" customWidth="1"/>
    <col min="7684" max="7685" width="11.25" style="3790" customWidth="1"/>
    <col min="7686" max="7686" width="10.875" style="3790" customWidth="1"/>
    <col min="7687" max="7687" width="7.875" style="3790" customWidth="1"/>
    <col min="7688" max="7688" width="9" style="3790" customWidth="1"/>
    <col min="7689" max="7689" width="31" style="3790" customWidth="1"/>
    <col min="7690" max="7691" width="7.5" style="3790" customWidth="1"/>
    <col min="7692" max="7693" width="9.625" style="3790" customWidth="1"/>
    <col min="7694" max="7694" width="6.25" style="3790" customWidth="1"/>
    <col min="7695" max="7936" width="9" style="3790"/>
    <col min="7937" max="7937" width="34.5" style="3790" customWidth="1"/>
    <col min="7938" max="7938" width="6.25" style="3790" customWidth="1"/>
    <col min="7939" max="7939" width="7.875" style="3790" customWidth="1"/>
    <col min="7940" max="7941" width="11.25" style="3790" customWidth="1"/>
    <col min="7942" max="7942" width="10.875" style="3790" customWidth="1"/>
    <col min="7943" max="7943" width="7.875" style="3790" customWidth="1"/>
    <col min="7944" max="7944" width="9" style="3790" customWidth="1"/>
    <col min="7945" max="7945" width="31" style="3790" customWidth="1"/>
    <col min="7946" max="7947" width="7.5" style="3790" customWidth="1"/>
    <col min="7948" max="7949" width="9.625" style="3790" customWidth="1"/>
    <col min="7950" max="7950" width="6.25" style="3790" customWidth="1"/>
    <col min="7951" max="8192" width="9" style="3790"/>
    <col min="8193" max="8193" width="34.5" style="3790" customWidth="1"/>
    <col min="8194" max="8194" width="6.25" style="3790" customWidth="1"/>
    <col min="8195" max="8195" width="7.875" style="3790" customWidth="1"/>
    <col min="8196" max="8197" width="11.25" style="3790" customWidth="1"/>
    <col min="8198" max="8198" width="10.875" style="3790" customWidth="1"/>
    <col min="8199" max="8199" width="7.875" style="3790" customWidth="1"/>
    <col min="8200" max="8200" width="9" style="3790" customWidth="1"/>
    <col min="8201" max="8201" width="31" style="3790" customWidth="1"/>
    <col min="8202" max="8203" width="7.5" style="3790" customWidth="1"/>
    <col min="8204" max="8205" width="9.625" style="3790" customWidth="1"/>
    <col min="8206" max="8206" width="6.25" style="3790" customWidth="1"/>
    <col min="8207" max="8448" width="9" style="3790"/>
    <col min="8449" max="8449" width="34.5" style="3790" customWidth="1"/>
    <col min="8450" max="8450" width="6.25" style="3790" customWidth="1"/>
    <col min="8451" max="8451" width="7.875" style="3790" customWidth="1"/>
    <col min="8452" max="8453" width="11.25" style="3790" customWidth="1"/>
    <col min="8454" max="8454" width="10.875" style="3790" customWidth="1"/>
    <col min="8455" max="8455" width="7.875" style="3790" customWidth="1"/>
    <col min="8456" max="8456" width="9" style="3790" customWidth="1"/>
    <col min="8457" max="8457" width="31" style="3790" customWidth="1"/>
    <col min="8458" max="8459" width="7.5" style="3790" customWidth="1"/>
    <col min="8460" max="8461" width="9.625" style="3790" customWidth="1"/>
    <col min="8462" max="8462" width="6.25" style="3790" customWidth="1"/>
    <col min="8463" max="8704" width="9" style="3790"/>
    <col min="8705" max="8705" width="34.5" style="3790" customWidth="1"/>
    <col min="8706" max="8706" width="6.25" style="3790" customWidth="1"/>
    <col min="8707" max="8707" width="7.875" style="3790" customWidth="1"/>
    <col min="8708" max="8709" width="11.25" style="3790" customWidth="1"/>
    <col min="8710" max="8710" width="10.875" style="3790" customWidth="1"/>
    <col min="8711" max="8711" width="7.875" style="3790" customWidth="1"/>
    <col min="8712" max="8712" width="9" style="3790" customWidth="1"/>
    <col min="8713" max="8713" width="31" style="3790" customWidth="1"/>
    <col min="8714" max="8715" width="7.5" style="3790" customWidth="1"/>
    <col min="8716" max="8717" width="9.625" style="3790" customWidth="1"/>
    <col min="8718" max="8718" width="6.25" style="3790" customWidth="1"/>
    <col min="8719" max="8960" width="9" style="3790"/>
    <col min="8961" max="8961" width="34.5" style="3790" customWidth="1"/>
    <col min="8962" max="8962" width="6.25" style="3790" customWidth="1"/>
    <col min="8963" max="8963" width="7.875" style="3790" customWidth="1"/>
    <col min="8964" max="8965" width="11.25" style="3790" customWidth="1"/>
    <col min="8966" max="8966" width="10.875" style="3790" customWidth="1"/>
    <col min="8967" max="8967" width="7.875" style="3790" customWidth="1"/>
    <col min="8968" max="8968" width="9" style="3790" customWidth="1"/>
    <col min="8969" max="8969" width="31" style="3790" customWidth="1"/>
    <col min="8970" max="8971" width="7.5" style="3790" customWidth="1"/>
    <col min="8972" max="8973" width="9.625" style="3790" customWidth="1"/>
    <col min="8974" max="8974" width="6.25" style="3790" customWidth="1"/>
    <col min="8975" max="9216" width="9" style="3790"/>
    <col min="9217" max="9217" width="34.5" style="3790" customWidth="1"/>
    <col min="9218" max="9218" width="6.25" style="3790" customWidth="1"/>
    <col min="9219" max="9219" width="7.875" style="3790" customWidth="1"/>
    <col min="9220" max="9221" width="11.25" style="3790" customWidth="1"/>
    <col min="9222" max="9222" width="10.875" style="3790" customWidth="1"/>
    <col min="9223" max="9223" width="7.875" style="3790" customWidth="1"/>
    <col min="9224" max="9224" width="9" style="3790" customWidth="1"/>
    <col min="9225" max="9225" width="31" style="3790" customWidth="1"/>
    <col min="9226" max="9227" width="7.5" style="3790" customWidth="1"/>
    <col min="9228" max="9229" width="9.625" style="3790" customWidth="1"/>
    <col min="9230" max="9230" width="6.25" style="3790" customWidth="1"/>
    <col min="9231" max="9472" width="9" style="3790"/>
    <col min="9473" max="9473" width="34.5" style="3790" customWidth="1"/>
    <col min="9474" max="9474" width="6.25" style="3790" customWidth="1"/>
    <col min="9475" max="9475" width="7.875" style="3790" customWidth="1"/>
    <col min="9476" max="9477" width="11.25" style="3790" customWidth="1"/>
    <col min="9478" max="9478" width="10.875" style="3790" customWidth="1"/>
    <col min="9479" max="9479" width="7.875" style="3790" customWidth="1"/>
    <col min="9480" max="9480" width="9" style="3790" customWidth="1"/>
    <col min="9481" max="9481" width="31" style="3790" customWidth="1"/>
    <col min="9482" max="9483" width="7.5" style="3790" customWidth="1"/>
    <col min="9484" max="9485" width="9.625" style="3790" customWidth="1"/>
    <col min="9486" max="9486" width="6.25" style="3790" customWidth="1"/>
    <col min="9487" max="9728" width="9" style="3790"/>
    <col min="9729" max="9729" width="34.5" style="3790" customWidth="1"/>
    <col min="9730" max="9730" width="6.25" style="3790" customWidth="1"/>
    <col min="9731" max="9731" width="7.875" style="3790" customWidth="1"/>
    <col min="9732" max="9733" width="11.25" style="3790" customWidth="1"/>
    <col min="9734" max="9734" width="10.875" style="3790" customWidth="1"/>
    <col min="9735" max="9735" width="7.875" style="3790" customWidth="1"/>
    <col min="9736" max="9736" width="9" style="3790" customWidth="1"/>
    <col min="9737" max="9737" width="31" style="3790" customWidth="1"/>
    <col min="9738" max="9739" width="7.5" style="3790" customWidth="1"/>
    <col min="9740" max="9741" width="9.625" style="3790" customWidth="1"/>
    <col min="9742" max="9742" width="6.25" style="3790" customWidth="1"/>
    <col min="9743" max="9984" width="9" style="3790"/>
    <col min="9985" max="9985" width="34.5" style="3790" customWidth="1"/>
    <col min="9986" max="9986" width="6.25" style="3790" customWidth="1"/>
    <col min="9987" max="9987" width="7.875" style="3790" customWidth="1"/>
    <col min="9988" max="9989" width="11.25" style="3790" customWidth="1"/>
    <col min="9990" max="9990" width="10.875" style="3790" customWidth="1"/>
    <col min="9991" max="9991" width="7.875" style="3790" customWidth="1"/>
    <col min="9992" max="9992" width="9" style="3790" customWidth="1"/>
    <col min="9993" max="9993" width="31" style="3790" customWidth="1"/>
    <col min="9994" max="9995" width="7.5" style="3790" customWidth="1"/>
    <col min="9996" max="9997" width="9.625" style="3790" customWidth="1"/>
    <col min="9998" max="9998" width="6.25" style="3790" customWidth="1"/>
    <col min="9999" max="10240" width="9" style="3790"/>
    <col min="10241" max="10241" width="34.5" style="3790" customWidth="1"/>
    <col min="10242" max="10242" width="6.25" style="3790" customWidth="1"/>
    <col min="10243" max="10243" width="7.875" style="3790" customWidth="1"/>
    <col min="10244" max="10245" width="11.25" style="3790" customWidth="1"/>
    <col min="10246" max="10246" width="10.875" style="3790" customWidth="1"/>
    <col min="10247" max="10247" width="7.875" style="3790" customWidth="1"/>
    <col min="10248" max="10248" width="9" style="3790" customWidth="1"/>
    <col min="10249" max="10249" width="31" style="3790" customWidth="1"/>
    <col min="10250" max="10251" width="7.5" style="3790" customWidth="1"/>
    <col min="10252" max="10253" width="9.625" style="3790" customWidth="1"/>
    <col min="10254" max="10254" width="6.25" style="3790" customWidth="1"/>
    <col min="10255" max="10496" width="9" style="3790"/>
    <col min="10497" max="10497" width="34.5" style="3790" customWidth="1"/>
    <col min="10498" max="10498" width="6.25" style="3790" customWidth="1"/>
    <col min="10499" max="10499" width="7.875" style="3790" customWidth="1"/>
    <col min="10500" max="10501" width="11.25" style="3790" customWidth="1"/>
    <col min="10502" max="10502" width="10.875" style="3790" customWidth="1"/>
    <col min="10503" max="10503" width="7.875" style="3790" customWidth="1"/>
    <col min="10504" max="10504" width="9" style="3790" customWidth="1"/>
    <col min="10505" max="10505" width="31" style="3790" customWidth="1"/>
    <col min="10506" max="10507" width="7.5" style="3790" customWidth="1"/>
    <col min="10508" max="10509" width="9.625" style="3790" customWidth="1"/>
    <col min="10510" max="10510" width="6.25" style="3790" customWidth="1"/>
    <col min="10511" max="10752" width="9" style="3790"/>
    <col min="10753" max="10753" width="34.5" style="3790" customWidth="1"/>
    <col min="10754" max="10754" width="6.25" style="3790" customWidth="1"/>
    <col min="10755" max="10755" width="7.875" style="3790" customWidth="1"/>
    <col min="10756" max="10757" width="11.25" style="3790" customWidth="1"/>
    <col min="10758" max="10758" width="10.875" style="3790" customWidth="1"/>
    <col min="10759" max="10759" width="7.875" style="3790" customWidth="1"/>
    <col min="10760" max="10760" width="9" style="3790" customWidth="1"/>
    <col min="10761" max="10761" width="31" style="3790" customWidth="1"/>
    <col min="10762" max="10763" width="7.5" style="3790" customWidth="1"/>
    <col min="10764" max="10765" width="9.625" style="3790" customWidth="1"/>
    <col min="10766" max="10766" width="6.25" style="3790" customWidth="1"/>
    <col min="10767" max="11008" width="9" style="3790"/>
    <col min="11009" max="11009" width="34.5" style="3790" customWidth="1"/>
    <col min="11010" max="11010" width="6.25" style="3790" customWidth="1"/>
    <col min="11011" max="11011" width="7.875" style="3790" customWidth="1"/>
    <col min="11012" max="11013" width="11.25" style="3790" customWidth="1"/>
    <col min="11014" max="11014" width="10.875" style="3790" customWidth="1"/>
    <col min="11015" max="11015" width="7.875" style="3790" customWidth="1"/>
    <col min="11016" max="11016" width="9" style="3790" customWidth="1"/>
    <col min="11017" max="11017" width="31" style="3790" customWidth="1"/>
    <col min="11018" max="11019" width="7.5" style="3790" customWidth="1"/>
    <col min="11020" max="11021" width="9.625" style="3790" customWidth="1"/>
    <col min="11022" max="11022" width="6.25" style="3790" customWidth="1"/>
    <col min="11023" max="11264" width="9" style="3790"/>
    <col min="11265" max="11265" width="34.5" style="3790" customWidth="1"/>
    <col min="11266" max="11266" width="6.25" style="3790" customWidth="1"/>
    <col min="11267" max="11267" width="7.875" style="3790" customWidth="1"/>
    <col min="11268" max="11269" width="11.25" style="3790" customWidth="1"/>
    <col min="11270" max="11270" width="10.875" style="3790" customWidth="1"/>
    <col min="11271" max="11271" width="7.875" style="3790" customWidth="1"/>
    <col min="11272" max="11272" width="9" style="3790" customWidth="1"/>
    <col min="11273" max="11273" width="31" style="3790" customWidth="1"/>
    <col min="11274" max="11275" width="7.5" style="3790" customWidth="1"/>
    <col min="11276" max="11277" width="9.625" style="3790" customWidth="1"/>
    <col min="11278" max="11278" width="6.25" style="3790" customWidth="1"/>
    <col min="11279" max="11520" width="9" style="3790"/>
    <col min="11521" max="11521" width="34.5" style="3790" customWidth="1"/>
    <col min="11522" max="11522" width="6.25" style="3790" customWidth="1"/>
    <col min="11523" max="11523" width="7.875" style="3790" customWidth="1"/>
    <col min="11524" max="11525" width="11.25" style="3790" customWidth="1"/>
    <col min="11526" max="11526" width="10.875" style="3790" customWidth="1"/>
    <col min="11527" max="11527" width="7.875" style="3790" customWidth="1"/>
    <col min="11528" max="11528" width="9" style="3790" customWidth="1"/>
    <col min="11529" max="11529" width="31" style="3790" customWidth="1"/>
    <col min="11530" max="11531" width="7.5" style="3790" customWidth="1"/>
    <col min="11532" max="11533" width="9.625" style="3790" customWidth="1"/>
    <col min="11534" max="11534" width="6.25" style="3790" customWidth="1"/>
    <col min="11535" max="11776" width="9" style="3790"/>
    <col min="11777" max="11777" width="34.5" style="3790" customWidth="1"/>
    <col min="11778" max="11778" width="6.25" style="3790" customWidth="1"/>
    <col min="11779" max="11779" width="7.875" style="3790" customWidth="1"/>
    <col min="11780" max="11781" width="11.25" style="3790" customWidth="1"/>
    <col min="11782" max="11782" width="10.875" style="3790" customWidth="1"/>
    <col min="11783" max="11783" width="7.875" style="3790" customWidth="1"/>
    <col min="11784" max="11784" width="9" style="3790" customWidth="1"/>
    <col min="11785" max="11785" width="31" style="3790" customWidth="1"/>
    <col min="11786" max="11787" width="7.5" style="3790" customWidth="1"/>
    <col min="11788" max="11789" width="9.625" style="3790" customWidth="1"/>
    <col min="11790" max="11790" width="6.25" style="3790" customWidth="1"/>
    <col min="11791" max="12032" width="9" style="3790"/>
    <col min="12033" max="12033" width="34.5" style="3790" customWidth="1"/>
    <col min="12034" max="12034" width="6.25" style="3790" customWidth="1"/>
    <col min="12035" max="12035" width="7.875" style="3790" customWidth="1"/>
    <col min="12036" max="12037" width="11.25" style="3790" customWidth="1"/>
    <col min="12038" max="12038" width="10.875" style="3790" customWidth="1"/>
    <col min="12039" max="12039" width="7.875" style="3790" customWidth="1"/>
    <col min="12040" max="12040" width="9" style="3790" customWidth="1"/>
    <col min="12041" max="12041" width="31" style="3790" customWidth="1"/>
    <col min="12042" max="12043" width="7.5" style="3790" customWidth="1"/>
    <col min="12044" max="12045" width="9.625" style="3790" customWidth="1"/>
    <col min="12046" max="12046" width="6.25" style="3790" customWidth="1"/>
    <col min="12047" max="12288" width="9" style="3790"/>
    <col min="12289" max="12289" width="34.5" style="3790" customWidth="1"/>
    <col min="12290" max="12290" width="6.25" style="3790" customWidth="1"/>
    <col min="12291" max="12291" width="7.875" style="3790" customWidth="1"/>
    <col min="12292" max="12293" width="11.25" style="3790" customWidth="1"/>
    <col min="12294" max="12294" width="10.875" style="3790" customWidth="1"/>
    <col min="12295" max="12295" width="7.875" style="3790" customWidth="1"/>
    <col min="12296" max="12296" width="9" style="3790" customWidth="1"/>
    <col min="12297" max="12297" width="31" style="3790" customWidth="1"/>
    <col min="12298" max="12299" width="7.5" style="3790" customWidth="1"/>
    <col min="12300" max="12301" width="9.625" style="3790" customWidth="1"/>
    <col min="12302" max="12302" width="6.25" style="3790" customWidth="1"/>
    <col min="12303" max="12544" width="9" style="3790"/>
    <col min="12545" max="12545" width="34.5" style="3790" customWidth="1"/>
    <col min="12546" max="12546" width="6.25" style="3790" customWidth="1"/>
    <col min="12547" max="12547" width="7.875" style="3790" customWidth="1"/>
    <col min="12548" max="12549" width="11.25" style="3790" customWidth="1"/>
    <col min="12550" max="12550" width="10.875" style="3790" customWidth="1"/>
    <col min="12551" max="12551" width="7.875" style="3790" customWidth="1"/>
    <col min="12552" max="12552" width="9" style="3790" customWidth="1"/>
    <col min="12553" max="12553" width="31" style="3790" customWidth="1"/>
    <col min="12554" max="12555" width="7.5" style="3790" customWidth="1"/>
    <col min="12556" max="12557" width="9.625" style="3790" customWidth="1"/>
    <col min="12558" max="12558" width="6.25" style="3790" customWidth="1"/>
    <col min="12559" max="12800" width="9" style="3790"/>
    <col min="12801" max="12801" width="34.5" style="3790" customWidth="1"/>
    <col min="12802" max="12802" width="6.25" style="3790" customWidth="1"/>
    <col min="12803" max="12803" width="7.875" style="3790" customWidth="1"/>
    <col min="12804" max="12805" width="11.25" style="3790" customWidth="1"/>
    <col min="12806" max="12806" width="10.875" style="3790" customWidth="1"/>
    <col min="12807" max="12807" width="7.875" style="3790" customWidth="1"/>
    <col min="12808" max="12808" width="9" style="3790" customWidth="1"/>
    <col min="12809" max="12809" width="31" style="3790" customWidth="1"/>
    <col min="12810" max="12811" width="7.5" style="3790" customWidth="1"/>
    <col min="12812" max="12813" width="9.625" style="3790" customWidth="1"/>
    <col min="12814" max="12814" width="6.25" style="3790" customWidth="1"/>
    <col min="12815" max="13056" width="9" style="3790"/>
    <col min="13057" max="13057" width="34.5" style="3790" customWidth="1"/>
    <col min="13058" max="13058" width="6.25" style="3790" customWidth="1"/>
    <col min="13059" max="13059" width="7.875" style="3790" customWidth="1"/>
    <col min="13060" max="13061" width="11.25" style="3790" customWidth="1"/>
    <col min="13062" max="13062" width="10.875" style="3790" customWidth="1"/>
    <col min="13063" max="13063" width="7.875" style="3790" customWidth="1"/>
    <col min="13064" max="13064" width="9" style="3790" customWidth="1"/>
    <col min="13065" max="13065" width="31" style="3790" customWidth="1"/>
    <col min="13066" max="13067" width="7.5" style="3790" customWidth="1"/>
    <col min="13068" max="13069" width="9.625" style="3790" customWidth="1"/>
    <col min="13070" max="13070" width="6.25" style="3790" customWidth="1"/>
    <col min="13071" max="13312" width="9" style="3790"/>
    <col min="13313" max="13313" width="34.5" style="3790" customWidth="1"/>
    <col min="13314" max="13314" width="6.25" style="3790" customWidth="1"/>
    <col min="13315" max="13315" width="7.875" style="3790" customWidth="1"/>
    <col min="13316" max="13317" width="11.25" style="3790" customWidth="1"/>
    <col min="13318" max="13318" width="10.875" style="3790" customWidth="1"/>
    <col min="13319" max="13319" width="7.875" style="3790" customWidth="1"/>
    <col min="13320" max="13320" width="9" style="3790" customWidth="1"/>
    <col min="13321" max="13321" width="31" style="3790" customWidth="1"/>
    <col min="13322" max="13323" width="7.5" style="3790" customWidth="1"/>
    <col min="13324" max="13325" width="9.625" style="3790" customWidth="1"/>
    <col min="13326" max="13326" width="6.25" style="3790" customWidth="1"/>
    <col min="13327" max="13568" width="9" style="3790"/>
    <col min="13569" max="13569" width="34.5" style="3790" customWidth="1"/>
    <col min="13570" max="13570" width="6.25" style="3790" customWidth="1"/>
    <col min="13571" max="13571" width="7.875" style="3790" customWidth="1"/>
    <col min="13572" max="13573" width="11.25" style="3790" customWidth="1"/>
    <col min="13574" max="13574" width="10.875" style="3790" customWidth="1"/>
    <col min="13575" max="13575" width="7.875" style="3790" customWidth="1"/>
    <col min="13576" max="13576" width="9" style="3790" customWidth="1"/>
    <col min="13577" max="13577" width="31" style="3790" customWidth="1"/>
    <col min="13578" max="13579" width="7.5" style="3790" customWidth="1"/>
    <col min="13580" max="13581" width="9.625" style="3790" customWidth="1"/>
    <col min="13582" max="13582" width="6.25" style="3790" customWidth="1"/>
    <col min="13583" max="13824" width="9" style="3790"/>
    <col min="13825" max="13825" width="34.5" style="3790" customWidth="1"/>
    <col min="13826" max="13826" width="6.25" style="3790" customWidth="1"/>
    <col min="13827" max="13827" width="7.875" style="3790" customWidth="1"/>
    <col min="13828" max="13829" width="11.25" style="3790" customWidth="1"/>
    <col min="13830" max="13830" width="10.875" style="3790" customWidth="1"/>
    <col min="13831" max="13831" width="7.875" style="3790" customWidth="1"/>
    <col min="13832" max="13832" width="9" style="3790" customWidth="1"/>
    <col min="13833" max="13833" width="31" style="3790" customWidth="1"/>
    <col min="13834" max="13835" width="7.5" style="3790" customWidth="1"/>
    <col min="13836" max="13837" width="9.625" style="3790" customWidth="1"/>
    <col min="13838" max="13838" width="6.25" style="3790" customWidth="1"/>
    <col min="13839" max="14080" width="9" style="3790"/>
    <col min="14081" max="14081" width="34.5" style="3790" customWidth="1"/>
    <col min="14082" max="14082" width="6.25" style="3790" customWidth="1"/>
    <col min="14083" max="14083" width="7.875" style="3790" customWidth="1"/>
    <col min="14084" max="14085" width="11.25" style="3790" customWidth="1"/>
    <col min="14086" max="14086" width="10.875" style="3790" customWidth="1"/>
    <col min="14087" max="14087" width="7.875" style="3790" customWidth="1"/>
    <col min="14088" max="14088" width="9" style="3790" customWidth="1"/>
    <col min="14089" max="14089" width="31" style="3790" customWidth="1"/>
    <col min="14090" max="14091" width="7.5" style="3790" customWidth="1"/>
    <col min="14092" max="14093" width="9.625" style="3790" customWidth="1"/>
    <col min="14094" max="14094" width="6.25" style="3790" customWidth="1"/>
    <col min="14095" max="14336" width="9" style="3790"/>
    <col min="14337" max="14337" width="34.5" style="3790" customWidth="1"/>
    <col min="14338" max="14338" width="6.25" style="3790" customWidth="1"/>
    <col min="14339" max="14339" width="7.875" style="3790" customWidth="1"/>
    <col min="14340" max="14341" width="11.25" style="3790" customWidth="1"/>
    <col min="14342" max="14342" width="10.875" style="3790" customWidth="1"/>
    <col min="14343" max="14343" width="7.875" style="3790" customWidth="1"/>
    <col min="14344" max="14344" width="9" style="3790" customWidth="1"/>
    <col min="14345" max="14345" width="31" style="3790" customWidth="1"/>
    <col min="14346" max="14347" width="7.5" style="3790" customWidth="1"/>
    <col min="14348" max="14349" width="9.625" style="3790" customWidth="1"/>
    <col min="14350" max="14350" width="6.25" style="3790" customWidth="1"/>
    <col min="14351" max="14592" width="9" style="3790"/>
    <col min="14593" max="14593" width="34.5" style="3790" customWidth="1"/>
    <col min="14594" max="14594" width="6.25" style="3790" customWidth="1"/>
    <col min="14595" max="14595" width="7.875" style="3790" customWidth="1"/>
    <col min="14596" max="14597" width="11.25" style="3790" customWidth="1"/>
    <col min="14598" max="14598" width="10.875" style="3790" customWidth="1"/>
    <col min="14599" max="14599" width="7.875" style="3790" customWidth="1"/>
    <col min="14600" max="14600" width="9" style="3790" customWidth="1"/>
    <col min="14601" max="14601" width="31" style="3790" customWidth="1"/>
    <col min="14602" max="14603" width="7.5" style="3790" customWidth="1"/>
    <col min="14604" max="14605" width="9.625" style="3790" customWidth="1"/>
    <col min="14606" max="14606" width="6.25" style="3790" customWidth="1"/>
    <col min="14607" max="14848" width="9" style="3790"/>
    <col min="14849" max="14849" width="34.5" style="3790" customWidth="1"/>
    <col min="14850" max="14850" width="6.25" style="3790" customWidth="1"/>
    <col min="14851" max="14851" width="7.875" style="3790" customWidth="1"/>
    <col min="14852" max="14853" width="11.25" style="3790" customWidth="1"/>
    <col min="14854" max="14854" width="10.875" style="3790" customWidth="1"/>
    <col min="14855" max="14855" width="7.875" style="3790" customWidth="1"/>
    <col min="14856" max="14856" width="9" style="3790" customWidth="1"/>
    <col min="14857" max="14857" width="31" style="3790" customWidth="1"/>
    <col min="14858" max="14859" width="7.5" style="3790" customWidth="1"/>
    <col min="14860" max="14861" width="9.625" style="3790" customWidth="1"/>
    <col min="14862" max="14862" width="6.25" style="3790" customWidth="1"/>
    <col min="14863" max="15104" width="9" style="3790"/>
    <col min="15105" max="15105" width="34.5" style="3790" customWidth="1"/>
    <col min="15106" max="15106" width="6.25" style="3790" customWidth="1"/>
    <col min="15107" max="15107" width="7.875" style="3790" customWidth="1"/>
    <col min="15108" max="15109" width="11.25" style="3790" customWidth="1"/>
    <col min="15110" max="15110" width="10.875" style="3790" customWidth="1"/>
    <col min="15111" max="15111" width="7.875" style="3790" customWidth="1"/>
    <col min="15112" max="15112" width="9" style="3790" customWidth="1"/>
    <col min="15113" max="15113" width="31" style="3790" customWidth="1"/>
    <col min="15114" max="15115" width="7.5" style="3790" customWidth="1"/>
    <col min="15116" max="15117" width="9.625" style="3790" customWidth="1"/>
    <col min="15118" max="15118" width="6.25" style="3790" customWidth="1"/>
    <col min="15119" max="15360" width="9" style="3790"/>
    <col min="15361" max="15361" width="34.5" style="3790" customWidth="1"/>
    <col min="15362" max="15362" width="6.25" style="3790" customWidth="1"/>
    <col min="15363" max="15363" width="7.875" style="3790" customWidth="1"/>
    <col min="15364" max="15365" width="11.25" style="3790" customWidth="1"/>
    <col min="15366" max="15366" width="10.875" style="3790" customWidth="1"/>
    <col min="15367" max="15367" width="7.875" style="3790" customWidth="1"/>
    <col min="15368" max="15368" width="9" style="3790" customWidth="1"/>
    <col min="15369" max="15369" width="31" style="3790" customWidth="1"/>
    <col min="15370" max="15371" width="7.5" style="3790" customWidth="1"/>
    <col min="15372" max="15373" width="9.625" style="3790" customWidth="1"/>
    <col min="15374" max="15374" width="6.25" style="3790" customWidth="1"/>
    <col min="15375" max="15616" width="9" style="3790"/>
    <col min="15617" max="15617" width="34.5" style="3790" customWidth="1"/>
    <col min="15618" max="15618" width="6.25" style="3790" customWidth="1"/>
    <col min="15619" max="15619" width="7.875" style="3790" customWidth="1"/>
    <col min="15620" max="15621" width="11.25" style="3790" customWidth="1"/>
    <col min="15622" max="15622" width="10.875" style="3790" customWidth="1"/>
    <col min="15623" max="15623" width="7.875" style="3790" customWidth="1"/>
    <col min="15624" max="15624" width="9" style="3790" customWidth="1"/>
    <col min="15625" max="15625" width="31" style="3790" customWidth="1"/>
    <col min="15626" max="15627" width="7.5" style="3790" customWidth="1"/>
    <col min="15628" max="15629" width="9.625" style="3790" customWidth="1"/>
    <col min="15630" max="15630" width="6.25" style="3790" customWidth="1"/>
    <col min="15631" max="15872" width="9" style="3790"/>
    <col min="15873" max="15873" width="34.5" style="3790" customWidth="1"/>
    <col min="15874" max="15874" width="6.25" style="3790" customWidth="1"/>
    <col min="15875" max="15875" width="7.875" style="3790" customWidth="1"/>
    <col min="15876" max="15877" width="11.25" style="3790" customWidth="1"/>
    <col min="15878" max="15878" width="10.875" style="3790" customWidth="1"/>
    <col min="15879" max="15879" width="7.875" style="3790" customWidth="1"/>
    <col min="15880" max="15880" width="9" style="3790" customWidth="1"/>
    <col min="15881" max="15881" width="31" style="3790" customWidth="1"/>
    <col min="15882" max="15883" width="7.5" style="3790" customWidth="1"/>
    <col min="15884" max="15885" width="9.625" style="3790" customWidth="1"/>
    <col min="15886" max="15886" width="6.25" style="3790" customWidth="1"/>
    <col min="15887" max="16128" width="9" style="3790"/>
    <col min="16129" max="16129" width="34.5" style="3790" customWidth="1"/>
    <col min="16130" max="16130" width="6.25" style="3790" customWidth="1"/>
    <col min="16131" max="16131" width="7.875" style="3790" customWidth="1"/>
    <col min="16132" max="16133" width="11.25" style="3790" customWidth="1"/>
    <col min="16134" max="16134" width="10.875" style="3790" customWidth="1"/>
    <col min="16135" max="16135" width="7.875" style="3790" customWidth="1"/>
    <col min="16136" max="16136" width="9" style="3790" customWidth="1"/>
    <col min="16137" max="16137" width="31" style="3790" customWidth="1"/>
    <col min="16138" max="16139" width="7.5" style="3790" customWidth="1"/>
    <col min="16140" max="16141" width="9.625" style="3790" customWidth="1"/>
    <col min="16142" max="16142" width="6.25" style="3790" customWidth="1"/>
    <col min="16143" max="16384" width="9" style="3790"/>
  </cols>
  <sheetData>
    <row r="1" spans="1:18">
      <c r="A1" s="3790" t="s">
        <v>3413</v>
      </c>
      <c r="B1" s="3790" t="s">
        <v>3414</v>
      </c>
      <c r="C1" s="3790" t="s">
        <v>3415</v>
      </c>
      <c r="D1" s="3790" t="s">
        <v>3416</v>
      </c>
      <c r="E1" s="3790" t="s">
        <v>3417</v>
      </c>
      <c r="F1" s="3790" t="s">
        <v>3418</v>
      </c>
      <c r="G1" s="3790" t="s">
        <v>3419</v>
      </c>
      <c r="H1" s="3790" t="s">
        <v>3420</v>
      </c>
      <c r="I1" s="3790" t="s">
        <v>3421</v>
      </c>
      <c r="J1" s="3790" t="s">
        <v>3422</v>
      </c>
      <c r="K1" s="3790" t="s">
        <v>3423</v>
      </c>
      <c r="L1" s="3790" t="s">
        <v>3424</v>
      </c>
      <c r="M1" s="3791" t="s">
        <v>3425</v>
      </c>
      <c r="N1" s="3790" t="s">
        <v>3426</v>
      </c>
      <c r="O1" s="3791" t="s">
        <v>3427</v>
      </c>
      <c r="P1" s="3791" t="s">
        <v>3428</v>
      </c>
      <c r="Q1" s="3791" t="s">
        <v>3429</v>
      </c>
    </row>
    <row r="2" spans="1:18">
      <c r="A2" s="3790" t="s">
        <v>3430</v>
      </c>
      <c r="B2" s="3790" t="s">
        <v>3380</v>
      </c>
      <c r="C2" s="3790" t="s">
        <v>2481</v>
      </c>
      <c r="D2" s="3790">
        <v>6837.8</v>
      </c>
      <c r="E2" s="3790">
        <v>5470.24</v>
      </c>
      <c r="F2" s="3790" t="s">
        <v>3431</v>
      </c>
      <c r="G2" s="3790" t="s">
        <v>3432</v>
      </c>
      <c r="H2" s="3790" t="s">
        <v>3433</v>
      </c>
      <c r="I2" s="3790" t="s">
        <v>3434</v>
      </c>
      <c r="J2" s="3790">
        <v>496.42</v>
      </c>
      <c r="K2" s="3790">
        <v>496.42</v>
      </c>
      <c r="L2" s="3790">
        <v>907.49</v>
      </c>
      <c r="M2" s="3790">
        <f>K2/(D2/666.67)</f>
        <v>48.399824709701946</v>
      </c>
      <c r="N2" s="3790">
        <v>0</v>
      </c>
      <c r="P2" s="3790">
        <v>1.5190999999999999</v>
      </c>
    </row>
    <row r="3" spans="1:18">
      <c r="A3" s="3790" t="s">
        <v>3435</v>
      </c>
      <c r="B3" s="3790" t="s">
        <v>3380</v>
      </c>
      <c r="C3" s="3790" t="s">
        <v>2481</v>
      </c>
      <c r="D3" s="3790">
        <v>420642.53</v>
      </c>
      <c r="E3" s="3790">
        <v>841285.06</v>
      </c>
      <c r="F3" s="3790">
        <v>2</v>
      </c>
      <c r="G3" s="3790" t="s">
        <v>3432</v>
      </c>
      <c r="H3" s="3790" t="s">
        <v>3436</v>
      </c>
      <c r="I3" s="3790" t="s">
        <v>3437</v>
      </c>
      <c r="J3" s="3790">
        <v>49383.43</v>
      </c>
      <c r="K3" s="3790">
        <v>49383.43</v>
      </c>
      <c r="L3" s="3790">
        <v>587</v>
      </c>
      <c r="M3" s="3790">
        <f t="shared" ref="M3:M61" si="0">K3/(D3/666.67)</f>
        <v>78.267053210477783</v>
      </c>
      <c r="N3" s="3790">
        <v>0</v>
      </c>
    </row>
    <row r="4" spans="1:18">
      <c r="A4" s="3790" t="s">
        <v>3438</v>
      </c>
      <c r="B4" s="3790" t="s">
        <v>3380</v>
      </c>
      <c r="C4" s="3790" t="s">
        <v>2481</v>
      </c>
      <c r="D4" s="3790">
        <v>15343</v>
      </c>
      <c r="E4" s="3790">
        <v>36000</v>
      </c>
      <c r="F4" s="3790" t="s">
        <v>3439</v>
      </c>
      <c r="G4" s="3790" t="s">
        <v>3432</v>
      </c>
      <c r="H4" s="3790" t="s">
        <v>3440</v>
      </c>
      <c r="I4" s="3790" t="s">
        <v>3441</v>
      </c>
      <c r="J4" s="3790">
        <v>11401.2</v>
      </c>
      <c r="K4" s="3790">
        <v>11401.2</v>
      </c>
      <c r="L4" s="3790">
        <v>3167</v>
      </c>
      <c r="M4" s="3790">
        <f t="shared" si="0"/>
        <v>495.39451241608549</v>
      </c>
      <c r="N4" s="3790">
        <v>0</v>
      </c>
    </row>
    <row r="5" spans="1:18">
      <c r="A5" s="3790" t="s">
        <v>3442</v>
      </c>
      <c r="B5" s="3790" t="s">
        <v>3380</v>
      </c>
      <c r="C5" s="3790" t="s">
        <v>2481</v>
      </c>
      <c r="D5" s="3790">
        <v>21884.6</v>
      </c>
      <c r="E5" s="3790">
        <v>32826.9</v>
      </c>
      <c r="F5" s="3790" t="s">
        <v>3443</v>
      </c>
      <c r="G5" s="3790" t="s">
        <v>3432</v>
      </c>
      <c r="H5" s="3790" t="s">
        <v>3440</v>
      </c>
      <c r="I5" s="3790" t="s">
        <v>3444</v>
      </c>
      <c r="J5" s="3790">
        <v>3308.95</v>
      </c>
      <c r="K5" s="3790">
        <v>3308.95</v>
      </c>
      <c r="L5" s="3790">
        <v>1008</v>
      </c>
      <c r="M5" s="3790">
        <f t="shared" si="0"/>
        <v>100.80045769627957</v>
      </c>
      <c r="N5" s="3790">
        <v>0</v>
      </c>
    </row>
    <row r="6" spans="1:18">
      <c r="A6" s="3790" t="s">
        <v>3445</v>
      </c>
      <c r="B6" s="3790" t="s">
        <v>3380</v>
      </c>
      <c r="C6" s="3790" t="s">
        <v>2481</v>
      </c>
      <c r="D6" s="3790">
        <v>3658.3</v>
      </c>
      <c r="E6" s="3790">
        <v>3900</v>
      </c>
      <c r="F6" s="3790" t="s">
        <v>3446</v>
      </c>
      <c r="G6" s="3790" t="s">
        <v>3432</v>
      </c>
      <c r="H6" s="3790" t="s">
        <v>3440</v>
      </c>
      <c r="I6" s="3790" t="s">
        <v>3444</v>
      </c>
      <c r="J6" s="3790">
        <v>368.94</v>
      </c>
      <c r="K6" s="3790">
        <v>368.94</v>
      </c>
      <c r="L6" s="3790">
        <v>946</v>
      </c>
      <c r="M6" s="3790">
        <f t="shared" si="0"/>
        <v>67.233750594538435</v>
      </c>
      <c r="N6" s="3790">
        <v>0</v>
      </c>
    </row>
    <row r="7" spans="1:18">
      <c r="A7" s="3790" t="s">
        <v>3447</v>
      </c>
      <c r="B7" s="3790" t="s">
        <v>3380</v>
      </c>
      <c r="C7" s="3790" t="s">
        <v>2481</v>
      </c>
      <c r="D7" s="3790">
        <v>25334.799999999999</v>
      </c>
      <c r="E7" s="3790">
        <v>38002.199999999997</v>
      </c>
      <c r="F7" s="3790">
        <v>1.5</v>
      </c>
      <c r="G7" s="3790" t="s">
        <v>3432</v>
      </c>
      <c r="H7" s="3790" t="s">
        <v>3448</v>
      </c>
      <c r="I7" s="3790" t="s">
        <v>3449</v>
      </c>
      <c r="J7" s="3790">
        <v>2169.9299999999998</v>
      </c>
      <c r="K7" s="3790">
        <v>2169.9299999999998</v>
      </c>
      <c r="L7" s="3790">
        <v>571</v>
      </c>
      <c r="M7" s="3790">
        <f t="shared" si="0"/>
        <v>57.100400757061422</v>
      </c>
      <c r="N7" s="3790">
        <v>0</v>
      </c>
    </row>
    <row r="8" spans="1:18" s="3792" customFormat="1">
      <c r="A8" s="3792" t="s">
        <v>3450</v>
      </c>
      <c r="B8" s="3792" t="s">
        <v>3380</v>
      </c>
      <c r="C8" s="3792" t="s">
        <v>2481</v>
      </c>
      <c r="D8" s="3792">
        <v>52790.03</v>
      </c>
      <c r="E8" s="3792">
        <v>79185.05</v>
      </c>
      <c r="F8" s="3792" t="s">
        <v>3451</v>
      </c>
      <c r="G8" s="3792" t="s">
        <v>3432</v>
      </c>
      <c r="H8" s="3792" t="s">
        <v>3452</v>
      </c>
      <c r="I8" s="3792" t="s">
        <v>3453</v>
      </c>
      <c r="J8" s="3792">
        <v>9429.41</v>
      </c>
      <c r="K8" s="3792">
        <v>9429.41</v>
      </c>
      <c r="L8" s="3792">
        <v>1190.81</v>
      </c>
      <c r="M8" s="3792">
        <f t="shared" si="0"/>
        <v>119.08128797615761</v>
      </c>
      <c r="N8" s="3792">
        <v>0</v>
      </c>
    </row>
    <row r="9" spans="1:18">
      <c r="A9" s="3790" t="s">
        <v>3454</v>
      </c>
      <c r="B9" s="3790" t="s">
        <v>3380</v>
      </c>
      <c r="C9" s="3790" t="s">
        <v>2481</v>
      </c>
      <c r="D9" s="3790">
        <v>19670.8</v>
      </c>
      <c r="E9" s="3790">
        <v>29506.2</v>
      </c>
      <c r="F9" s="3790">
        <v>1.5</v>
      </c>
      <c r="G9" s="3790" t="s">
        <v>3432</v>
      </c>
      <c r="H9" s="3790" t="s">
        <v>3455</v>
      </c>
      <c r="I9" s="3790" t="s">
        <v>3456</v>
      </c>
      <c r="J9" s="3790">
        <v>1684.8</v>
      </c>
      <c r="K9" s="3790">
        <v>1684.8</v>
      </c>
      <c r="L9" s="3790">
        <v>571</v>
      </c>
      <c r="M9" s="3790">
        <f t="shared" si="0"/>
        <v>57.100149256766372</v>
      </c>
      <c r="N9" s="3790">
        <v>0</v>
      </c>
    </row>
    <row r="10" spans="1:18">
      <c r="A10" s="3790" t="s">
        <v>3457</v>
      </c>
      <c r="B10" s="3790" t="s">
        <v>3380</v>
      </c>
      <c r="C10" s="3790" t="s">
        <v>2481</v>
      </c>
      <c r="D10" s="3790">
        <v>24526.2</v>
      </c>
      <c r="E10" s="3790">
        <v>49052.4</v>
      </c>
      <c r="F10" s="3790">
        <v>2</v>
      </c>
      <c r="G10" s="3790" t="s">
        <v>3432</v>
      </c>
      <c r="H10" s="3790" t="s">
        <v>3455</v>
      </c>
      <c r="I10" s="3790" t="s">
        <v>3458</v>
      </c>
      <c r="J10" s="3790">
        <v>2800.89</v>
      </c>
      <c r="K10" s="3790">
        <v>2800.89</v>
      </c>
      <c r="L10" s="3790">
        <v>571</v>
      </c>
      <c r="M10" s="3790">
        <f t="shared" si="0"/>
        <v>76.133658548817181</v>
      </c>
      <c r="N10" s="3790">
        <v>0</v>
      </c>
    </row>
    <row r="11" spans="1:18" s="3793" customFormat="1">
      <c r="A11" s="3793" t="s">
        <v>3459</v>
      </c>
      <c r="B11" s="3793" t="s">
        <v>3380</v>
      </c>
      <c r="C11" s="3793" t="s">
        <v>2481</v>
      </c>
      <c r="D11" s="3793">
        <v>26316.6</v>
      </c>
      <c r="E11" s="3793">
        <v>30264.09</v>
      </c>
      <c r="F11" s="3793" t="s">
        <v>3460</v>
      </c>
      <c r="G11" s="3793" t="s">
        <v>3432</v>
      </c>
      <c r="H11" s="3793" t="s">
        <v>3461</v>
      </c>
      <c r="I11" s="3793" t="s">
        <v>3462</v>
      </c>
      <c r="J11" s="3793">
        <v>1973.22</v>
      </c>
      <c r="K11" s="3793">
        <v>1973.22</v>
      </c>
      <c r="L11" s="3793">
        <v>652</v>
      </c>
      <c r="M11" s="3793">
        <f t="shared" si="0"/>
        <v>49.986950343129436</v>
      </c>
      <c r="N11" s="3793">
        <v>0</v>
      </c>
      <c r="O11" s="3793">
        <v>20</v>
      </c>
      <c r="P11" s="3793">
        <f>L11*P2</f>
        <v>990.45319999999992</v>
      </c>
      <c r="Q11" s="3793">
        <f>P11/R11</f>
        <v>1038.5374855824682</v>
      </c>
      <c r="R11" s="3793">
        <v>0.95369999999999999</v>
      </c>
    </row>
    <row r="12" spans="1:18" s="3793" customFormat="1">
      <c r="A12" s="3793" t="s">
        <v>3463</v>
      </c>
      <c r="B12" s="3793" t="s">
        <v>3380</v>
      </c>
      <c r="C12" s="3793" t="s">
        <v>2481</v>
      </c>
      <c r="D12" s="3793">
        <v>10526.1</v>
      </c>
      <c r="E12" s="3793">
        <v>12631.32</v>
      </c>
      <c r="F12" s="3793">
        <v>1.2</v>
      </c>
      <c r="G12" s="3793" t="s">
        <v>3432</v>
      </c>
      <c r="H12" s="3793" t="s">
        <v>3461</v>
      </c>
      <c r="I12" s="3793" t="s">
        <v>3464</v>
      </c>
      <c r="J12" s="3793">
        <v>823.56</v>
      </c>
      <c r="K12" s="3793">
        <v>823.56</v>
      </c>
      <c r="L12" s="3793">
        <v>652</v>
      </c>
      <c r="M12" s="3793">
        <f t="shared" si="0"/>
        <v>52.160130076666562</v>
      </c>
      <c r="N12" s="3793">
        <v>0</v>
      </c>
      <c r="O12" s="3793">
        <v>20</v>
      </c>
      <c r="P12" s="3793">
        <f>L12*P2</f>
        <v>990.45319999999992</v>
      </c>
      <c r="Q12" s="3793">
        <f>P12/R12</f>
        <v>1055.0204516403919</v>
      </c>
      <c r="R12" s="3793">
        <v>0.93879999999999997</v>
      </c>
    </row>
    <row r="13" spans="1:18">
      <c r="A13" s="3790" t="s">
        <v>3465</v>
      </c>
      <c r="B13" s="3790" t="s">
        <v>3380</v>
      </c>
      <c r="C13" s="3790" t="s">
        <v>2481</v>
      </c>
      <c r="D13" s="3790">
        <v>15975.8</v>
      </c>
      <c r="E13" s="3790">
        <v>23963.7</v>
      </c>
      <c r="F13" s="3790" t="s">
        <v>3451</v>
      </c>
      <c r="G13" s="3790" t="s">
        <v>3432</v>
      </c>
      <c r="H13" s="3790" t="s">
        <v>3466</v>
      </c>
      <c r="I13" s="3790" t="s">
        <v>3467</v>
      </c>
      <c r="J13" s="3790">
        <v>1368.33</v>
      </c>
      <c r="K13" s="3790">
        <v>1368.33</v>
      </c>
      <c r="L13" s="3790">
        <v>571</v>
      </c>
      <c r="M13" s="3790">
        <f t="shared" si="0"/>
        <v>57.100399422877096</v>
      </c>
      <c r="N13" s="3790">
        <v>0</v>
      </c>
    </row>
    <row r="14" spans="1:18">
      <c r="A14" s="3790" t="s">
        <v>3468</v>
      </c>
      <c r="B14" s="3790" t="s">
        <v>3380</v>
      </c>
      <c r="C14" s="3790" t="s">
        <v>2481</v>
      </c>
      <c r="D14" s="3790">
        <v>7506.5</v>
      </c>
      <c r="E14" s="3790">
        <v>11259.75</v>
      </c>
      <c r="F14" s="3790" t="s">
        <v>3451</v>
      </c>
      <c r="G14" s="3790" t="s">
        <v>3432</v>
      </c>
      <c r="H14" s="3790" t="s">
        <v>3466</v>
      </c>
      <c r="I14" s="3790" t="s">
        <v>3469</v>
      </c>
      <c r="J14" s="3790">
        <v>1134.98</v>
      </c>
      <c r="K14" s="3790">
        <v>1134.98</v>
      </c>
      <c r="L14" s="3790">
        <v>1008</v>
      </c>
      <c r="M14" s="3790">
        <f t="shared" si="0"/>
        <v>100.80025532538467</v>
      </c>
      <c r="N14" s="3790">
        <v>0</v>
      </c>
    </row>
    <row r="15" spans="1:18" s="3794" customFormat="1">
      <c r="A15" s="3794" t="s">
        <v>3470</v>
      </c>
      <c r="B15" s="3794" t="s">
        <v>3380</v>
      </c>
      <c r="C15" s="3794" t="s">
        <v>2481</v>
      </c>
      <c r="D15" s="3794">
        <v>20000</v>
      </c>
      <c r="E15" s="3794">
        <v>20000</v>
      </c>
      <c r="F15" s="3794" t="s">
        <v>3471</v>
      </c>
      <c r="G15" s="3794" t="s">
        <v>3432</v>
      </c>
      <c r="H15" s="3794" t="s">
        <v>3472</v>
      </c>
      <c r="I15" s="3794" t="s">
        <v>3473</v>
      </c>
      <c r="J15" s="3794">
        <v>2284.42</v>
      </c>
      <c r="K15" s="3794">
        <v>2284.42</v>
      </c>
      <c r="L15" s="3794">
        <v>1142.21</v>
      </c>
      <c r="M15" s="3794">
        <f t="shared" si="0"/>
        <v>76.147714069999992</v>
      </c>
      <c r="N15" s="3794">
        <v>0</v>
      </c>
      <c r="O15" s="3794">
        <v>20</v>
      </c>
      <c r="P15" s="3794">
        <f>L15*P2</f>
        <v>1735.1312109999999</v>
      </c>
    </row>
    <row r="16" spans="1:18">
      <c r="A16" s="3790" t="s">
        <v>3474</v>
      </c>
      <c r="B16" s="3790" t="s">
        <v>3380</v>
      </c>
      <c r="C16" s="3790" t="s">
        <v>2481</v>
      </c>
      <c r="D16" s="3790">
        <v>113291.7</v>
      </c>
      <c r="E16" s="3790">
        <v>113291.7</v>
      </c>
      <c r="F16" s="3790" t="s">
        <v>3475</v>
      </c>
      <c r="G16" s="3790" t="s">
        <v>3432</v>
      </c>
      <c r="H16" s="3790" t="s">
        <v>3476</v>
      </c>
      <c r="I16" s="3790" t="s">
        <v>3477</v>
      </c>
      <c r="J16" s="3790">
        <v>6650.22</v>
      </c>
      <c r="K16" s="3790">
        <v>6650.22</v>
      </c>
      <c r="L16" s="3790">
        <v>587</v>
      </c>
      <c r="M16" s="3790">
        <f t="shared" si="0"/>
        <v>39.13351258212208</v>
      </c>
      <c r="N16" s="3790">
        <v>0</v>
      </c>
    </row>
    <row r="17" spans="1:18">
      <c r="A17" s="3790" t="s">
        <v>3478</v>
      </c>
      <c r="B17" s="3790" t="s">
        <v>3380</v>
      </c>
      <c r="C17" s="3790" t="s">
        <v>2481</v>
      </c>
      <c r="D17" s="3790">
        <v>30589.9</v>
      </c>
      <c r="E17" s="3790">
        <v>45884.85</v>
      </c>
      <c r="F17" s="3790" t="s">
        <v>3451</v>
      </c>
      <c r="G17" s="3790" t="s">
        <v>3432</v>
      </c>
      <c r="H17" s="3790" t="s">
        <v>3476</v>
      </c>
      <c r="I17" s="3790" t="s">
        <v>3479</v>
      </c>
      <c r="J17" s="3790">
        <v>2620.02</v>
      </c>
      <c r="K17" s="3790">
        <v>2620.02</v>
      </c>
      <c r="L17" s="3790">
        <v>571</v>
      </c>
      <c r="M17" s="3790">
        <f t="shared" si="0"/>
        <v>57.10017794762323</v>
      </c>
      <c r="N17" s="3790">
        <v>0</v>
      </c>
    </row>
    <row r="18" spans="1:18">
      <c r="A18" s="3790" t="s">
        <v>3480</v>
      </c>
      <c r="B18" s="3790" t="s">
        <v>3380</v>
      </c>
      <c r="C18" s="3790" t="s">
        <v>2481</v>
      </c>
      <c r="D18" s="3790">
        <v>54995.519999999997</v>
      </c>
      <c r="E18" s="3790">
        <v>82493.289999999994</v>
      </c>
      <c r="F18" s="3790" t="s">
        <v>3451</v>
      </c>
      <c r="G18" s="3790" t="s">
        <v>3432</v>
      </c>
      <c r="H18" s="3790" t="s">
        <v>3481</v>
      </c>
      <c r="I18" s="3790" t="s">
        <v>3482</v>
      </c>
      <c r="J18" s="3790">
        <v>8783.01</v>
      </c>
      <c r="K18" s="3790">
        <v>8783.01</v>
      </c>
      <c r="L18" s="3790">
        <v>1064.69</v>
      </c>
      <c r="M18" s="3790">
        <f t="shared" si="0"/>
        <v>106.46993203628222</v>
      </c>
      <c r="N18" s="3790">
        <v>0</v>
      </c>
    </row>
    <row r="19" spans="1:18" s="3793" customFormat="1">
      <c r="A19" s="3793" t="s">
        <v>3483</v>
      </c>
      <c r="B19" s="3793" t="s">
        <v>3380</v>
      </c>
      <c r="C19" s="3793" t="s">
        <v>2481</v>
      </c>
      <c r="D19" s="3793">
        <v>103092.9</v>
      </c>
      <c r="E19" s="3793">
        <v>175257.93</v>
      </c>
      <c r="F19" s="3793" t="s">
        <v>3484</v>
      </c>
      <c r="G19" s="3793" t="s">
        <v>3432</v>
      </c>
      <c r="H19" s="3793" t="s">
        <v>3485</v>
      </c>
      <c r="I19" s="3793" t="s">
        <v>3486</v>
      </c>
      <c r="J19" s="3793">
        <v>10287.64</v>
      </c>
      <c r="K19" s="3793">
        <v>10287.64</v>
      </c>
      <c r="L19" s="3793">
        <v>587</v>
      </c>
      <c r="M19" s="3793">
        <f t="shared" si="0"/>
        <v>66.526996124854378</v>
      </c>
      <c r="N19" s="3793">
        <v>0</v>
      </c>
      <c r="O19" s="3793">
        <v>20</v>
      </c>
      <c r="P19" s="3793">
        <f>L19*P2</f>
        <v>891.71169999999995</v>
      </c>
      <c r="Q19" s="3793">
        <f>P19/R19</f>
        <v>1097.2212378491447</v>
      </c>
      <c r="R19" s="3793">
        <v>0.81269999999999998</v>
      </c>
    </row>
    <row r="20" spans="1:18">
      <c r="A20" s="3790" t="s">
        <v>3487</v>
      </c>
      <c r="B20" s="3790" t="s">
        <v>3380</v>
      </c>
      <c r="C20" s="3790" t="s">
        <v>2481</v>
      </c>
      <c r="D20" s="3790">
        <v>21090.2</v>
      </c>
      <c r="E20" s="3790">
        <v>22144.7</v>
      </c>
      <c r="F20" s="3790">
        <v>1.54</v>
      </c>
      <c r="G20" s="3790" t="s">
        <v>3432</v>
      </c>
      <c r="H20" s="3790" t="s">
        <v>3488</v>
      </c>
      <c r="I20" s="3790" t="s">
        <v>3489</v>
      </c>
      <c r="J20" s="3790">
        <v>2163.09</v>
      </c>
      <c r="K20" s="3790">
        <v>2163.09</v>
      </c>
      <c r="L20" s="3790">
        <v>976.8</v>
      </c>
      <c r="M20" s="3790">
        <f t="shared" si="0"/>
        <v>68.376175204597402</v>
      </c>
      <c r="N20" s="3790">
        <v>0</v>
      </c>
    </row>
    <row r="21" spans="1:18">
      <c r="A21" s="3790" t="s">
        <v>3490</v>
      </c>
      <c r="B21" s="3790" t="s">
        <v>3380</v>
      </c>
      <c r="C21" s="3790" t="s">
        <v>2481</v>
      </c>
      <c r="D21" s="3790">
        <v>718046.1</v>
      </c>
      <c r="E21" s="3790">
        <v>646241.49</v>
      </c>
      <c r="F21" s="3790">
        <v>0.9</v>
      </c>
      <c r="G21" s="3790" t="s">
        <v>3432</v>
      </c>
      <c r="H21" s="3790" t="s">
        <v>3488</v>
      </c>
      <c r="I21" s="3790" t="s">
        <v>3491</v>
      </c>
      <c r="J21" s="3790">
        <v>61033.919999999998</v>
      </c>
      <c r="K21" s="3790">
        <v>61033.919999999998</v>
      </c>
      <c r="L21" s="3790">
        <v>944.44</v>
      </c>
      <c r="M21" s="3790">
        <f t="shared" si="0"/>
        <v>56.666951392675195</v>
      </c>
      <c r="N21" s="3790">
        <v>0</v>
      </c>
    </row>
    <row r="22" spans="1:18">
      <c r="A22" s="3790" t="s">
        <v>3492</v>
      </c>
      <c r="B22" s="3790" t="s">
        <v>3380</v>
      </c>
      <c r="C22" s="3790" t="s">
        <v>2481</v>
      </c>
      <c r="D22" s="3790">
        <v>54214.080000000002</v>
      </c>
      <c r="E22" s="3790">
        <v>108428.16</v>
      </c>
      <c r="F22" s="3790">
        <v>2</v>
      </c>
      <c r="G22" s="3790" t="s">
        <v>3432</v>
      </c>
      <c r="H22" s="3790" t="s">
        <v>3493</v>
      </c>
      <c r="I22" s="3790" t="s">
        <v>3494</v>
      </c>
      <c r="J22" s="3790">
        <v>8793.52</v>
      </c>
      <c r="K22" s="3790">
        <v>8793.52</v>
      </c>
      <c r="L22" s="3790">
        <v>811</v>
      </c>
      <c r="M22" s="3790">
        <f t="shared" si="0"/>
        <v>108.13382756656573</v>
      </c>
      <c r="N22" s="3790">
        <v>0</v>
      </c>
    </row>
    <row r="23" spans="1:18">
      <c r="A23" s="3790" t="s">
        <v>3495</v>
      </c>
      <c r="B23" s="3790" t="s">
        <v>3380</v>
      </c>
      <c r="C23" s="3790" t="s">
        <v>2481</v>
      </c>
      <c r="D23" s="3790">
        <v>76366.38</v>
      </c>
      <c r="E23" s="3790">
        <v>114549.57</v>
      </c>
      <c r="F23" s="3790">
        <v>1.5</v>
      </c>
      <c r="G23" s="3790" t="s">
        <v>3432</v>
      </c>
      <c r="H23" s="3790" t="s">
        <v>3496</v>
      </c>
      <c r="I23" s="3790" t="s">
        <v>3497</v>
      </c>
      <c r="J23" s="3790">
        <v>11431.52</v>
      </c>
      <c r="K23" s="3790">
        <v>11431.52</v>
      </c>
      <c r="L23" s="3790">
        <v>997.95</v>
      </c>
      <c r="M23" s="3790">
        <f t="shared" si="0"/>
        <v>99.795897597869626</v>
      </c>
      <c r="N23" s="3790">
        <v>0</v>
      </c>
    </row>
    <row r="24" spans="1:18">
      <c r="A24" s="3790" t="s">
        <v>3498</v>
      </c>
      <c r="B24" s="3790" t="s">
        <v>3380</v>
      </c>
      <c r="C24" s="3790" t="s">
        <v>2481</v>
      </c>
      <c r="D24" s="3790">
        <v>40148.6</v>
      </c>
      <c r="E24" s="3790">
        <v>60222.9</v>
      </c>
      <c r="F24" s="3790">
        <v>1.5</v>
      </c>
      <c r="G24" s="3790" t="s">
        <v>3432</v>
      </c>
      <c r="H24" s="3790" t="s">
        <v>3499</v>
      </c>
      <c r="I24" s="3790" t="s">
        <v>3500</v>
      </c>
      <c r="J24" s="3790">
        <v>3438.73</v>
      </c>
      <c r="K24" s="3790">
        <v>3438.73</v>
      </c>
      <c r="L24" s="3790">
        <v>571</v>
      </c>
      <c r="M24" s="3790">
        <f t="shared" si="0"/>
        <v>57.100325518199888</v>
      </c>
      <c r="N24" s="3790">
        <v>0</v>
      </c>
    </row>
    <row r="25" spans="1:18" s="3794" customFormat="1">
      <c r="A25" s="3794" t="s">
        <v>3501</v>
      </c>
      <c r="B25" s="3794" t="s">
        <v>3380</v>
      </c>
      <c r="C25" s="3794" t="s">
        <v>2481</v>
      </c>
      <c r="D25" s="3794">
        <v>19333.34</v>
      </c>
      <c r="E25" s="3794">
        <v>38666.69</v>
      </c>
      <c r="F25" s="3794">
        <v>2</v>
      </c>
      <c r="G25" s="3794" t="s">
        <v>3432</v>
      </c>
      <c r="H25" s="3794" t="s">
        <v>3502</v>
      </c>
      <c r="I25" s="3794" t="s">
        <v>3503</v>
      </c>
      <c r="J25" s="3794">
        <v>3477.1</v>
      </c>
      <c r="K25" s="3794">
        <v>3477.1</v>
      </c>
      <c r="L25" s="3794">
        <v>899.25</v>
      </c>
      <c r="M25" s="3794">
        <f t="shared" si="0"/>
        <v>119.90055815497993</v>
      </c>
      <c r="N25" s="3794">
        <v>0</v>
      </c>
      <c r="O25" s="3794">
        <v>20</v>
      </c>
      <c r="P25" s="3794">
        <f>L25*P2</f>
        <v>1366.050675</v>
      </c>
      <c r="Q25" s="3794">
        <f>P25/R25</f>
        <v>1814.8673774412116</v>
      </c>
      <c r="R25" s="3794">
        <v>0.75270000000000004</v>
      </c>
    </row>
    <row r="26" spans="1:18">
      <c r="A26" s="3790" t="s">
        <v>3504</v>
      </c>
      <c r="B26" s="3790" t="s">
        <v>3380</v>
      </c>
      <c r="C26" s="3790" t="s">
        <v>2481</v>
      </c>
      <c r="D26" s="3790">
        <v>95015.4</v>
      </c>
      <c r="E26" s="3790">
        <v>180529.26</v>
      </c>
      <c r="F26" s="3790">
        <v>1.9</v>
      </c>
      <c r="G26" s="3790" t="s">
        <v>3432</v>
      </c>
      <c r="H26" s="3790" t="s">
        <v>3505</v>
      </c>
      <c r="I26" s="3790" t="s">
        <v>3506</v>
      </c>
      <c r="J26" s="3790">
        <v>10308.219999999999</v>
      </c>
      <c r="K26" s="3790">
        <v>10308.219999999999</v>
      </c>
      <c r="L26" s="3790">
        <v>571</v>
      </c>
      <c r="M26" s="3790">
        <f t="shared" si="0"/>
        <v>72.327023065734593</v>
      </c>
      <c r="N26" s="3790">
        <v>0</v>
      </c>
    </row>
    <row r="27" spans="1:18">
      <c r="A27" s="3790" t="s">
        <v>3507</v>
      </c>
      <c r="B27" s="3790" t="s">
        <v>3380</v>
      </c>
      <c r="C27" s="3790" t="s">
        <v>2481</v>
      </c>
      <c r="D27" s="3790">
        <v>23200</v>
      </c>
      <c r="E27" s="3790">
        <v>32480</v>
      </c>
      <c r="F27" s="3790">
        <v>1.4</v>
      </c>
      <c r="G27" s="3790" t="s">
        <v>3508</v>
      </c>
      <c r="H27" s="3790" t="s">
        <v>3509</v>
      </c>
      <c r="I27" s="3790" t="s">
        <v>3510</v>
      </c>
      <c r="J27" s="3790">
        <v>2150.1799999999998</v>
      </c>
      <c r="K27" s="3790">
        <v>2150.1799999999998</v>
      </c>
      <c r="L27" s="3790">
        <v>662</v>
      </c>
      <c r="M27" s="3790">
        <f t="shared" si="0"/>
        <v>61.787090543103439</v>
      </c>
      <c r="N27" s="3790">
        <v>0</v>
      </c>
    </row>
    <row r="28" spans="1:18">
      <c r="A28" s="3790" t="s">
        <v>3511</v>
      </c>
      <c r="B28" s="3790" t="s">
        <v>3380</v>
      </c>
      <c r="C28" s="3790" t="s">
        <v>2481</v>
      </c>
      <c r="D28" s="3790">
        <v>57488.82</v>
      </c>
      <c r="E28" s="3790">
        <v>86233.23</v>
      </c>
      <c r="F28" s="3790" t="s">
        <v>3451</v>
      </c>
      <c r="G28" s="3790" t="s">
        <v>3432</v>
      </c>
      <c r="H28" s="3790" t="s">
        <v>3512</v>
      </c>
      <c r="I28" s="3790" t="s">
        <v>3513</v>
      </c>
      <c r="J28" s="3790">
        <v>7835.68</v>
      </c>
      <c r="K28" s="3790">
        <v>7835.68</v>
      </c>
      <c r="L28" s="3790">
        <v>908.66</v>
      </c>
      <c r="M28" s="3790">
        <f t="shared" si="0"/>
        <v>90.86658563525917</v>
      </c>
      <c r="N28" s="3790">
        <v>0</v>
      </c>
    </row>
    <row r="29" spans="1:18">
      <c r="A29" s="3790" t="s">
        <v>3514</v>
      </c>
      <c r="B29" s="3790" t="s">
        <v>3380</v>
      </c>
      <c r="C29" s="3790" t="s">
        <v>2481</v>
      </c>
      <c r="D29" s="3790">
        <v>7422.43</v>
      </c>
      <c r="E29" s="3790">
        <v>5937.95</v>
      </c>
      <c r="F29" s="3790" t="s">
        <v>3431</v>
      </c>
      <c r="G29" s="3790" t="s">
        <v>3432</v>
      </c>
      <c r="H29" s="3790" t="s">
        <v>3512</v>
      </c>
      <c r="I29" s="3790" t="s">
        <v>3515</v>
      </c>
      <c r="J29" s="3790">
        <v>844.63</v>
      </c>
      <c r="K29" s="3790">
        <v>844.63</v>
      </c>
      <c r="L29" s="3790">
        <v>1422.43</v>
      </c>
      <c r="M29" s="3790">
        <f t="shared" si="0"/>
        <v>75.863225668682631</v>
      </c>
      <c r="N29" s="3790">
        <v>0</v>
      </c>
    </row>
    <row r="30" spans="1:18">
      <c r="A30" s="3790" t="s">
        <v>3516</v>
      </c>
      <c r="B30" s="3790" t="s">
        <v>3380</v>
      </c>
      <c r="C30" s="3790" t="s">
        <v>2481</v>
      </c>
      <c r="D30" s="3790">
        <v>23652.31</v>
      </c>
      <c r="E30" s="3790">
        <v>23652.31</v>
      </c>
      <c r="F30" s="3790">
        <v>1</v>
      </c>
      <c r="G30" s="3790" t="s">
        <v>3432</v>
      </c>
      <c r="H30" s="3790" t="s">
        <v>3512</v>
      </c>
      <c r="I30" s="3790" t="s">
        <v>3517</v>
      </c>
      <c r="J30" s="3790">
        <v>2689.6</v>
      </c>
      <c r="K30" s="3790">
        <v>2689.6</v>
      </c>
      <c r="L30" s="3790">
        <v>1137.1400000000001</v>
      </c>
      <c r="M30" s="3790">
        <f t="shared" si="0"/>
        <v>75.809746785831891</v>
      </c>
      <c r="N30" s="3790">
        <v>0</v>
      </c>
    </row>
    <row r="31" spans="1:18">
      <c r="A31" s="3790" t="s">
        <v>3518</v>
      </c>
      <c r="B31" s="3790" t="s">
        <v>3380</v>
      </c>
      <c r="C31" s="3790" t="s">
        <v>2481</v>
      </c>
      <c r="D31" s="3790">
        <v>23170.400000000001</v>
      </c>
      <c r="E31" s="3790">
        <v>23170.400000000001</v>
      </c>
      <c r="F31" s="3790">
        <v>1</v>
      </c>
      <c r="G31" s="3790" t="s">
        <v>3432</v>
      </c>
      <c r="H31" s="3790" t="s">
        <v>3512</v>
      </c>
      <c r="I31" s="3790" t="s">
        <v>3515</v>
      </c>
      <c r="J31" s="3790">
        <v>2632.78</v>
      </c>
      <c r="K31" s="3790">
        <v>2632.78</v>
      </c>
      <c r="L31" s="3790">
        <v>1136.27</v>
      </c>
      <c r="M31" s="3790">
        <f t="shared" si="0"/>
        <v>75.751624598625824</v>
      </c>
      <c r="N31" s="3790">
        <v>0</v>
      </c>
    </row>
    <row r="32" spans="1:18">
      <c r="A32" s="3790" t="s">
        <v>3519</v>
      </c>
      <c r="B32" s="3790" t="s">
        <v>3380</v>
      </c>
      <c r="C32" s="3790" t="s">
        <v>2481</v>
      </c>
      <c r="D32" s="3790">
        <v>82052.600000000006</v>
      </c>
      <c r="E32" s="3790">
        <v>155899.94</v>
      </c>
      <c r="F32" s="3790">
        <v>1.9</v>
      </c>
      <c r="G32" s="3790" t="s">
        <v>3432</v>
      </c>
      <c r="H32" s="3790" t="s">
        <v>3520</v>
      </c>
      <c r="I32" s="3790" t="s">
        <v>3521</v>
      </c>
      <c r="J32" s="3790">
        <v>16837.189999999999</v>
      </c>
      <c r="K32" s="3790">
        <v>16837.189999999999</v>
      </c>
      <c r="L32" s="3790">
        <v>1080</v>
      </c>
      <c r="M32" s="3790">
        <f t="shared" si="0"/>
        <v>136.80065540031634</v>
      </c>
      <c r="N32" s="3790">
        <v>0</v>
      </c>
    </row>
    <row r="33" spans="1:14">
      <c r="A33" s="3790" t="s">
        <v>3522</v>
      </c>
      <c r="B33" s="3790" t="s">
        <v>3380</v>
      </c>
      <c r="C33" s="3790" t="s">
        <v>2481</v>
      </c>
      <c r="D33" s="3790">
        <v>7844</v>
      </c>
      <c r="E33" s="3790">
        <v>11766</v>
      </c>
      <c r="F33" s="3790">
        <v>1.5</v>
      </c>
      <c r="G33" s="3790" t="s">
        <v>3432</v>
      </c>
      <c r="H33" s="3790" t="s">
        <v>3520</v>
      </c>
      <c r="I33" s="3790" t="s">
        <v>3523</v>
      </c>
      <c r="J33" s="3790">
        <v>854.21</v>
      </c>
      <c r="K33" s="3790">
        <v>854.21</v>
      </c>
      <c r="L33" s="3790">
        <v>726</v>
      </c>
      <c r="M33" s="3790">
        <f t="shared" si="0"/>
        <v>72.600227014278417</v>
      </c>
      <c r="N33" s="3790">
        <v>0</v>
      </c>
    </row>
    <row r="34" spans="1:14">
      <c r="A34" s="3790" t="s">
        <v>3524</v>
      </c>
      <c r="B34" s="3790" t="s">
        <v>3380</v>
      </c>
      <c r="C34" s="3790" t="s">
        <v>2481</v>
      </c>
      <c r="D34" s="3790">
        <v>49454.7</v>
      </c>
      <c r="E34" s="3790">
        <v>98909.1</v>
      </c>
      <c r="F34" s="3790">
        <v>2</v>
      </c>
      <c r="G34" s="3790" t="s">
        <v>3432</v>
      </c>
      <c r="H34" s="3790" t="s">
        <v>3525</v>
      </c>
      <c r="I34" s="3790" t="s">
        <v>3526</v>
      </c>
      <c r="J34" s="3790">
        <v>6448.89</v>
      </c>
      <c r="K34" s="3790">
        <v>6448.89</v>
      </c>
      <c r="L34" s="3790">
        <v>652</v>
      </c>
      <c r="M34" s="3790">
        <f t="shared" si="0"/>
        <v>86.933729176397804</v>
      </c>
      <c r="N34" s="3790">
        <v>0</v>
      </c>
    </row>
    <row r="35" spans="1:14">
      <c r="A35" s="3790" t="s">
        <v>3527</v>
      </c>
      <c r="B35" s="3790" t="s">
        <v>3380</v>
      </c>
      <c r="C35" s="3790" t="s">
        <v>2481</v>
      </c>
      <c r="D35" s="3790">
        <v>13006.3</v>
      </c>
      <c r="E35" s="3790">
        <v>9104.41</v>
      </c>
      <c r="F35" s="3790" t="s">
        <v>3528</v>
      </c>
      <c r="G35" s="3790" t="s">
        <v>3432</v>
      </c>
      <c r="H35" s="3790" t="s">
        <v>3529</v>
      </c>
      <c r="I35" s="3790" t="s">
        <v>3530</v>
      </c>
      <c r="J35" s="3790">
        <v>742.66</v>
      </c>
      <c r="K35" s="3790">
        <v>742.66</v>
      </c>
      <c r="L35" s="3790">
        <v>815.71</v>
      </c>
      <c r="M35" s="3790">
        <f t="shared" si="0"/>
        <v>38.066870839516227</v>
      </c>
      <c r="N35" s="3790">
        <v>0</v>
      </c>
    </row>
    <row r="36" spans="1:14">
      <c r="A36" s="3790" t="s">
        <v>3531</v>
      </c>
      <c r="B36" s="3790" t="s">
        <v>3380</v>
      </c>
      <c r="C36" s="3790" t="s">
        <v>2481</v>
      </c>
      <c r="D36" s="3790">
        <v>6782.77</v>
      </c>
      <c r="E36" s="3790">
        <v>10174.16</v>
      </c>
      <c r="F36" s="3790" t="s">
        <v>3451</v>
      </c>
      <c r="G36" s="3790" t="s">
        <v>3432</v>
      </c>
      <c r="H36" s="3790" t="s">
        <v>3532</v>
      </c>
      <c r="I36" s="3790" t="s">
        <v>3533</v>
      </c>
      <c r="J36" s="3790">
        <v>768.15</v>
      </c>
      <c r="K36" s="3790">
        <v>768.15</v>
      </c>
      <c r="L36" s="3790">
        <v>755</v>
      </c>
      <c r="M36" s="3790">
        <f t="shared" si="0"/>
        <v>75.500505029656011</v>
      </c>
      <c r="N36" s="3790">
        <v>0</v>
      </c>
    </row>
    <row r="37" spans="1:14">
      <c r="A37" s="3790" t="s">
        <v>3534</v>
      </c>
      <c r="B37" s="3790" t="s">
        <v>3380</v>
      </c>
      <c r="C37" s="3790" t="s">
        <v>2481</v>
      </c>
      <c r="D37" s="3790">
        <v>106037.9</v>
      </c>
      <c r="E37" s="3790">
        <v>212075.8</v>
      </c>
      <c r="F37" s="3790" t="s">
        <v>3535</v>
      </c>
      <c r="G37" s="3790" t="s">
        <v>3432</v>
      </c>
      <c r="H37" s="3790" t="s">
        <v>3536</v>
      </c>
      <c r="I37" s="3790" t="s">
        <v>3537</v>
      </c>
      <c r="J37" s="3790">
        <v>21377.24</v>
      </c>
      <c r="K37" s="3790">
        <v>21377.24</v>
      </c>
      <c r="L37" s="3790">
        <v>1008</v>
      </c>
      <c r="M37" s="3790">
        <f t="shared" si="0"/>
        <v>134.40066797626133</v>
      </c>
      <c r="N37" s="3790">
        <v>0</v>
      </c>
    </row>
    <row r="38" spans="1:14">
      <c r="A38" s="3790" t="s">
        <v>3538</v>
      </c>
      <c r="B38" s="3790" t="s">
        <v>3380</v>
      </c>
      <c r="C38" s="3790" t="s">
        <v>2481</v>
      </c>
      <c r="D38" s="3790">
        <v>132895.59</v>
      </c>
      <c r="E38" s="3790">
        <v>132895.59</v>
      </c>
      <c r="F38" s="3790" t="s">
        <v>3539</v>
      </c>
      <c r="G38" s="3790" t="s">
        <v>3432</v>
      </c>
      <c r="H38" s="3790" t="s">
        <v>3540</v>
      </c>
      <c r="I38" s="3790" t="s">
        <v>3541</v>
      </c>
      <c r="J38" s="3790">
        <v>17928.64</v>
      </c>
      <c r="K38" s="3790">
        <v>17928.64</v>
      </c>
      <c r="L38" s="3790">
        <v>1349.08</v>
      </c>
      <c r="M38" s="3790">
        <f t="shared" si="0"/>
        <v>89.938924450389962</v>
      </c>
      <c r="N38" s="3790">
        <v>0</v>
      </c>
    </row>
    <row r="39" spans="1:14">
      <c r="A39" s="3790" t="s">
        <v>3542</v>
      </c>
      <c r="B39" s="3790" t="s">
        <v>3380</v>
      </c>
      <c r="C39" s="3790" t="s">
        <v>2481</v>
      </c>
      <c r="D39" s="3790">
        <v>128009.8</v>
      </c>
      <c r="E39" s="3790">
        <v>256019.6</v>
      </c>
      <c r="F39" s="3790" t="s">
        <v>3543</v>
      </c>
      <c r="G39" s="3790" t="s">
        <v>3432</v>
      </c>
      <c r="H39" s="3790" t="s">
        <v>3544</v>
      </c>
      <c r="I39" s="3790" t="s">
        <v>3441</v>
      </c>
      <c r="J39" s="3790">
        <v>14618.71</v>
      </c>
      <c r="K39" s="3790">
        <v>14618.72</v>
      </c>
      <c r="L39" s="3790">
        <v>571</v>
      </c>
      <c r="M39" s="3790">
        <f t="shared" si="0"/>
        <v>76.133718374686921</v>
      </c>
      <c r="N39" s="3790">
        <v>0</v>
      </c>
    </row>
    <row r="40" spans="1:14">
      <c r="A40" s="3790" t="s">
        <v>3545</v>
      </c>
      <c r="B40" s="3790" t="s">
        <v>3380</v>
      </c>
      <c r="C40" s="3790" t="s">
        <v>2481</v>
      </c>
      <c r="D40" s="3790">
        <v>32265.9</v>
      </c>
      <c r="E40" s="3790">
        <v>38719.08</v>
      </c>
      <c r="F40" s="3790" t="s">
        <v>3546</v>
      </c>
      <c r="G40" s="3790" t="s">
        <v>3432</v>
      </c>
      <c r="H40" s="3790" t="s">
        <v>3547</v>
      </c>
      <c r="I40" s="3790" t="s">
        <v>3548</v>
      </c>
      <c r="J40" s="3790">
        <v>2578.69</v>
      </c>
      <c r="K40" s="3790">
        <v>2578.69</v>
      </c>
      <c r="L40" s="3790">
        <v>666</v>
      </c>
      <c r="M40" s="3790">
        <f t="shared" si="0"/>
        <v>53.280251358245081</v>
      </c>
      <c r="N40" s="3790">
        <v>0</v>
      </c>
    </row>
    <row r="41" spans="1:14">
      <c r="A41" s="3790" t="s">
        <v>3549</v>
      </c>
      <c r="B41" s="3790" t="s">
        <v>3380</v>
      </c>
      <c r="C41" s="3790" t="s">
        <v>2481</v>
      </c>
      <c r="D41" s="3790">
        <v>145654</v>
      </c>
      <c r="E41" s="3790">
        <v>356072.51</v>
      </c>
      <c r="F41" s="3790" t="s">
        <v>3550</v>
      </c>
      <c r="G41" s="3790" t="s">
        <v>3432</v>
      </c>
      <c r="H41" s="3790" t="s">
        <v>3551</v>
      </c>
      <c r="I41" s="3790" t="s">
        <v>3521</v>
      </c>
      <c r="J41" s="3790">
        <v>38455.83</v>
      </c>
      <c r="K41" s="3790">
        <v>38455.83</v>
      </c>
      <c r="L41" s="3790">
        <v>1080</v>
      </c>
      <c r="M41" s="3790">
        <f t="shared" si="0"/>
        <v>176.01540765169511</v>
      </c>
      <c r="N41" s="3790">
        <v>0</v>
      </c>
    </row>
    <row r="42" spans="1:14">
      <c r="A42" s="3790" t="s">
        <v>3552</v>
      </c>
      <c r="B42" s="3790" t="s">
        <v>3380</v>
      </c>
      <c r="C42" s="3790" t="s">
        <v>2481</v>
      </c>
      <c r="D42" s="3790">
        <v>12863.4</v>
      </c>
      <c r="E42" s="3790">
        <v>19295.099999999999</v>
      </c>
      <c r="F42" s="3790" t="s">
        <v>3451</v>
      </c>
      <c r="G42" s="3790" t="s">
        <v>3432</v>
      </c>
      <c r="H42" s="3790" t="s">
        <v>3553</v>
      </c>
      <c r="I42" s="3790" t="s">
        <v>3554</v>
      </c>
      <c r="J42" s="3790">
        <v>1132.6199999999999</v>
      </c>
      <c r="K42" s="3790">
        <v>1132.6199999999999</v>
      </c>
      <c r="L42" s="3790">
        <v>587</v>
      </c>
      <c r="M42" s="3790">
        <f t="shared" si="0"/>
        <v>58.700170670273792</v>
      </c>
      <c r="N42" s="3790">
        <v>0</v>
      </c>
    </row>
    <row r="43" spans="1:14">
      <c r="A43" s="3790" t="s">
        <v>3555</v>
      </c>
      <c r="B43" s="3790" t="s">
        <v>3380</v>
      </c>
      <c r="C43" s="3790" t="s">
        <v>2481</v>
      </c>
      <c r="D43" s="3790">
        <v>34162.300000000003</v>
      </c>
      <c r="E43" s="3790">
        <v>68324.600000000006</v>
      </c>
      <c r="F43" s="3790" t="s">
        <v>3535</v>
      </c>
      <c r="G43" s="3790" t="s">
        <v>3432</v>
      </c>
      <c r="H43" s="3790" t="s">
        <v>3556</v>
      </c>
      <c r="I43" s="3790" t="s">
        <v>3557</v>
      </c>
      <c r="J43" s="3790">
        <v>4550.42</v>
      </c>
      <c r="K43" s="3790">
        <v>4550.42</v>
      </c>
      <c r="L43" s="3790">
        <v>666</v>
      </c>
      <c r="M43" s="3790">
        <f t="shared" si="0"/>
        <v>88.800476004250285</v>
      </c>
      <c r="N43" s="3790">
        <v>0</v>
      </c>
    </row>
    <row r="44" spans="1:14">
      <c r="A44" s="3790" t="s">
        <v>3558</v>
      </c>
      <c r="B44" s="3790" t="s">
        <v>3380</v>
      </c>
      <c r="C44" s="3790" t="s">
        <v>2481</v>
      </c>
      <c r="D44" s="3790">
        <v>23044.5</v>
      </c>
      <c r="E44" s="3790">
        <v>46089</v>
      </c>
      <c r="F44" s="3790" t="s">
        <v>3535</v>
      </c>
      <c r="G44" s="3790" t="s">
        <v>3432</v>
      </c>
      <c r="H44" s="3790" t="s">
        <v>3559</v>
      </c>
      <c r="I44" s="3790" t="s">
        <v>3560</v>
      </c>
      <c r="J44" s="3790">
        <v>3346.06</v>
      </c>
      <c r="K44" s="3790">
        <v>3346.06</v>
      </c>
      <c r="L44" s="3790">
        <v>726</v>
      </c>
      <c r="M44" s="3790">
        <f t="shared" si="0"/>
        <v>96.800443498448644</v>
      </c>
      <c r="N44" s="3790">
        <v>0</v>
      </c>
    </row>
    <row r="45" spans="1:14">
      <c r="A45" s="3790" t="s">
        <v>3561</v>
      </c>
      <c r="B45" s="3790" t="s">
        <v>3380</v>
      </c>
      <c r="C45" s="3790" t="s">
        <v>2481</v>
      </c>
      <c r="D45" s="3790">
        <v>110807.97</v>
      </c>
      <c r="E45" s="3790">
        <v>149590.76</v>
      </c>
      <c r="F45" s="3790" t="s">
        <v>3562</v>
      </c>
      <c r="G45" s="3790" t="s">
        <v>3432</v>
      </c>
      <c r="H45" s="3790" t="s">
        <v>3563</v>
      </c>
      <c r="I45" s="3790" t="s">
        <v>3564</v>
      </c>
      <c r="J45" s="3790">
        <v>11293.36</v>
      </c>
      <c r="K45" s="3790">
        <v>11293.36</v>
      </c>
      <c r="L45" s="3790">
        <v>754.95</v>
      </c>
      <c r="M45" s="3790">
        <f t="shared" si="0"/>
        <v>67.945873489064013</v>
      </c>
      <c r="N45" s="3790">
        <v>0</v>
      </c>
    </row>
    <row r="46" spans="1:14">
      <c r="A46" s="3790" t="s">
        <v>3565</v>
      </c>
      <c r="B46" s="3790" t="s">
        <v>3380</v>
      </c>
      <c r="C46" s="3790" t="s">
        <v>2481</v>
      </c>
      <c r="D46" s="3790">
        <v>16922.8</v>
      </c>
      <c r="E46" s="3790">
        <v>33845.599999999999</v>
      </c>
      <c r="F46" s="3790" t="s">
        <v>3535</v>
      </c>
      <c r="G46" s="3790" t="s">
        <v>3432</v>
      </c>
      <c r="H46" s="3790" t="s">
        <v>3566</v>
      </c>
      <c r="I46" s="3790" t="s">
        <v>3567</v>
      </c>
      <c r="J46" s="3790">
        <v>2254.12</v>
      </c>
      <c r="K46" s="3790">
        <v>2254.12</v>
      </c>
      <c r="L46" s="3790">
        <v>666</v>
      </c>
      <c r="M46" s="3790">
        <f t="shared" si="0"/>
        <v>88.800563760134253</v>
      </c>
      <c r="N46" s="3790">
        <v>0</v>
      </c>
    </row>
    <row r="47" spans="1:14">
      <c r="A47" s="3790" t="s">
        <v>3568</v>
      </c>
      <c r="B47" s="3790" t="s">
        <v>3380</v>
      </c>
      <c r="C47" s="3790" t="s">
        <v>2481</v>
      </c>
      <c r="D47" s="3790">
        <v>33333</v>
      </c>
      <c r="E47" s="3790">
        <v>40000</v>
      </c>
      <c r="F47" s="3790" t="s">
        <v>3546</v>
      </c>
      <c r="G47" s="3790" t="s">
        <v>3432</v>
      </c>
      <c r="H47" s="3790" t="s">
        <v>3566</v>
      </c>
      <c r="I47" s="3790" t="s">
        <v>3569</v>
      </c>
      <c r="J47" s="3790">
        <v>5935.6</v>
      </c>
      <c r="K47" s="3790">
        <v>5935.6</v>
      </c>
      <c r="L47" s="3790">
        <v>1483.9</v>
      </c>
      <c r="M47" s="3790">
        <f t="shared" si="0"/>
        <v>118.71378069780698</v>
      </c>
      <c r="N47" s="3790">
        <v>0</v>
      </c>
    </row>
    <row r="48" spans="1:14">
      <c r="A48" s="3790" t="s">
        <v>3570</v>
      </c>
      <c r="B48" s="3790" t="s">
        <v>3380</v>
      </c>
      <c r="C48" s="3790" t="s">
        <v>2481</v>
      </c>
      <c r="D48" s="3790">
        <v>471181.9</v>
      </c>
      <c r="E48" s="3790">
        <v>942363.8</v>
      </c>
      <c r="F48" s="3790" t="s">
        <v>3535</v>
      </c>
      <c r="G48" s="3790" t="s">
        <v>3432</v>
      </c>
      <c r="H48" s="3790" t="s">
        <v>3571</v>
      </c>
      <c r="I48" s="3790" t="s">
        <v>3572</v>
      </c>
      <c r="J48" s="3790">
        <v>80100.92</v>
      </c>
      <c r="K48" s="3790">
        <v>80100.92</v>
      </c>
      <c r="L48" s="3790">
        <v>850</v>
      </c>
      <c r="M48" s="3790">
        <f t="shared" si="0"/>
        <v>113.33389575533353</v>
      </c>
      <c r="N48" s="3790">
        <v>0</v>
      </c>
    </row>
    <row r="49" spans="1:14">
      <c r="A49" s="3790" t="s">
        <v>3573</v>
      </c>
      <c r="B49" s="3790" t="s">
        <v>3380</v>
      </c>
      <c r="C49" s="3790" t="s">
        <v>2481</v>
      </c>
      <c r="D49" s="3790">
        <v>22695.8</v>
      </c>
      <c r="E49" s="3790">
        <v>40852.44</v>
      </c>
      <c r="F49" s="3790" t="s">
        <v>3574</v>
      </c>
      <c r="G49" s="3790" t="s">
        <v>3432</v>
      </c>
      <c r="H49" s="3790" t="s">
        <v>3575</v>
      </c>
      <c r="I49" s="3790" t="s">
        <v>3444</v>
      </c>
      <c r="J49" s="3790">
        <v>4412.0600000000004</v>
      </c>
      <c r="K49" s="3790">
        <v>4412.0600000000004</v>
      </c>
      <c r="L49" s="3790">
        <v>1080</v>
      </c>
      <c r="M49" s="3790">
        <f t="shared" si="0"/>
        <v>129.60054460296621</v>
      </c>
      <c r="N49" s="3790">
        <v>0</v>
      </c>
    </row>
    <row r="50" spans="1:14">
      <c r="A50" s="3790" t="s">
        <v>3576</v>
      </c>
      <c r="B50" s="3790" t="s">
        <v>3380</v>
      </c>
      <c r="C50" s="3790" t="s">
        <v>2481</v>
      </c>
      <c r="D50" s="3790">
        <v>14690.2</v>
      </c>
      <c r="E50" s="3790">
        <v>29380.400000000001</v>
      </c>
      <c r="F50" s="3790" t="s">
        <v>3535</v>
      </c>
      <c r="G50" s="3790" t="s">
        <v>3432</v>
      </c>
      <c r="H50" s="3790" t="s">
        <v>3577</v>
      </c>
      <c r="I50" s="3790" t="s">
        <v>3578</v>
      </c>
      <c r="J50" s="3790">
        <v>1956.73</v>
      </c>
      <c r="K50" s="3790">
        <v>1956.73</v>
      </c>
      <c r="L50" s="3790">
        <v>666</v>
      </c>
      <c r="M50" s="3790">
        <f t="shared" si="0"/>
        <v>88.800233427727321</v>
      </c>
      <c r="N50" s="3790">
        <v>0</v>
      </c>
    </row>
    <row r="51" spans="1:14">
      <c r="A51" s="3790" t="s">
        <v>3579</v>
      </c>
      <c r="B51" s="3790" t="s">
        <v>3380</v>
      </c>
      <c r="C51" s="3790" t="s">
        <v>2481</v>
      </c>
      <c r="D51" s="3790">
        <v>20195.2</v>
      </c>
      <c r="E51" s="3790">
        <v>24234.240000000002</v>
      </c>
      <c r="F51" s="3790" t="s">
        <v>3546</v>
      </c>
      <c r="G51" s="3790" t="s">
        <v>3432</v>
      </c>
      <c r="H51" s="3790" t="s">
        <v>3577</v>
      </c>
      <c r="I51" s="3790" t="s">
        <v>3580</v>
      </c>
      <c r="J51" s="3790">
        <v>1614</v>
      </c>
      <c r="K51" s="3790">
        <v>1614</v>
      </c>
      <c r="L51" s="3790">
        <v>666</v>
      </c>
      <c r="M51" s="3790">
        <f t="shared" si="0"/>
        <v>53.280253723657104</v>
      </c>
      <c r="N51" s="3790">
        <v>0</v>
      </c>
    </row>
    <row r="52" spans="1:14">
      <c r="A52" s="3790" t="s">
        <v>3581</v>
      </c>
      <c r="B52" s="3790" t="s">
        <v>3380</v>
      </c>
      <c r="C52" s="3790" t="s">
        <v>2481</v>
      </c>
      <c r="D52" s="3790">
        <v>12168</v>
      </c>
      <c r="E52" s="3790">
        <v>12168</v>
      </c>
      <c r="F52" s="3790" t="s">
        <v>3475</v>
      </c>
      <c r="G52" s="3790" t="s">
        <v>3432</v>
      </c>
      <c r="H52" s="3790" t="s">
        <v>3577</v>
      </c>
      <c r="I52" s="3790" t="s">
        <v>3521</v>
      </c>
      <c r="J52" s="3790">
        <v>883.4</v>
      </c>
      <c r="K52" s="3790">
        <v>883.4</v>
      </c>
      <c r="L52" s="3790">
        <v>726</v>
      </c>
      <c r="M52" s="3790">
        <f t="shared" si="0"/>
        <v>48.40041732412886</v>
      </c>
      <c r="N52" s="3790">
        <v>0</v>
      </c>
    </row>
    <row r="53" spans="1:14">
      <c r="A53" s="3790" t="s">
        <v>3582</v>
      </c>
      <c r="B53" s="3790" t="s">
        <v>3380</v>
      </c>
      <c r="C53" s="3790" t="s">
        <v>2481</v>
      </c>
      <c r="D53" s="3790">
        <v>66050.399999999994</v>
      </c>
      <c r="E53" s="3790">
        <v>99075.6</v>
      </c>
      <c r="F53" s="3790" t="s">
        <v>3451</v>
      </c>
      <c r="G53" s="3790" t="s">
        <v>3432</v>
      </c>
      <c r="H53" s="3790" t="s">
        <v>3583</v>
      </c>
      <c r="I53" s="3790" t="s">
        <v>3584</v>
      </c>
      <c r="J53" s="3790">
        <v>5815.74</v>
      </c>
      <c r="K53" s="3790">
        <v>5815.74</v>
      </c>
      <c r="L53" s="3790">
        <v>587</v>
      </c>
      <c r="M53" s="3790">
        <f t="shared" si="0"/>
        <v>58.700316512844736</v>
      </c>
      <c r="N53" s="3790">
        <v>0</v>
      </c>
    </row>
    <row r="54" spans="1:14">
      <c r="A54" s="3790" t="s">
        <v>3585</v>
      </c>
      <c r="B54" s="3790" t="s">
        <v>3380</v>
      </c>
      <c r="C54" s="3790" t="s">
        <v>2481</v>
      </c>
      <c r="D54" s="3790">
        <v>39596.699999999997</v>
      </c>
      <c r="E54" s="3790">
        <v>59395.05</v>
      </c>
      <c r="F54" s="3790" t="s">
        <v>3451</v>
      </c>
      <c r="G54" s="3790" t="s">
        <v>3432</v>
      </c>
      <c r="H54" s="3790" t="s">
        <v>3583</v>
      </c>
      <c r="I54" s="3790" t="s">
        <v>3586</v>
      </c>
      <c r="J54" s="3790">
        <v>3486.49</v>
      </c>
      <c r="K54" s="3790">
        <v>3486.49</v>
      </c>
      <c r="L54" s="3790">
        <v>587</v>
      </c>
      <c r="M54" s="3790">
        <f t="shared" si="0"/>
        <v>58.700303012624786</v>
      </c>
      <c r="N54" s="3790">
        <v>0</v>
      </c>
    </row>
    <row r="55" spans="1:14">
      <c r="A55" s="3790" t="s">
        <v>3587</v>
      </c>
      <c r="B55" s="3790" t="s">
        <v>3380</v>
      </c>
      <c r="C55" s="3790" t="s">
        <v>2481</v>
      </c>
      <c r="D55" s="3790">
        <v>33256</v>
      </c>
      <c r="E55" s="3790">
        <v>49884</v>
      </c>
      <c r="F55" s="3790" t="s">
        <v>3451</v>
      </c>
      <c r="G55" s="3790" t="s">
        <v>3432</v>
      </c>
      <c r="H55" s="3790" t="s">
        <v>3583</v>
      </c>
      <c r="I55" s="3790" t="s">
        <v>3588</v>
      </c>
      <c r="J55" s="3790">
        <v>2848.38</v>
      </c>
      <c r="K55" s="3790">
        <v>2848.38</v>
      </c>
      <c r="L55" s="3790">
        <v>571</v>
      </c>
      <c r="M55" s="3790">
        <f t="shared" si="0"/>
        <v>57.100357667789268</v>
      </c>
      <c r="N55" s="3790">
        <v>0</v>
      </c>
    </row>
    <row r="56" spans="1:14">
      <c r="A56" s="3790" t="s">
        <v>3589</v>
      </c>
      <c r="B56" s="3790" t="s">
        <v>3380</v>
      </c>
      <c r="C56" s="3790" t="s">
        <v>2481</v>
      </c>
      <c r="D56" s="3790">
        <v>73285.399999999994</v>
      </c>
      <c r="E56" s="3790">
        <v>109928.1</v>
      </c>
      <c r="F56" s="3790" t="s">
        <v>3451</v>
      </c>
      <c r="G56" s="3790" t="s">
        <v>3432</v>
      </c>
      <c r="H56" s="3790" t="s">
        <v>3590</v>
      </c>
      <c r="I56" s="3790" t="s">
        <v>3591</v>
      </c>
      <c r="J56" s="3790">
        <v>6276.89</v>
      </c>
      <c r="K56" s="3790">
        <v>6276.89</v>
      </c>
      <c r="L56" s="3790">
        <v>571</v>
      </c>
      <c r="M56" s="3790">
        <f t="shared" si="0"/>
        <v>57.100244472978254</v>
      </c>
      <c r="N56" s="3790">
        <v>0</v>
      </c>
    </row>
    <row r="57" spans="1:14">
      <c r="A57" s="3790" t="s">
        <v>3592</v>
      </c>
      <c r="B57" s="3790" t="s">
        <v>3380</v>
      </c>
      <c r="C57" s="3790" t="s">
        <v>2481</v>
      </c>
      <c r="D57" s="3790">
        <v>40148.6</v>
      </c>
      <c r="E57" s="3790">
        <v>60222.9</v>
      </c>
      <c r="F57" s="3790" t="s">
        <v>3451</v>
      </c>
      <c r="G57" s="3790" t="s">
        <v>3432</v>
      </c>
      <c r="H57" s="3790" t="s">
        <v>3590</v>
      </c>
      <c r="I57" s="3790" t="s">
        <v>3500</v>
      </c>
      <c r="J57" s="3790">
        <v>3438.73</v>
      </c>
      <c r="K57" s="3790">
        <v>3438.73</v>
      </c>
      <c r="L57" s="3790">
        <v>571</v>
      </c>
      <c r="M57" s="3790">
        <f t="shared" si="0"/>
        <v>57.100325518199888</v>
      </c>
      <c r="N57" s="3790">
        <v>0</v>
      </c>
    </row>
    <row r="58" spans="1:14">
      <c r="A58" s="3790" t="s">
        <v>3593</v>
      </c>
      <c r="B58" s="3790" t="s">
        <v>3380</v>
      </c>
      <c r="C58" s="3790" t="s">
        <v>2481</v>
      </c>
      <c r="D58" s="3790">
        <v>25694.7</v>
      </c>
      <c r="E58" s="3790">
        <v>38542.050000000003</v>
      </c>
      <c r="F58" s="3790" t="s">
        <v>3451</v>
      </c>
      <c r="G58" s="3790" t="s">
        <v>3432</v>
      </c>
      <c r="H58" s="3790" t="s">
        <v>3590</v>
      </c>
      <c r="I58" s="3790" t="s">
        <v>3479</v>
      </c>
      <c r="J58" s="3790">
        <v>2200.75</v>
      </c>
      <c r="K58" s="3790">
        <v>2200.75</v>
      </c>
      <c r="L58" s="3790">
        <v>571</v>
      </c>
      <c r="M58" s="3790">
        <f t="shared" si="0"/>
        <v>57.100258127162405</v>
      </c>
      <c r="N58" s="3790">
        <v>0</v>
      </c>
    </row>
    <row r="59" spans="1:14">
      <c r="A59" s="3790" t="s">
        <v>3594</v>
      </c>
      <c r="B59" s="3790" t="s">
        <v>3380</v>
      </c>
      <c r="C59" s="3790" t="s">
        <v>2481</v>
      </c>
      <c r="D59" s="3790">
        <v>30589.9</v>
      </c>
      <c r="E59" s="3790">
        <v>45884.85</v>
      </c>
      <c r="F59" s="3790" t="s">
        <v>3451</v>
      </c>
      <c r="G59" s="3790" t="s">
        <v>3432</v>
      </c>
      <c r="H59" s="3790" t="s">
        <v>3590</v>
      </c>
      <c r="I59" s="3790" t="s">
        <v>3595</v>
      </c>
      <c r="J59" s="3790">
        <v>2620.02</v>
      </c>
      <c r="K59" s="3790">
        <v>2620.02</v>
      </c>
      <c r="L59" s="3790">
        <v>571</v>
      </c>
      <c r="M59" s="3790">
        <f t="shared" si="0"/>
        <v>57.10017794762323</v>
      </c>
      <c r="N59" s="3790">
        <v>0</v>
      </c>
    </row>
    <row r="60" spans="1:14">
      <c r="A60" s="3790" t="s">
        <v>3596</v>
      </c>
      <c r="B60" s="3790" t="s">
        <v>3380</v>
      </c>
      <c r="C60" s="3790" t="s">
        <v>2481</v>
      </c>
      <c r="D60" s="3790">
        <v>26644.98</v>
      </c>
      <c r="E60" s="3790">
        <v>53289.96</v>
      </c>
      <c r="F60" s="3790" t="s">
        <v>3535</v>
      </c>
      <c r="G60" s="3790" t="s">
        <v>3432</v>
      </c>
      <c r="H60" s="3790" t="s">
        <v>3597</v>
      </c>
      <c r="I60" s="3790" t="s">
        <v>3598</v>
      </c>
      <c r="J60" s="3790">
        <v>3744.24</v>
      </c>
      <c r="K60" s="3790">
        <v>3744.24</v>
      </c>
      <c r="L60" s="3790">
        <v>702.62</v>
      </c>
      <c r="M60" s="3790">
        <f t="shared" si="0"/>
        <v>93.682655449544342</v>
      </c>
      <c r="N60" s="3790">
        <v>0</v>
      </c>
    </row>
    <row r="61" spans="1:14">
      <c r="A61" s="3790" t="s">
        <v>3599</v>
      </c>
      <c r="B61" s="3790" t="s">
        <v>3380</v>
      </c>
      <c r="C61" s="3790" t="s">
        <v>2481</v>
      </c>
      <c r="D61" s="3790">
        <v>67532.14</v>
      </c>
      <c r="E61" s="3790">
        <v>101298</v>
      </c>
      <c r="F61" s="3790" t="s">
        <v>3451</v>
      </c>
      <c r="G61" s="3790" t="s">
        <v>3432</v>
      </c>
      <c r="H61" s="3790" t="s">
        <v>3597</v>
      </c>
      <c r="I61" s="3790" t="s">
        <v>3600</v>
      </c>
      <c r="J61" s="3790">
        <v>7574.07</v>
      </c>
      <c r="K61" s="3790">
        <v>7574.07</v>
      </c>
      <c r="L61" s="3790">
        <v>747.7</v>
      </c>
      <c r="M61" s="3790">
        <f t="shared" si="0"/>
        <v>74.770401869391364</v>
      </c>
      <c r="N61" s="3790">
        <v>0</v>
      </c>
    </row>
  </sheetData>
  <phoneticPr fontId="134" type="noConversion"/>
  <pageMargins left="0.75" right="0.75" top="1" bottom="1" header="0.5" footer="0.5"/>
  <pageSetup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6998.6</v>
      </c>
      <c r="C4" s="854">
        <f>项目基本情况!C18</f>
        <v>14034</v>
      </c>
      <c r="D4" s="854">
        <f ca="1">结果表!D118</f>
        <v>2058</v>
      </c>
      <c r="E4" s="854">
        <f ca="1">结果表!E118</f>
        <v>2940</v>
      </c>
      <c r="F4" s="854">
        <f ca="1">结果表!F118</f>
        <v>1939</v>
      </c>
      <c r="G4" s="854">
        <f ca="1">结果表!G118</f>
        <v>2771</v>
      </c>
      <c r="H4" s="854">
        <f ca="1">结果表!H118</f>
        <v>3997</v>
      </c>
      <c r="I4" s="854">
        <f ca="1">结果表!I118</f>
        <v>5711</v>
      </c>
    </row>
    <row r="5" spans="1:9" ht="30" customHeight="1">
      <c r="A5" s="3463" t="s">
        <v>927</v>
      </c>
      <c r="B5" s="3463"/>
      <c r="C5" s="3463"/>
      <c r="D5" s="3463" t="str">
        <f ca="1">结果表!D119</f>
        <v>贰仟零伍拾捌万元整</v>
      </c>
      <c r="E5" s="3463"/>
      <c r="F5" s="3463" t="str">
        <f ca="1">结果表!F119</f>
        <v>壹仟玖佰叁拾玖万元整</v>
      </c>
      <c r="G5" s="3463"/>
      <c r="H5" s="3463" t="str">
        <f ca="1">结果表!H119</f>
        <v>叁仟玖佰玖拾柒万元整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3997</v>
      </c>
      <c r="E8" s="3464"/>
      <c r="F8" s="3464"/>
      <c r="G8" s="3464"/>
      <c r="H8" s="3464"/>
      <c r="I8" s="3464"/>
    </row>
    <row r="9" spans="1:9" ht="15">
      <c r="A9" s="3463" t="s">
        <v>927</v>
      </c>
      <c r="B9" s="3463"/>
      <c r="C9" s="3463"/>
      <c r="D9" s="3463" t="str">
        <f ca="1">结果表!D123</f>
        <v>叁仟玖佰玖拾柒万元整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2159</v>
      </c>
      <c r="B17" s="3487"/>
      <c r="C17" s="3487"/>
      <c r="D17" s="3487"/>
      <c r="E17" s="3487"/>
      <c r="F17" s="3487"/>
      <c r="G17" s="3487"/>
      <c r="H17" s="3487"/>
    </row>
    <row r="18" spans="1:8" ht="24" customHeight="1">
      <c r="A18" s="3488" t="s">
        <v>2160</v>
      </c>
      <c r="B18" s="3488"/>
      <c r="C18" s="3488"/>
      <c r="D18" s="2343"/>
      <c r="E18" s="3489" t="s">
        <v>2161</v>
      </c>
      <c r="F18" s="3488"/>
      <c r="G18" s="348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2023-03-09T10:19:43Z</dcterms:modified>
</cp:coreProperties>
</file>