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60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比较法-住宅、综合" sheetId="68" r:id="rId40"/>
    <sheet name="存贷款利率" sheetId="65" state="hidden"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39" hidden="1">'土地比较法-住宅、综合'!$A$1:$L$48</definedName>
    <definedName name="_xlnm._FilterDatabase" localSheetId="9" hidden="1">项目基本情况!$A$48:$N$48</definedName>
    <definedName name="八级">区片价!$P$1:$P$40</definedName>
    <definedName name="办公层高" localSheetId="39">'[1]比较法-办公'!$B$119:$M$119</definedName>
    <definedName name="办公层高">'不动产比较法-办公'!$B$119:$M$119</definedName>
    <definedName name="办公朝向" localSheetId="39">'[1]比较法-办公'!$B$91:$M$91</definedName>
    <definedName name="办公朝向">'不动产比较法-办公'!$B$91:$M$91</definedName>
    <definedName name="办公道路级别" localSheetId="39">'[1]比较法-办公'!$B$87:$M$87</definedName>
    <definedName name="办公道路级别">'不动产比较法-办公'!$B$87:$M$87</definedName>
    <definedName name="办公公共部分装修" localSheetId="39">'[1]比较法-办公'!$B$108:$M$108</definedName>
    <definedName name="办公公共部分装修">'不动产比较法-办公'!$B$108:$M$108</definedName>
    <definedName name="办公基础设施水平" localSheetId="39">'[1]比较法-办公'!$B$117:$M$117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'不动产比较法-办公'!$B$106:$M$106</definedName>
    <definedName name="办公建筑类型" localSheetId="39">'[1]比较法-办公'!$B$101:$M$101</definedName>
    <definedName name="办公建筑类型">'不动产比较法-办公'!$B$101:$M$101</definedName>
    <definedName name="办公交易情况" localSheetId="39">'[1]比较法-办公'!$A$62:$M$62</definedName>
    <definedName name="办公交易情况">'不动产比较法-办公'!$A$62:$M$62</definedName>
    <definedName name="办公楼层" localSheetId="39">'[1]比较法-办公'!$B$89:$M$89</definedName>
    <definedName name="办公楼层">'不动产比较法-办公'!$B$89:$M$89</definedName>
    <definedName name="办公内部装修" localSheetId="39">'[1]比较法-办公'!$B$123:$M$123</definedName>
    <definedName name="办公内部装修">'不动产比较法-办公'!$B$123:$M$123</definedName>
    <definedName name="办公物业管理" localSheetId="39">'[1]比较法-办公'!$B$115:$M$115</definedName>
    <definedName name="办公物业管理">'不动产比较法-办公'!$B$115:$M$115</definedName>
    <definedName name="办公用途" localSheetId="39">'[1]比较法-办公'!$B$64:$M$64</definedName>
    <definedName name="办公用途">'不动产比较法-办公'!$B$64:$M$64</definedName>
    <definedName name="仓储公共部分装修" localSheetId="39">'[1]比较法-仓储'!$B$77:$M$77</definedName>
    <definedName name="仓储公共部分装修">'不动产比较法-仓储'!$B$77:$M$77</definedName>
    <definedName name="仓储交易情况" localSheetId="39">'[1]比较法-仓储'!$A$49:$M$49</definedName>
    <definedName name="仓储交易情况">'不动产比较法-仓储'!$A$49:$M$49</definedName>
    <definedName name="仓储楼层" localSheetId="39">'[1]比较法-仓储'!$B$69:$M$69</definedName>
    <definedName name="仓储楼层">'不动产比较法-仓储'!$B$69:$M$69</definedName>
    <definedName name="仓储物业等级" localSheetId="39">'[1]比较法-仓储'!$B$82:$M$82</definedName>
    <definedName name="仓储物业等级">'不动产比较法-仓储'!$B$82:$M$82</definedName>
    <definedName name="仓储用途" localSheetId="39">'[1]比较法-仓储'!$B$51:$M$51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'不动产比较法-车位'!$B$83:$M$83</definedName>
    <definedName name="车位交易情况" localSheetId="39">'[1]比较法-车位'!$A$51:$M$51</definedName>
    <definedName name="车位交易情况">'不动产比较法-车位'!$A$51:$M$51</definedName>
    <definedName name="车位类型" localSheetId="39">'[1]比较法-车位'!$B$93:$M$93</definedName>
    <definedName name="车位类型">'不动产比较法-车位'!$B$93:$M$93</definedName>
    <definedName name="车位楼层" localSheetId="39">'[1]比较法-车位'!$B$71:$M$71</definedName>
    <definedName name="车位楼层">'不动产比较法-车位'!$B$71:$M$71</definedName>
    <definedName name="车位配套类型" localSheetId="39">'[1]比较法-车位'!$B$79:$M$79</definedName>
    <definedName name="车位配套类型">'不动产比较法-车位'!$B$79:$M$79</definedName>
    <definedName name="车位物业等级" localSheetId="39">'[1]比较法-车位'!$B$88:$M$88</definedName>
    <definedName name="车位物业等级">'不动产比较法-车位'!$B$88:$M$88</definedName>
    <definedName name="车位用途" localSheetId="39">'[1]比较法-车位'!$B$53:$M$53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[1]定义!$G$1:$G$4</definedName>
    <definedName name="法定最高年限">定义!$G$2:$G$4</definedName>
    <definedName name="工业公共部分装修" localSheetId="39">'[1]比较法-工业'!$B$95:$M$95</definedName>
    <definedName name="工业公共部分装修">'不动产比较法-工业'!$B$95:$M$95</definedName>
    <definedName name="工业基础设施水平" localSheetId="39">'[1]比较法-工业'!$B$102:$M$102</definedName>
    <definedName name="工业基础设施水平">'不动产比较法-工业'!$B$102:$M$102</definedName>
    <definedName name="工业建筑结构" localSheetId="39">'[1]比较法-工业'!$B$93:$M$93</definedName>
    <definedName name="工业建筑结构">'不动产比较法-工业'!$B$93:$M$93</definedName>
    <definedName name="工业建筑类型" localSheetId="39">'[1]比较法-工业'!$B$88:$M$88</definedName>
    <definedName name="工业建筑类型">'不动产比较法-工业'!$B$88:$M$88</definedName>
    <definedName name="工业交易情况" localSheetId="39">'[1]比较法-工业'!$A$55:$M$55</definedName>
    <definedName name="工业交易情况">'不动产比较法-工业'!$A$55:$M$55</definedName>
    <definedName name="工业内部装修" localSheetId="39">'[1]比较法-工业'!$B$104:$M$104</definedName>
    <definedName name="工业内部装修">'不动产比较法-工业'!$B$104:$M$104</definedName>
    <definedName name="工业物业管理" localSheetId="39">'[1]比较法-工业'!$B$100:$M$100</definedName>
    <definedName name="工业物业管理">'不动产比较法-工业'!$B$100:$M$100</definedName>
    <definedName name="工业用途" localSheetId="39">'[1]比较法-工业'!$B$57:$M$57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'不动产比较法-商业'!$B$107:$M$107</definedName>
    <definedName name="商业基础设施水平" localSheetId="39">'[1]比较法-商业'!$B$112:$M$112</definedName>
    <definedName name="商业基础设施水平">'不动产比较法-商业'!$B$112:$M$112</definedName>
    <definedName name="商业建筑结构" localSheetId="39">'[1]比较法-商业'!$B$105:$M$105</definedName>
    <definedName name="商业建筑结构">'不动产比较法-商业'!$B$105:$M$105</definedName>
    <definedName name="商业交易情况" localSheetId="39">'[1]比较法-商业'!$A$61:$M$61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'[1]比较法-商业'!$B$120:$M$120</definedName>
    <definedName name="商业进深比">'不动产比较法-商业'!$B$120:$M$120</definedName>
    <definedName name="商业类型" localSheetId="39">'[1]比较法-商业'!$B$100:$M$100</definedName>
    <definedName name="商业类型">'不动产比较法-商业'!$B$100:$M$100</definedName>
    <definedName name="商业临街状况" localSheetId="39">'[1]比较法-商业'!$B$86:$M$86</definedName>
    <definedName name="商业临街状况">'不动产比较法-商业'!$B$86:$M$86</definedName>
    <definedName name="商业楼层" localSheetId="39">'[1]比较法-商业'!$B$92:$M$92</definedName>
    <definedName name="商业楼层">'不动产比较法-商业'!$B$92:$M$92</definedName>
    <definedName name="商业内部装修" localSheetId="39">'[1]比较法-商业'!$B$122:$M$122</definedName>
    <definedName name="商业内部装修">'不动产比较法-商业'!$B$122:$M$122</definedName>
    <definedName name="商业人流量" localSheetId="39">'[1]比较法-商业'!$B$90:$M$90</definedName>
    <definedName name="商业人流量">'不动产比较法-商业'!$B$90:$M$90</definedName>
    <definedName name="商业业态" localSheetId="39">'[1]比较法-商业'!$B$114:$M$114</definedName>
    <definedName name="商业业态">'不动产比较法-商业'!$B$114:$M$114</definedName>
    <definedName name="商业用途" localSheetId="3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'[1]比较法-仓储'!$B$89:$M$89</definedName>
    <definedName name="是否封闭">'不动产比较法-仓储'!$B$89:$M$89</definedName>
    <definedName name="是否直接入户" localSheetId="3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9">'土地比较法-住宅、综合'!$A$73:$M$73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9">'[1]土地比较法-工业'!$B$99:$M$99</definedName>
    <definedName name="套工土地级别">'比较法-工业'!$B$101:$M$101</definedName>
    <definedName name="套工用途" localSheetId="39">'[1]土地比较法-工业'!$B$70:$M$70</definedName>
    <definedName name="套工用途">'比较法-工业'!$B$72:$M$72</definedName>
    <definedName name="套工宗地开发程度">'[1]土地比较法-工业'!$B$112:$M$112</definedName>
    <definedName name="套工宗地形状" localSheetId="39">'[1]土地比较法-工业'!$B$110:$M$110</definedName>
    <definedName name="套工宗地形状">'比较法-工业'!$B$112:$M$112</definedName>
    <definedName name="套综道路等级" localSheetId="39">'土地比较法-住宅、综合'!$B$106:$M$106</definedName>
    <definedName name="套综道路等级">'比较法-住宅、综合'!$B$108:$M$108</definedName>
    <definedName name="套综工程地质条件" localSheetId="39">'土地比较法-住宅、综合'!$B$125:$M$125</definedName>
    <definedName name="套综工程地质条件">'比较法-住宅、综合'!$B$127:$M$127</definedName>
    <definedName name="套综交易情况" localSheetId="39">'土地比较法-住宅、综合'!$A$73:$M$73</definedName>
    <definedName name="套综交易情况">'比较法-住宅、综合'!$A$75:$M$75</definedName>
    <definedName name="套综临街宽度及深度" localSheetId="39">'土地比较法-住宅、综合'!$B$121:$M$121</definedName>
    <definedName name="套综临街宽度及深度">'比较法-住宅、综合'!$B$123:$M$123</definedName>
    <definedName name="套综土地级别" localSheetId="39">'土地比较法-住宅、综合'!$B$108:$M$108</definedName>
    <definedName name="套综土地级别">'比较法-住宅、综合'!$B$110:$M$110</definedName>
    <definedName name="套综用途" localSheetId="39">'土地比较法-住宅、综合'!$B$75:$M$75</definedName>
    <definedName name="套综用途">'比较法-住宅、综合'!$B$77:$M$77</definedName>
    <definedName name="套综宗地内开发程度" localSheetId="39">'土地比较法-住宅、综合'!$B$123:$M$123</definedName>
    <definedName name="套综宗地内开发程度">'比较法-住宅、综合'!$B$125:$M$125</definedName>
    <definedName name="套综宗地形状" localSheetId="39">'土地比较法-住宅、综合'!$B$119:$M$119</definedName>
    <definedName name="套综宗地形状">'比较法-住宅、综合'!$B$121:$M$121</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定义!$A$1:$A$50</definedName>
    <definedName name="用途明细">[1]定义!$A$1:$A$50</definedName>
    <definedName name="有无电梯" localSheetId="39">'[1]比较法-仓储'!$B$84:$M$84</definedName>
    <definedName name="有无电梯">'不动产比较法-仓储'!$B$84:$M$84</definedName>
    <definedName name="主用途" localSheetId="39">[1]定义!$F$1:$F$10</definedName>
    <definedName name="主用途">定义!$F$1:$F$10</definedName>
    <definedName name="住宅朝向" localSheetId="39">'[1]比较法-住宅'!$B$88:$M$88</definedName>
    <definedName name="住宅朝向">'不动产比较法-住宅'!$B$88:$M$88</definedName>
    <definedName name="住宅房型" localSheetId="39">'[1]比较法-住宅'!$B$118:$M$118</definedName>
    <definedName name="住宅房型">'不动产比较法-住宅'!$B$118:$M$118</definedName>
    <definedName name="住宅公共部分装修" localSheetId="39">'[1]比较法-住宅'!$B$109:$M$109</definedName>
    <definedName name="住宅公共部分装修">'不动产比较法-住宅'!$B$109:$M$109</definedName>
    <definedName name="住宅基础设施水平" localSheetId="39">'[1]比较法-住宅'!$B$116:$M$116</definedName>
    <definedName name="住宅基础设施水平">'不动产比较法-住宅'!$B$116:$M$116</definedName>
    <definedName name="住宅建筑结构" localSheetId="39">'[1]比较法-住宅'!$B$105:$M$105</definedName>
    <definedName name="住宅建筑结构">'不动产比较法-住宅'!$B$105:$M$105</definedName>
    <definedName name="住宅建筑类型" localSheetId="39">'[1]比较法-住宅'!$B$100:$M$100</definedName>
    <definedName name="住宅建筑类型">'不动产比较法-住宅'!$B$100:$M$100</definedName>
    <definedName name="住宅建筑品质" localSheetId="39">'[1]比较法-住宅'!$B$107:$M$107</definedName>
    <definedName name="住宅建筑品质">'不动产比较法-住宅'!$B$107:$M$107</definedName>
    <definedName name="住宅交易情况" localSheetId="39">'[1]比较法-住宅'!$A$61:$M$61</definedName>
    <definedName name="住宅交易情况">'不动产比较法-住宅'!$A$61:$M$61</definedName>
    <definedName name="住宅楼层" localSheetId="39">'[1]比较法-住宅'!$B$86:$M$86</definedName>
    <definedName name="住宅楼层">'不动产比较法-住宅'!$B$86:$M$86</definedName>
    <definedName name="住宅内部装修" localSheetId="39">'[1]比较法-住宅'!$B$122:$M$122</definedName>
    <definedName name="住宅内部装修">'不动产比较法-住宅'!$B$122:$M$122</definedName>
    <definedName name="住宅物业管理" localSheetId="39">'[1]比较法-住宅'!$B$114:$M$114</definedName>
    <definedName name="住宅物业管理">'不动产比较法-住宅'!$B$114:$M$114</definedName>
    <definedName name="住宅用途" localSheetId="39">'[1]比较法-住宅'!$B$63:$M$63</definedName>
    <definedName name="住宅用途">'不动产比较法-住宅'!$B$63:$M$63</definedName>
    <definedName name="住宅主力户型面积">'不动产比较法-住宅'!$B$120:$M$120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5" i="9" l="1"/>
  <c r="F19" i="6"/>
  <c r="B131" i="68"/>
  <c r="B129" i="68"/>
  <c r="B127" i="68"/>
  <c r="E126" i="68"/>
  <c r="F126" i="68" s="1"/>
  <c r="G126" i="68" s="1"/>
  <c r="H126" i="68" s="1"/>
  <c r="I126" i="68" s="1"/>
  <c r="J126" i="68" s="1"/>
  <c r="K126" i="68" s="1"/>
  <c r="L126" i="68" s="1"/>
  <c r="M126" i="68" s="1"/>
  <c r="D126" i="68"/>
  <c r="D124" i="68"/>
  <c r="E124" i="68" s="1"/>
  <c r="E122" i="68"/>
  <c r="F122" i="68" s="1"/>
  <c r="G122" i="68" s="1"/>
  <c r="H122" i="68" s="1"/>
  <c r="I122" i="68" s="1"/>
  <c r="J122" i="68" s="1"/>
  <c r="K122" i="68" s="1"/>
  <c r="L122" i="68" s="1"/>
  <c r="M122" i="68" s="1"/>
  <c r="D122" i="68"/>
  <c r="D120" i="68"/>
  <c r="E120" i="68" s="1"/>
  <c r="F120" i="68" s="1"/>
  <c r="G120" i="68" s="1"/>
  <c r="H120" i="68" s="1"/>
  <c r="I120" i="68" s="1"/>
  <c r="J120" i="68" s="1"/>
  <c r="K120" i="68" s="1"/>
  <c r="L120" i="68" s="1"/>
  <c r="M120" i="68" s="1"/>
  <c r="M116" i="68"/>
  <c r="L116" i="68"/>
  <c r="K116" i="68"/>
  <c r="J116" i="68"/>
  <c r="I116" i="68"/>
  <c r="H116" i="68"/>
  <c r="G116" i="68"/>
  <c r="F116" i="68"/>
  <c r="E116" i="68"/>
  <c r="D116" i="68"/>
  <c r="C116" i="68"/>
  <c r="B114" i="68"/>
  <c r="B112" i="68"/>
  <c r="B110"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E105" i="68"/>
  <c r="F105" i="68" s="1"/>
  <c r="G105" i="68" s="1"/>
  <c r="H105" i="68" s="1"/>
  <c r="I105" i="68" s="1"/>
  <c r="J105" i="68" s="1"/>
  <c r="K105" i="68" s="1"/>
  <c r="L105" i="68" s="1"/>
  <c r="M105" i="68" s="1"/>
  <c r="D105" i="68"/>
  <c r="B104" i="68"/>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D89" i="68"/>
  <c r="E89" i="68" s="1"/>
  <c r="F89" i="68" s="1"/>
  <c r="G89" i="68" s="1"/>
  <c r="B86" i="68"/>
  <c r="B84" i="68"/>
  <c r="B82" i="68"/>
  <c r="D81" i="68"/>
  <c r="E81" i="68" s="1"/>
  <c r="F81" i="68" s="1"/>
  <c r="G81" i="68" s="1"/>
  <c r="H81" i="68" s="1"/>
  <c r="I81" i="68" s="1"/>
  <c r="J81" i="68" s="1"/>
  <c r="K81" i="68" s="1"/>
  <c r="L81" i="68" s="1"/>
  <c r="M81" i="68" s="1"/>
  <c r="M79" i="68"/>
  <c r="L79" i="68"/>
  <c r="K79" i="68"/>
  <c r="J79" i="68"/>
  <c r="I79" i="68"/>
  <c r="H79" i="68"/>
  <c r="G79" i="68"/>
  <c r="F79" i="68"/>
  <c r="E79" i="68"/>
  <c r="D79" i="68"/>
  <c r="C79" i="68"/>
  <c r="B71" i="68"/>
  <c r="I65" i="68"/>
  <c r="H65" i="68"/>
  <c r="E65" i="68"/>
  <c r="C65" i="68"/>
  <c r="I64" i="68"/>
  <c r="H64" i="68"/>
  <c r="E64" i="68"/>
  <c r="C64" i="68"/>
  <c r="I63" i="68"/>
  <c r="H63" i="68"/>
  <c r="E63" i="68"/>
  <c r="C63" i="68"/>
  <c r="I62" i="68"/>
  <c r="H62" i="68"/>
  <c r="E62" i="68"/>
  <c r="C62" i="68"/>
  <c r="I61" i="68"/>
  <c r="H61" i="68"/>
  <c r="E61" i="68"/>
  <c r="C61" i="68"/>
  <c r="I60" i="68"/>
  <c r="C60" i="68" s="1"/>
  <c r="H60" i="68"/>
  <c r="H59" i="68"/>
  <c r="I59" i="68" s="1"/>
  <c r="C59" i="68" s="1"/>
  <c r="I58" i="68"/>
  <c r="C58" i="68" s="1"/>
  <c r="H58" i="68"/>
  <c r="H57" i="68"/>
  <c r="I57" i="68" s="1"/>
  <c r="C57" i="68" s="1"/>
  <c r="E56" i="68"/>
  <c r="E66" i="68" s="1"/>
  <c r="J55" i="68"/>
  <c r="J53" i="68"/>
  <c r="I53" i="68"/>
  <c r="H53" i="68"/>
  <c r="G53" i="68"/>
  <c r="F53" i="68"/>
  <c r="E53" i="68"/>
  <c r="P48" i="68"/>
  <c r="P47" i="68"/>
  <c r="V46" i="68"/>
  <c r="T46" i="68"/>
  <c r="R46" i="68"/>
  <c r="P46" i="68"/>
  <c r="AB45" i="68"/>
  <c r="U45" i="68"/>
  <c r="Q45" i="68"/>
  <c r="Z45" i="68" s="1"/>
  <c r="J45" i="68"/>
  <c r="AC45" i="68" s="1"/>
  <c r="H45" i="68"/>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AC40" i="68"/>
  <c r="W40" i="68"/>
  <c r="Q40" i="68"/>
  <c r="Z40" i="68" s="1"/>
  <c r="J40" i="68"/>
  <c r="H40" i="68"/>
  <c r="AB40" i="68" s="1"/>
  <c r="F40" i="68"/>
  <c r="AA40" i="68" s="1"/>
  <c r="Q39" i="68"/>
  <c r="Z39" i="68" s="1"/>
  <c r="J39" i="68"/>
  <c r="AC39" i="68" s="1"/>
  <c r="H39" i="68"/>
  <c r="AB39" i="68" s="1"/>
  <c r="F39" i="68"/>
  <c r="AA39" i="68" s="1"/>
  <c r="Q38" i="68"/>
  <c r="Z38" i="68" s="1"/>
  <c r="J38" i="68"/>
  <c r="AC38" i="68" s="1"/>
  <c r="F38" i="68"/>
  <c r="AA38" i="68" s="1"/>
  <c r="C38" i="68"/>
  <c r="H38" i="68" s="1"/>
  <c r="AC37" i="68"/>
  <c r="W37" i="68"/>
  <c r="Q37" i="68"/>
  <c r="Z37" i="68" s="1"/>
  <c r="J37" i="68"/>
  <c r="H37" i="68"/>
  <c r="AB37" i="68" s="1"/>
  <c r="F37" i="68"/>
  <c r="AA37" i="68" s="1"/>
  <c r="AB36" i="68"/>
  <c r="U36" i="68"/>
  <c r="Q36" i="68"/>
  <c r="Z36" i="68" s="1"/>
  <c r="J36" i="68"/>
  <c r="AC36" i="68" s="1"/>
  <c r="H36" i="68"/>
  <c r="F36" i="68"/>
  <c r="AA36" i="68" s="1"/>
  <c r="Q35" i="68"/>
  <c r="Z35" i="68" s="1"/>
  <c r="J35" i="68"/>
  <c r="AC35" i="68" s="1"/>
  <c r="H35" i="68"/>
  <c r="AB35" i="68" s="1"/>
  <c r="F35" i="68"/>
  <c r="AA35" i="68" s="1"/>
  <c r="Q34" i="68"/>
  <c r="Z34" i="68" s="1"/>
  <c r="J34" i="68"/>
  <c r="AC34" i="68" s="1"/>
  <c r="H34" i="68"/>
  <c r="AB34" i="68" s="1"/>
  <c r="F34" i="68"/>
  <c r="AA34" i="68" s="1"/>
  <c r="AC32" i="68"/>
  <c r="W32" i="68"/>
  <c r="Q32" i="68"/>
  <c r="Z32" i="68" s="1"/>
  <c r="J32" i="68"/>
  <c r="H32" i="68"/>
  <c r="AB32" i="68" s="1"/>
  <c r="F32" i="68"/>
  <c r="AA32" i="68" s="1"/>
  <c r="Q31" i="68"/>
  <c r="Z31" i="68" s="1"/>
  <c r="J31" i="68"/>
  <c r="AC31" i="68" s="1"/>
  <c r="H31" i="68"/>
  <c r="U31" i="68" s="1"/>
  <c r="F31" i="68"/>
  <c r="AA31" i="68" s="1"/>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S10" i="68" s="1"/>
  <c r="Q9" i="68"/>
  <c r="Z9" i="68" s="1"/>
  <c r="J9" i="68"/>
  <c r="AC9" i="68" s="1"/>
  <c r="H9" i="68"/>
  <c r="AB9" i="68" s="1"/>
  <c r="F9" i="68"/>
  <c r="AA9" i="68" s="1"/>
  <c r="U8" i="68"/>
  <c r="J8" i="68"/>
  <c r="AC8" i="68" s="1"/>
  <c r="H8" i="68"/>
  <c r="AB8" i="68" s="1"/>
  <c r="F8" i="68"/>
  <c r="AA8" i="68" s="1"/>
  <c r="I7" i="68"/>
  <c r="C7" i="68"/>
  <c r="C68" i="68" s="1"/>
  <c r="C5" i="68"/>
  <c r="W38" i="68" l="1"/>
  <c r="F124" i="68"/>
  <c r="G124" i="68" s="1"/>
  <c r="H124" i="68" s="1"/>
  <c r="I124" i="68" s="1"/>
  <c r="J124" i="68" s="1"/>
  <c r="K124" i="68" s="1"/>
  <c r="L124" i="68" s="1"/>
  <c r="M124" i="68" s="1"/>
  <c r="H41" i="68"/>
  <c r="AB41" i="68" s="1"/>
  <c r="J41" i="68"/>
  <c r="AC41" i="68" s="1"/>
  <c r="F41" i="68"/>
  <c r="AA41" i="68" s="1"/>
  <c r="U9" i="68"/>
  <c r="W10" i="68"/>
  <c r="AA10" i="68"/>
  <c r="U11" i="68"/>
  <c r="S12" i="68"/>
  <c r="W12" i="68"/>
  <c r="U13" i="68"/>
  <c r="S14" i="68"/>
  <c r="W14" i="68"/>
  <c r="S15" i="68"/>
  <c r="W15" i="68"/>
  <c r="S17" i="68"/>
  <c r="W17" i="68"/>
  <c r="C70" i="68"/>
  <c r="D68" i="68"/>
  <c r="S8" i="68"/>
  <c r="W8" i="68"/>
  <c r="S9" i="68"/>
  <c r="W9" i="68"/>
  <c r="U10" i="68"/>
  <c r="S11" i="68"/>
  <c r="W11" i="68"/>
  <c r="U12" i="68"/>
  <c r="S13" i="68"/>
  <c r="W13" i="68"/>
  <c r="U14" i="68"/>
  <c r="U15" i="68"/>
  <c r="U17" i="68"/>
  <c r="U19" i="68"/>
  <c r="U21" i="68"/>
  <c r="U23" i="68"/>
  <c r="U25" i="68"/>
  <c r="U27" i="68"/>
  <c r="U29" i="68"/>
  <c r="S31" i="68"/>
  <c r="W31" i="68"/>
  <c r="AB31" i="68"/>
  <c r="S35" i="68"/>
  <c r="S40" i="68"/>
  <c r="U41" i="68"/>
  <c r="W42" i="68"/>
  <c r="S44" i="68"/>
  <c r="S19" i="68"/>
  <c r="W19" i="68"/>
  <c r="S21" i="68"/>
  <c r="W21" i="68"/>
  <c r="S23" i="68"/>
  <c r="W23" i="68"/>
  <c r="S25" i="68"/>
  <c r="W25" i="68"/>
  <c r="S27" i="68"/>
  <c r="W27" i="68"/>
  <c r="S29" i="68"/>
  <c r="W29" i="68"/>
  <c r="S32" i="68"/>
  <c r="U34" i="68"/>
  <c r="W35" i="68"/>
  <c r="S37" i="68"/>
  <c r="AB38" i="68"/>
  <c r="U38" i="68"/>
  <c r="S38" i="68"/>
  <c r="U39" i="68"/>
  <c r="S42" i="68"/>
  <c r="U43" i="68"/>
  <c r="W44" i="68"/>
  <c r="U32" i="68"/>
  <c r="S34" i="68"/>
  <c r="W34" i="68"/>
  <c r="U35" i="68"/>
  <c r="S36" i="68"/>
  <c r="W36" i="68"/>
  <c r="U37" i="68"/>
  <c r="S39" i="68"/>
  <c r="W39" i="68"/>
  <c r="U40" i="68"/>
  <c r="W41" i="68"/>
  <c r="U42" i="68"/>
  <c r="S43" i="68"/>
  <c r="W43" i="68"/>
  <c r="U44" i="68"/>
  <c r="S45" i="68"/>
  <c r="W45" i="68"/>
  <c r="V6" i="59"/>
  <c r="U6" i="59"/>
  <c r="T6" i="59"/>
  <c r="S6" i="59"/>
  <c r="S41" i="68" l="1"/>
  <c r="D70" i="68"/>
  <c r="E68" i="68"/>
  <c r="AH5" i="59"/>
  <c r="AG5" i="59"/>
  <c r="AE5" i="59"/>
  <c r="AF5" i="59" s="1"/>
  <c r="AD5" i="59"/>
  <c r="Q5" i="59"/>
  <c r="P5" i="59"/>
  <c r="O5" i="59"/>
  <c r="N5" i="59"/>
  <c r="E70" i="68" l="1"/>
  <c r="F68" i="68"/>
  <c r="M15" i="49"/>
  <c r="L15" i="49"/>
  <c r="K15" i="49"/>
  <c r="J15" i="49"/>
  <c r="I15" i="49"/>
  <c r="H15" i="49"/>
  <c r="G15" i="49"/>
  <c r="F15" i="49"/>
  <c r="E15" i="49"/>
  <c r="D15" i="49"/>
  <c r="C15" i="49"/>
  <c r="B15" i="49"/>
  <c r="F70" i="68" l="1"/>
  <c r="G68" i="68"/>
  <c r="AH6" i="59"/>
  <c r="AG6" i="59"/>
  <c r="AF6" i="59"/>
  <c r="AE6" i="59"/>
  <c r="AD6" i="59"/>
  <c r="Q6" i="59"/>
  <c r="AB5" i="59" s="1"/>
  <c r="P6" i="59"/>
  <c r="AA5" i="59" s="1"/>
  <c r="O6" i="59"/>
  <c r="Y5" i="59" s="1"/>
  <c r="Z5" i="59" s="1"/>
  <c r="N6" i="59"/>
  <c r="X5" i="59" s="1"/>
  <c r="G70" i="68" l="1"/>
  <c r="H68" i="68"/>
  <c r="L3" i="59"/>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L5" i="54"/>
  <c r="B39" i="63"/>
  <c r="K5" i="54"/>
  <c r="B38" i="63"/>
  <c r="T41" i="4"/>
  <c r="A17" i="64"/>
  <c r="B46" i="50"/>
  <c r="B4" i="63"/>
  <c r="C46" i="36"/>
  <c r="C59" i="34"/>
  <c r="C48" i="35"/>
  <c r="D48" i="35" s="1"/>
  <c r="C52" i="37"/>
  <c r="D52" i="37" s="1"/>
  <c r="J7" i="33"/>
  <c r="AC7" i="33" s="1"/>
  <c r="V48" i="33" s="1"/>
  <c r="I48" i="33" s="1"/>
  <c r="I52" i="33" s="1"/>
  <c r="J52" i="33"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E53" i="40"/>
  <c r="F27" i="6"/>
  <c r="E5" i="6"/>
  <c r="AT6" i="3"/>
  <c r="G29" i="6"/>
  <c r="E29" i="6" s="1"/>
  <c r="K15" i="1" s="1"/>
  <c r="AZ16" i="3"/>
  <c r="H16" i="1"/>
  <c r="A9" i="64"/>
  <c r="A9" i="51"/>
  <c r="B9" i="63" s="1"/>
  <c r="A25" i="51"/>
  <c r="B18" i="63" s="1"/>
  <c r="A3" i="55"/>
  <c r="B56" i="63"/>
  <c r="D72" i="39"/>
  <c r="W7" i="33"/>
  <c r="E4" i="4"/>
  <c r="C4" i="4"/>
  <c r="G66" i="36"/>
  <c r="J18" i="36"/>
  <c r="AE8" i="1"/>
  <c r="AE7" i="1"/>
  <c r="W18" i="36"/>
  <c r="AC18" i="36"/>
  <c r="AG6" i="1"/>
  <c r="L20" i="6"/>
  <c r="L19" i="6"/>
  <c r="B21" i="55"/>
  <c r="B72" i="63"/>
  <c r="B20" i="55"/>
  <c r="B70" i="63"/>
  <c r="F7" i="21"/>
  <c r="AA7" i="21" s="1"/>
  <c r="R48" i="21" s="1"/>
  <c r="J7" i="21"/>
  <c r="AC7" i="21" s="1"/>
  <c r="V48" i="21" s="1"/>
  <c r="I48" i="21" s="1"/>
  <c r="H7" i="21"/>
  <c r="AB7" i="21" s="1"/>
  <c r="T48" i="21" s="1"/>
  <c r="G48" i="21" s="1"/>
  <c r="F65" i="40"/>
  <c r="F67" i="40" s="1"/>
  <c r="E72" i="39"/>
  <c r="F70" i="39"/>
  <c r="F72" i="39" s="1"/>
  <c r="S7" i="1"/>
  <c r="S8" i="1"/>
  <c r="S9" i="1"/>
  <c r="S7" i="21"/>
  <c r="G70" i="39"/>
  <c r="H70" i="39" s="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21" i="12"/>
  <c r="F11" i="44"/>
  <c r="N4" i="65"/>
  <c r="L47" i="15"/>
  <c r="E9" i="67"/>
  <c r="F37" i="15"/>
  <c r="N3" i="65"/>
  <c r="J17" i="44"/>
  <c r="F28" i="44"/>
  <c r="F39" i="44"/>
  <c r="F6" i="15"/>
  <c r="B9" i="67"/>
  <c r="N7" i="65"/>
  <c r="E8" i="67"/>
  <c r="M9" i="15"/>
  <c r="N6" i="65"/>
  <c r="N5" i="65"/>
  <c r="M6" i="15"/>
  <c r="F16" i="15"/>
  <c r="J15" i="15"/>
  <c r="F13" i="67"/>
  <c r="F9" i="44"/>
  <c r="E12" i="67"/>
  <c r="M27" i="15"/>
  <c r="F8" i="67"/>
  <c r="F9" i="67"/>
  <c r="F46" i="44"/>
  <c r="M29" i="44"/>
  <c r="B10" i="67"/>
  <c r="F18" i="44"/>
  <c r="F10" i="67"/>
  <c r="F10" i="44"/>
  <c r="F40" i="44"/>
  <c r="C19" i="44"/>
  <c r="F9" i="15"/>
  <c r="E13" i="67"/>
  <c r="F38" i="15"/>
  <c r="E11" i="67"/>
  <c r="F7" i="15"/>
  <c r="M25" i="44"/>
  <c r="M21" i="15"/>
  <c r="F40" i="15"/>
  <c r="M30" i="44"/>
  <c r="F43" i="15"/>
  <c r="F42" i="15"/>
  <c r="B13" i="67"/>
  <c r="M23" i="15"/>
  <c r="M8" i="44"/>
  <c r="L48" i="15"/>
  <c r="M11" i="44"/>
  <c r="B14" i="67"/>
  <c r="M31" i="44"/>
  <c r="F35" i="15"/>
  <c r="F37" i="44"/>
  <c r="F8" i="44"/>
  <c r="L48" i="44"/>
  <c r="E10" i="67"/>
  <c r="F8" i="15"/>
  <c r="E14" i="67"/>
  <c r="F43" i="44"/>
  <c r="M8" i="15"/>
  <c r="F12" i="67"/>
  <c r="F13" i="15"/>
  <c r="B11" i="67"/>
  <c r="M26" i="15"/>
  <c r="M22" i="15"/>
  <c r="F38" i="44"/>
  <c r="F15" i="44"/>
  <c r="J36" i="15"/>
  <c r="M26" i="44"/>
  <c r="F26" i="15"/>
  <c r="M24" i="44"/>
  <c r="M29" i="15"/>
  <c r="F14" i="67"/>
  <c r="M10" i="44"/>
  <c r="M24" i="15"/>
  <c r="L49" i="44"/>
  <c r="M23" i="44"/>
  <c r="F11" i="67"/>
  <c r="M28" i="44"/>
  <c r="F36" i="15"/>
  <c r="M28" i="15"/>
  <c r="B8" i="67"/>
  <c r="B12" i="67"/>
  <c r="F45" i="44"/>
  <c r="M43" i="9" l="1"/>
  <c r="D18" i="9"/>
  <c r="M44" i="9" s="1"/>
  <c r="A30" i="51"/>
  <c r="B22" i="63" s="1"/>
  <c r="C21" i="12"/>
  <c r="A30" i="64"/>
  <c r="G8" i="1"/>
  <c r="R49" i="21"/>
  <c r="E48" i="21"/>
  <c r="E53" i="21" s="1"/>
  <c r="F53" i="21" s="1"/>
  <c r="G72" i="39"/>
  <c r="U7" i="21"/>
  <c r="D67" i="40"/>
  <c r="G23" i="3"/>
  <c r="G5" i="3" s="1"/>
  <c r="B3" i="3" s="1"/>
  <c r="BL22" i="3"/>
  <c r="AZ23" i="3"/>
  <c r="AZ22" i="3"/>
  <c r="AZ21" i="3"/>
  <c r="BA5" i="3"/>
  <c r="E27" i="6" s="1"/>
  <c r="L27" i="6"/>
  <c r="D12" i="11"/>
  <c r="C12" i="11" s="1"/>
  <c r="F30" i="6"/>
  <c r="BL5" i="3"/>
  <c r="AZ13" i="3"/>
  <c r="D23" i="15"/>
  <c r="H70" i="68"/>
  <c r="I68" i="68"/>
  <c r="E14" i="52"/>
  <c r="G30" i="6"/>
  <c r="G31" i="6" s="1"/>
  <c r="I53" i="21"/>
  <c r="J53" i="21" s="1"/>
  <c r="I52" i="21"/>
  <c r="J52" i="21" s="1"/>
  <c r="C30" i="44"/>
  <c r="C25" i="12"/>
  <c r="C15" i="43"/>
  <c r="C27" i="43"/>
  <c r="C31" i="43"/>
  <c r="C28" i="15"/>
  <c r="H1" i="65"/>
  <c r="W7" i="21"/>
  <c r="Q16" i="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12"/>
  <c r="C15" i="12"/>
  <c r="I3" i="65"/>
  <c r="I6" i="65"/>
  <c r="J5" i="65"/>
  <c r="J3" i="65"/>
  <c r="F33" i="44"/>
  <c r="I5" i="65"/>
  <c r="J6" i="65"/>
  <c r="C16" i="15"/>
  <c r="C17" i="15"/>
  <c r="F58" i="15"/>
  <c r="J4" i="65"/>
  <c r="I4" i="65"/>
  <c r="F31" i="15"/>
  <c r="C18" i="44"/>
  <c r="M17" i="15"/>
  <c r="J7" i="65"/>
  <c r="M19" i="44"/>
  <c r="I7" i="65"/>
  <c r="C34" i="12" l="1"/>
  <c r="D33" i="12" s="1"/>
  <c r="H103" i="46"/>
  <c r="C49" i="21"/>
  <c r="B3" i="21" s="1"/>
  <c r="B2" i="21" s="1"/>
  <c r="C48" i="21"/>
  <c r="M109" i="46"/>
  <c r="M103" i="46"/>
  <c r="E28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F103" i="46"/>
  <c r="F102" i="46"/>
  <c r="F109" i="46"/>
  <c r="AZ5" i="3"/>
  <c r="E174" i="3"/>
  <c r="E199" i="3"/>
  <c r="E398" i="3"/>
  <c r="E218" i="3"/>
  <c r="E390" i="3"/>
  <c r="E98" i="3"/>
  <c r="E110" i="3"/>
  <c r="E435" i="3"/>
  <c r="E187" i="3"/>
  <c r="E194" i="3"/>
  <c r="E422" i="3"/>
  <c r="E129" i="3"/>
  <c r="E63" i="3"/>
  <c r="E442" i="3"/>
  <c r="E490" i="3"/>
  <c r="E423" i="3"/>
  <c r="E225" i="3"/>
  <c r="E296" i="3"/>
  <c r="E78" i="3"/>
  <c r="E443" i="3"/>
  <c r="E232" i="3"/>
  <c r="N6" i="3"/>
  <c r="E473" i="3"/>
  <c r="E482" i="3"/>
  <c r="E184" i="3"/>
  <c r="E545" i="3"/>
  <c r="E47" i="3"/>
  <c r="E462" i="3"/>
  <c r="E397" i="3"/>
  <c r="E536" i="3"/>
  <c r="E213" i="3"/>
  <c r="E452" i="3"/>
  <c r="E54" i="3"/>
  <c r="E537" i="3"/>
  <c r="E253" i="3"/>
  <c r="E472" i="3"/>
  <c r="E158" i="3"/>
  <c r="E337" i="3"/>
  <c r="AM6" i="3"/>
  <c r="E265" i="3"/>
  <c r="E23"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535" i="3"/>
  <c r="E411" i="3"/>
  <c r="E250" i="3"/>
  <c r="E41" i="3"/>
  <c r="E471" i="3"/>
  <c r="E418" i="3"/>
  <c r="E408" i="3"/>
  <c r="E92" i="3"/>
  <c r="E238" i="3"/>
  <c r="E414" i="3"/>
  <c r="E44" i="3"/>
  <c r="E202" i="3"/>
  <c r="E36" i="3"/>
  <c r="E131" i="3"/>
  <c r="E237" i="3"/>
  <c r="E304" i="3"/>
  <c r="E428" i="3"/>
  <c r="E165" i="3"/>
  <c r="E100"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I70" i="68"/>
  <c r="J68" i="68"/>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F41" i="15" s="1"/>
  <c r="E2" i="65"/>
  <c r="E3" i="65"/>
  <c r="F68" i="15" l="1"/>
  <c r="O28" i="46"/>
  <c r="G20" i="46" s="1"/>
  <c r="E3" i="6"/>
  <c r="AY6" i="3"/>
  <c r="AC6" i="3"/>
  <c r="H6" i="3"/>
  <c r="E6" i="3" s="1"/>
  <c r="J70" i="68"/>
  <c r="K68" i="68"/>
  <c r="M28" i="46"/>
  <c r="N28" i="46"/>
  <c r="B40" i="1"/>
  <c r="F24" i="15" s="1"/>
  <c r="C24" i="15" s="1"/>
  <c r="F17" i="11"/>
  <c r="E41" i="46"/>
  <c r="C41" i="46" s="1"/>
  <c r="C39" i="46" s="1"/>
  <c r="G39" i="46" s="1"/>
  <c r="I39" i="46" s="1"/>
  <c r="C20" i="46"/>
  <c r="S5" i="46"/>
  <c r="S2" i="46"/>
  <c r="T2" i="46" s="1"/>
  <c r="V2" i="46" s="1"/>
  <c r="S3" i="46"/>
  <c r="S7" i="46"/>
  <c r="T7" i="46" s="1"/>
  <c r="V7" i="46" s="1"/>
  <c r="S6" i="46"/>
  <c r="S4" i="46"/>
  <c r="T4" i="46" s="1"/>
  <c r="V4" i="46" s="1"/>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4" i="46"/>
  <c r="E34" i="46" s="1"/>
  <c r="C37" i="46"/>
  <c r="G37" i="46" s="1"/>
  <c r="I37" i="46" s="1"/>
  <c r="C36" i="46"/>
  <c r="C33" i="46"/>
  <c r="C115" i="46"/>
  <c r="D113" i="46" s="1"/>
  <c r="J28" i="44"/>
  <c r="J31" i="44" s="1"/>
  <c r="J26" i="44"/>
  <c r="J20" i="44"/>
  <c r="C34" i="44"/>
  <c r="C40" i="44"/>
  <c r="C52" i="15"/>
  <c r="C47" i="15" s="1"/>
  <c r="C10" i="15"/>
  <c r="C5" i="15" s="1"/>
  <c r="J26" i="15"/>
  <c r="J29" i="15" s="1"/>
  <c r="J24" i="15"/>
  <c r="J18" i="15"/>
  <c r="L52" i="44"/>
  <c r="F21" i="43" l="1"/>
  <c r="C23" i="43" s="1"/>
  <c r="D21" i="43" s="1"/>
  <c r="D3" i="6"/>
  <c r="AY486" i="3"/>
  <c r="AY82" i="3"/>
  <c r="AY80" i="3"/>
  <c r="AY37" i="3"/>
  <c r="AY67" i="3"/>
  <c r="AY41" i="3"/>
  <c r="AY58" i="3"/>
  <c r="AY203" i="3"/>
  <c r="AY159" i="3"/>
  <c r="AY128" i="3"/>
  <c r="AY179"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21" i="4"/>
  <c r="O5" i="54" s="1"/>
  <c r="B45" i="63" s="1"/>
  <c r="D10" i="11"/>
  <c r="D45" i="9"/>
  <c r="D44" i="9"/>
  <c r="D16" i="43"/>
  <c r="C16" i="43" s="1"/>
  <c r="L38" i="9"/>
  <c r="B14" i="66" s="1"/>
  <c r="B1" i="66" s="1"/>
  <c r="E6" i="6"/>
  <c r="D46" i="9"/>
  <c r="K70" i="68"/>
  <c r="L68" i="68"/>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T1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C59" i="15"/>
  <c r="C65" i="15"/>
  <c r="Q49" i="44"/>
  <c r="Q55" i="44" s="1"/>
  <c r="Q67" i="44"/>
  <c r="Q58" i="44"/>
  <c r="C21" i="9"/>
  <c r="D16" i="12"/>
  <c r="C16" i="44"/>
  <c r="C14" i="15"/>
  <c r="C7" i="66" l="1"/>
  <c r="C8" i="66"/>
  <c r="C6" i="66"/>
  <c r="D19" i="12"/>
  <c r="C19" i="12" s="1"/>
  <c r="C16" i="12"/>
  <c r="D13" i="11"/>
  <c r="C13" i="11" s="1"/>
  <c r="C22" i="4"/>
  <c r="D21" i="6"/>
  <c r="D10" i="6"/>
  <c r="H21" i="6"/>
  <c r="D6" i="6"/>
  <c r="D14" i="6"/>
  <c r="D20" i="6"/>
  <c r="H23" i="6"/>
  <c r="F45" i="9"/>
  <c r="E68" i="39"/>
  <c r="D24" i="6"/>
  <c r="D22" i="6"/>
  <c r="D12" i="6"/>
  <c r="H25" i="6"/>
  <c r="D5" i="6"/>
  <c r="H22" i="6"/>
  <c r="H26" i="6"/>
  <c r="F46" i="9"/>
  <c r="E46" i="9"/>
  <c r="E63" i="40"/>
  <c r="D19" i="6"/>
  <c r="D25" i="6"/>
  <c r="R25" i="6" s="1"/>
  <c r="D13" i="6"/>
  <c r="H24" i="6"/>
  <c r="D23" i="6"/>
  <c r="D28" i="6"/>
  <c r="D8" i="6"/>
  <c r="E45" i="9"/>
  <c r="F44" i="9"/>
  <c r="K38" i="9"/>
  <c r="C14" i="66" s="1"/>
  <c r="B2" i="66" s="1"/>
  <c r="D26" i="6"/>
  <c r="R26" i="6" s="1"/>
  <c r="D11" i="6"/>
  <c r="H20" i="6"/>
  <c r="D9" i="6"/>
  <c r="D29" i="6"/>
  <c r="D15" i="6"/>
  <c r="E44" i="9"/>
  <c r="P14" i="1"/>
  <c r="P16" i="1" s="1"/>
  <c r="L70" i="68"/>
  <c r="M68" i="68"/>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22" i="12"/>
  <c r="C13" i="12"/>
  <c r="F7" i="67"/>
  <c r="C17" i="12" l="1"/>
  <c r="C14" i="12"/>
  <c r="C22" i="12"/>
  <c r="C20" i="12" s="1"/>
  <c r="R23" i="6"/>
  <c r="D7" i="66"/>
  <c r="D8" i="66"/>
  <c r="D6" i="66"/>
  <c r="D30" i="6"/>
  <c r="R22" i="6"/>
  <c r="R21" i="6"/>
  <c r="D16" i="6"/>
  <c r="D27" i="6"/>
  <c r="D31" i="6" s="1"/>
  <c r="I6" i="6" s="1"/>
  <c r="R24" i="6"/>
  <c r="R20" i="6"/>
  <c r="A6" i="64"/>
  <c r="A20" i="51"/>
  <c r="B15" i="63" s="1"/>
  <c r="A6" i="51"/>
  <c r="B7" i="63" s="1"/>
  <c r="A20" i="64"/>
  <c r="N5" i="54"/>
  <c r="B43" i="63" s="1"/>
  <c r="M70" i="68"/>
  <c r="N68" i="68"/>
  <c r="I5" i="6"/>
  <c r="C26" i="46"/>
  <c r="C27" i="46"/>
  <c r="E4" i="67"/>
  <c r="C19" i="15"/>
  <c r="C20" i="15" s="1"/>
  <c r="C26" i="15" s="1"/>
  <c r="C21" i="44"/>
  <c r="C18" i="12"/>
  <c r="C22" i="44"/>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C23" i="12" l="1"/>
  <c r="R27" i="6"/>
  <c r="R6" i="1"/>
  <c r="R16" i="1" s="1"/>
  <c r="N70" i="68"/>
  <c r="O68" i="68"/>
  <c r="O70" i="68"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J7" i="68" l="1"/>
  <c r="H7" i="68"/>
  <c r="F7" i="68"/>
  <c r="B4" i="46"/>
  <c r="B2" i="67"/>
  <c r="B4" i="67" s="1"/>
  <c r="J59" i="15"/>
  <c r="J60" i="15" s="1"/>
  <c r="Q49" i="15" s="1"/>
  <c r="C13" i="15"/>
  <c r="J35" i="15" s="1"/>
  <c r="C56" i="15"/>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C60" i="15"/>
  <c r="C33" i="15"/>
  <c r="C31" i="15" l="1"/>
  <c r="C58" i="15"/>
  <c r="J22" i="15"/>
  <c r="U7" i="68"/>
  <c r="AB7" i="68"/>
  <c r="T47" i="68" s="1"/>
  <c r="G47" i="68" s="1"/>
  <c r="AA7" i="68"/>
  <c r="R47" i="68" s="1"/>
  <c r="S7" i="68"/>
  <c r="AC7" i="68"/>
  <c r="V47" i="68" s="1"/>
  <c r="I47" i="68" s="1"/>
  <c r="W7" i="68"/>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G52" i="68" l="1"/>
  <c r="H52" i="68" s="1"/>
  <c r="G51" i="68"/>
  <c r="H51" i="68" s="1"/>
  <c r="I51" i="68"/>
  <c r="J51" i="68" s="1"/>
  <c r="E47" i="68"/>
  <c r="R48" i="68"/>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48" i="68" l="1"/>
  <c r="C47" i="68"/>
  <c r="C20" i="9" s="1"/>
  <c r="E52" i="68"/>
  <c r="F52" i="68" s="1"/>
  <c r="E51" i="68"/>
  <c r="F51" i="68" s="1"/>
  <c r="I52" i="68"/>
  <c r="J52" i="68" s="1"/>
  <c r="C46" i="15"/>
  <c r="Q63" i="15"/>
  <c r="Q67" i="15"/>
  <c r="L46" i="15"/>
  <c r="B2" i="15" s="1"/>
  <c r="B3" i="15" s="1"/>
  <c r="C8" i="12" s="1"/>
  <c r="C10" i="12" s="1"/>
  <c r="C6" i="12"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4" i="12" l="1"/>
  <c r="C29" i="12"/>
  <c r="B65" i="68"/>
  <c r="F65" i="68" s="1"/>
  <c r="B64" i="68"/>
  <c r="F64" i="68" s="1"/>
  <c r="B63" i="68"/>
  <c r="F63" i="68" s="1"/>
  <c r="B62" i="68"/>
  <c r="F62" i="68" s="1"/>
  <c r="B61" i="68"/>
  <c r="F61" i="68" s="1"/>
  <c r="B59" i="68"/>
  <c r="F59" i="68" s="1"/>
  <c r="B57" i="68"/>
  <c r="F57" i="68" s="1"/>
  <c r="B60" i="68"/>
  <c r="F60" i="68" s="1"/>
  <c r="B58" i="68"/>
  <c r="F58" i="68" s="1"/>
  <c r="B56" i="68"/>
  <c r="F56" i="68" s="1"/>
  <c r="W7" i="37"/>
  <c r="AC7" i="37"/>
  <c r="V42" i="37" s="1"/>
  <c r="I42" i="37" s="1"/>
  <c r="C45" i="40"/>
  <c r="C44" i="40"/>
  <c r="AB7" i="37"/>
  <c r="T42" i="37" s="1"/>
  <c r="G42" i="37" s="1"/>
  <c r="U7" i="37"/>
  <c r="E48" i="40"/>
  <c r="F48" i="40" s="1"/>
  <c r="E49" i="40"/>
  <c r="F49" i="40" s="1"/>
  <c r="E42" i="37"/>
  <c r="R43" i="37"/>
  <c r="F66" i="68" l="1"/>
  <c r="B2" i="68" s="1"/>
  <c r="C19" i="9" s="1"/>
  <c r="L43" i="9" s="1"/>
  <c r="C28" i="12"/>
  <c r="C26" i="12" s="1"/>
  <c r="C31" i="12" s="1"/>
  <c r="C30" i="12" s="1"/>
  <c r="C35" i="12"/>
  <c r="C33" i="12"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6" i="12" l="1"/>
  <c r="B2" i="12" s="1"/>
  <c r="B3" i="68"/>
  <c r="C8" i="11"/>
  <c r="C7" i="11" s="1"/>
  <c r="B5" i="40"/>
  <c r="B4" i="40"/>
  <c r="B3" i="40"/>
  <c r="B5" i="12"/>
  <c r="B3" i="12"/>
  <c r="D20" i="9" s="1"/>
  <c r="B4" i="12"/>
  <c r="D21" i="9" s="1"/>
  <c r="D19" i="9"/>
  <c r="D22" i="9" l="1"/>
  <c r="G19" i="9"/>
  <c r="G22" i="9" s="1"/>
  <c r="L44" i="9"/>
  <c r="G21" i="9"/>
  <c r="G20" i="9"/>
  <c r="C18" i="11"/>
  <c r="C17" i="11"/>
  <c r="C32" i="9"/>
  <c r="N43" i="9"/>
  <c r="C19" i="11" l="1"/>
  <c r="C20" i="11" s="1"/>
  <c r="C21" i="11" s="1"/>
  <c r="C22" i="11" s="1"/>
  <c r="C23" i="11" s="1"/>
  <c r="B2" i="11" s="1"/>
  <c r="B3" i="11" s="1"/>
  <c r="C35" i="9"/>
  <c r="F42" i="9" s="1"/>
  <c r="C34" i="9"/>
  <c r="O38" i="9"/>
  <c r="C42" i="9"/>
  <c r="C33" i="9"/>
  <c r="O43" i="9"/>
  <c r="B5" i="11" l="1"/>
  <c r="B4" i="11"/>
  <c r="N68" i="9"/>
  <c r="D14" i="66"/>
  <c r="R5" i="54"/>
  <c r="B48" i="63" s="1"/>
  <c r="D63" i="9"/>
  <c r="E42" i="9"/>
  <c r="P5" i="54" s="1"/>
  <c r="B46" i="63" s="1"/>
  <c r="M38" i="9"/>
  <c r="K27" i="9" s="1"/>
  <c r="D42" i="9"/>
  <c r="Q5" i="54" s="1"/>
  <c r="B47" i="63" s="1"/>
  <c r="N38" i="9"/>
  <c r="K28" i="9" s="1"/>
  <c r="K26" i="9"/>
  <c r="K25" i="9"/>
  <c r="D71" i="9" l="1"/>
  <c r="D66" i="9" s="1"/>
  <c r="N72" i="9" s="1"/>
  <c r="D77" i="9"/>
  <c r="N75" i="9" s="1"/>
  <c r="C82" i="9"/>
  <c r="C81" i="9" s="1"/>
  <c r="C85" i="9" s="1"/>
  <c r="C86" i="9" s="1"/>
  <c r="D72" i="9" s="1"/>
  <c r="C96" i="9"/>
  <c r="C91" i="9" s="1"/>
  <c r="D70" i="9"/>
  <c r="C111" i="9"/>
  <c r="C104" i="9" s="1"/>
  <c r="C103" i="9"/>
  <c r="C90" i="9"/>
  <c r="C97" i="9" s="1"/>
  <c r="F14" i="66"/>
  <c r="E14" i="66"/>
  <c r="B5" i="66"/>
  <c r="C113" i="9" l="1"/>
  <c r="C98" i="9"/>
  <c r="E98" i="9" s="1"/>
  <c r="E99" i="9" s="1"/>
  <c r="D5" i="66"/>
  <c r="C5" i="66"/>
  <c r="C99" i="9" l="1"/>
  <c r="C114" i="9"/>
  <c r="E114" i="9" s="1"/>
  <c r="E115"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<sst xmlns="http://schemas.openxmlformats.org/spreadsheetml/2006/main" count="7159" uniqueCount="3146">
  <si>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</si>
  <si>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</si>
  <si>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</si>
  <si>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</si>
  <si>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</si>
  <si>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</si>
  <si>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</si>
  <si>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</si>
  <si>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</si>
  <si>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</si>
  <si>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</si>
  <si>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</si>
  <si>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</si>
  <si>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</si>
  <si>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</si>
  <si>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</si>
  <si>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</si>
  <si>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</si>
  <si>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</si>
  <si>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</si>
  <si>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</si>
  <si>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</si>
  <si>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</si>
  <si>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</si>
  <si>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</si>
  <si>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</si>
  <si>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</si>
  <si>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</si>
  <si>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</si>
  <si>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</si>
  <si>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</si>
  <si>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</si>
  <si>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</si>
  <si>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</si>
  <si>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</si>
  <si>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</si>
  <si>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</si>
  <si>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</si>
  <si>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</si>
  <si>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</si>
  <si>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</si>
  <si>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</si>
  <si>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</si>
  <si>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</si>
  <si>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</si>
  <si>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</si>
  <si>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</si>
  <si>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</si>
  <si>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</si>
  <si>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</si>
  <si>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</si>
  <si>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</si>
  <si>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</si>
  <si>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</si>
  <si>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</si>
  <si>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</si>
  <si>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</si>
  <si>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</si>
  <si>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</si>
  <si>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</si>
  <si>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</si>
  <si>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</si>
  <si>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</si>
  <si>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</si>
  <si>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</si>
  <si>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</si>
  <si>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</si>
  <si>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</si>
  <si>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</si>
  <si>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</si>
  <si>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</si>
  <si>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</si>
  <si>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</si>
  <si>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</si>
  <si>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</si>
  <si>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</si>
  <si>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</si>
  <si>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</si>
  <si>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</si>
  <si>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</si>
  <si>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</si>
  <si>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</si>
  <si>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</si>
  <si>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</si>
  <si>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</si>
  <si>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</si>
  <si>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</si>
  <si>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</si>
  <si>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</si>
  <si>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</si>
  <si>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</si>
  <si>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</si>
  <si>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</si>
  <si>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</si>
  <si>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</si>
  <si>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</si>
  <si>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</si>
  <si>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</si>
  <si>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</si>
  <si>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</si>
  <si>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</si>
  <si>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</si>
  <si>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</si>
  <si>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</si>
  <si>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</si>
  <si>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</si>
  <si>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</si>
  <si>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</si>
  <si>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</si>
  <si>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</si>
  <si>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</si>
  <si>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</si>
  <si>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</si>
  <si>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</si>
  <si>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</si>
  <si>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</si>
  <si>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</si>
  <si>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</si>
  <si>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</si>
  <si>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</si>
  <si>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</si>
  <si>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</si>
  <si>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</si>
  <si>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</si>
  <si>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</si>
  <si>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</si>
  <si>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</si>
  <si>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</si>
  <si>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</si>
  <si>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</si>
  <si>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</si>
  <si>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</si>
  <si>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</si>
  <si>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</si>
  <si>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</si>
  <si>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</si>
  <si>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</si>
  <si>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</si>
  <si>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</si>
  <si>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</si>
  <si>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</si>
  <si>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</si>
  <si>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</si>
  <si>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</si>
  <si>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</si>
  <si>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</si>
  <si>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</si>
  <si>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</si>
  <si>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</si>
  <si>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</si>
  <si>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</si>
  <si>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</si>
  <si>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</si>
  <si>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</si>
  <si>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</si>
  <si>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</si>
  <si>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</si>
  <si>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</si>
  <si>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</si>
  <si>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</si>
  <si>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</si>
  <si>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</si>
  <si>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</si>
  <si>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</si>
  <si>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</si>
  <si>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</si>
  <si>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</si>
  <si>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</si>
  <si>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</si>
  <si>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</si>
  <si>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</si>
  <si>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</si>
  <si>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</si>
  <si>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</si>
  <si>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</si>
  <si>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</si>
  <si>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</si>
  <si>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</si>
  <si>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</si>
  <si>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</si>
  <si>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</si>
  <si>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</si>
  <si>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</si>
  <si>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</si>
  <si>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</si>
  <si>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</si>
  <si>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</si>
  <si>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</si>
  <si>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</si>
  <si>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</si>
  <si>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</si>
  <si>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</si>
  <si>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</si>
  <si>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</si>
  <si>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</si>
  <si>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</si>
  <si>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</si>
  <si>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</si>
  <si>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</si>
  <si>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</si>
  <si>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</si>
  <si>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</si>
  <si>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</si>
  <si>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</si>
  <si>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</si>
  <si>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</si>
  <si>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</si>
  <si>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</si>
  <si>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</si>
  <si>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</si>
  <si>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</si>
  <si>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</si>
  <si>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</si>
  <si>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</si>
  <si>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</si>
  <si>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</si>
  <si>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</si>
  <si>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</si>
  <si>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</si>
  <si>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</si>
  <si>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</si>
  <si>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</si>
  <si>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</si>
  <si>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</si>
  <si>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</si>
  <si>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</si>
  <si>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</si>
  <si>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</si>
  <si>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</si>
  <si>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</si>
  <si>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</si>
  <si>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</si>
  <si>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</si>
  <si>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</si>
  <si>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</si>
  <si>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</si>
  <si>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</si>
  <si>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</si>
  <si>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</si>
  <si>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</si>
  <si>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</si>
  <si>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</si>
  <si>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</si>
  <si>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</si>
  <si>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</si>
  <si>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</si>
  <si>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</si>
  <si>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</si>
  <si>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</si>
  <si>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</si>
  <si>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</si>
  <si>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</si>
  <si>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</si>
  <si>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</si>
  <si>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</si>
  <si>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</si>
  <si>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</si>
  <si>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</si>
  <si>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</si>
  <si>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</si>
  <si>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</si>
  <si>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</si>
  <si>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</si>
  <si>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</si>
  <si>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</si>
  <si>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</si>
  <si>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</si>
  <si>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</si>
  <si>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</si>
  <si>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</si>
  <si>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</si>
  <si>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</si>
  <si>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</si>
  <si>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</si>
  <si>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</si>
  <si>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</si>
  <si>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</si>
  <si>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</si>
  <si>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</si>
  <si>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</si>
  <si>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</si>
  <si>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</si>
  <si>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</si>
  <si>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</si>
  <si>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</si>
  <si>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</si>
  <si>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</si>
  <si>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</si>
  <si>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</si>
  <si>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</si>
  <si>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</si>
  <si>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</si>
  <si>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</si>
  <si>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</si>
  <si>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</si>
  <si>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</si>
  <si>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</si>
  <si>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</si>
  <si>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</si>
  <si>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</si>
  <si>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</si>
  <si>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</si>
  <si>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</si>
  <si>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</si>
  <si>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</si>
  <si>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</si>
  <si>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</si>
  <si>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</si>
  <si>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</si>
  <si>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</si>
  <si>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</si>
  <si>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</si>
  <si>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</si>
  <si>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</si>
  <si>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</si>
  <si>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</si>
  <si>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</si>
  <si>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</si>
  <si>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</si>
  <si>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</si>
  <si>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</si>
  <si>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</si>
  <si>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</si>
  <si>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</si>
  <si>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</si>
  <si>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</si>
  <si>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</si>
  <si>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</si>
  <si>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</si>
  <si>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</si>
  <si>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</si>
  <si>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</si>
  <si>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</si>
  <si>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</si>
  <si>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</si>
  <si>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</si>
  <si>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</si>
  <si>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</si>
  <si>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</si>
  <si>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</si>
  <si>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</si>
  <si>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</si>
  <si>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</si>
  <si>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</si>
  <si>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</si>
  <si>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</si>
  <si>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</si>
  <si>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</si>
  <si>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</si>
  <si>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</si>
  <si>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</si>
  <si>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</si>
  <si>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</si>
  <si>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</si>
  <si>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</si>
  <si>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</si>
  <si>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</si>
  <si>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</si>
  <si>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</si>
  <si>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</si>
  <si>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</si>
  <si>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</si>
  <si>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</si>
  <si>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</si>
  <si>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</si>
  <si>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</si>
  <si>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</si>
  <si>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</si>
  <si>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</si>
  <si>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</si>
  <si>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</si>
  <si>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</si>
  <si>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</si>
  <si>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</si>
  <si>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</si>
  <si>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</si>
  <si>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</si>
  <si>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</si>
  <si>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</si>
  <si>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</si>
  <si>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</si>
  <si>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</si>
  <si>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</si>
  <si>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</si>
  <si>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</si>
  <si>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</si>
  <si>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</si>
  <si>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</si>
  <si>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</si>
  <si>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</si>
  <si>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</si>
  <si>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</si>
  <si>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</si>
  <si>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</si>
  <si>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</si>
  <si>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</si>
  <si>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</si>
  <si>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</si>
  <si>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</si>
  <si>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</si>
  <si>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</si>
  <si>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</si>
  <si>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</si>
  <si>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</si>
  <si>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</si>
  <si>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</si>
  <si>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</si>
  <si>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</si>
  <si>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</si>
  <si>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</si>
  <si>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</si>
  <si>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</si>
  <si>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</si>
  <si>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</si>
  <si>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</si>
  <si>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</si>
  <si>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</si>
  <si>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</si>
  <si>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</si>
  <si>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</si>
  <si>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</si>
  <si>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</si>
  <si>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</si>
  <si>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</si>
  <si>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</si>
  <si>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</si>
  <si>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</si>
  <si>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</si>
  <si>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</si>
  <si>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</si>
  <si>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</si>
  <si>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</si>
  <si>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</si>
  <si>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</si>
  <si>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</si>
  <si>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</si>
  <si>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</si>
  <si>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</si>
  <si>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</si>
  <si>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</si>
  <si>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</si>
  <si>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</si>
  <si>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</si>
  <si>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</si>
  <si>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</si>
  <si>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</si>
  <si>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</si>
  <si>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</si>
  <si>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</si>
  <si>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</si>
  <si>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</si>
  <si>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</si>
  <si>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</si>
  <si>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</si>
  <si>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</si>
  <si>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</si>
  <si>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</si>
  <si>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</si>
  <si>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</si>
  <si>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</si>
  <si>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</si>
  <si>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</si>
  <si>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</si>
  <si>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</si>
  <si>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</si>
  <si>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</si>
  <si>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</si>
  <si>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</si>
  <si>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</si>
  <si>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</si>
  <si>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</si>
  <si>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</si>
  <si>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</si>
  <si>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</si>
  <si>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</si>
  <si>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</si>
  <si>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</si>
  <si>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</si>
  <si>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</si>
  <si>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</si>
  <si>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</si>
  <si>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</si>
  <si>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</si>
  <si>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</si>
  <si>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</si>
  <si>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</si>
  <si>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</si>
  <si>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</si>
  <si>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</si>
  <si>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</si>
  <si>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</si>
  <si>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</si>
  <si>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</si>
  <si>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</si>
  <si>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</si>
  <si>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</si>
  <si>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</si>
  <si>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</si>
  <si>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</si>
  <si>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</si>
  <si>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</si>
  <si>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</si>
  <si>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</si>
  <si>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</si>
  <si>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</si>
  <si>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</si>
  <si>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</si>
  <si>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</si>
  <si>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</si>
  <si>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</si>
  <si>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</si>
  <si>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</si>
  <si>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</si>
  <si>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</si>
  <si>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</si>
  <si>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</si>
  <si>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</si>
  <si>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</si>
  <si>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</si>
  <si>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</si>
  <si>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</si>
  <si>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</si>
  <si>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</si>
  <si>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</si>
  <si>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</si>
  <si>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</si>
  <si>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</si>
  <si>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</si>
  <si>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</si>
  <si>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</si>
  <si>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</si>
  <si>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</si>
  <si>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</si>
  <si>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</si>
  <si>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</si>
  <si>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</si>
  <si>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</si>
  <si>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</si>
  <si>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</si>
  <si>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</si>
  <si>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</si>
  <si>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</si>
  <si>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</si>
  <si>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</si>
  <si>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</si>
  <si>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</si>
  <si>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</si>
  <si>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</si>
  <si>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</si>
  <si>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</si>
  <si>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</si>
  <si>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</si>
  <si>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</si>
  <si>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</si>
  <si>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</si>
  <si>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</si>
  <si>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</si>
  <si>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</si>
  <si>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</si>
  <si>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</si>
  <si>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</si>
  <si>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</si>
  <si>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</si>
  <si>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</si>
  <si>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</si>
  <si>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</si>
  <si>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</si>
  <si>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</si>
  <si>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</si>
  <si>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</si>
  <si>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</si>
  <si>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</si>
  <si>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</si>
  <si>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</si>
  <si>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</si>
  <si>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</si>
  <si>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</si>
  <si>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</si>
  <si>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</si>
  <si>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</si>
  <si>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</si>
  <si>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</si>
  <si>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</si>
  <si>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</si>
  <si>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</si>
  <si>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</si>
  <si>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</si>
  <si>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</si>
  <si>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</si>
  <si>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</si>
  <si>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</si>
  <si>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</si>
  <si>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</si>
  <si>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</si>
  <si>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</si>
  <si>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</si>
  <si>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</si>
  <si>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</si>
  <si>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</si>
  <si>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</si>
  <si>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</si>
  <si>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</si>
  <si>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</si>
  <si>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</si>
  <si>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</si>
  <si>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</si>
  <si>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</si>
  <si>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</si>
  <si>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</si>
  <si>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</si>
  <si>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</si>
  <si>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</si>
  <si>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</si>
  <si>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</si>
  <si>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</si>
  <si>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</si>
  <si>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</si>
  <si>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</si>
  <si>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</si>
  <si>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</si>
  <si>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</si>
  <si>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</si>
  <si>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</si>
  <si>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</si>
  <si>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</si>
  <si>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</si>
  <si>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</si>
  <si>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</si>
  <si>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</si>
  <si>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</si>
  <si>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</si>
  <si>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</si>
  <si>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</si>
  <si>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</si>
  <si>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</si>
  <si>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</si>
  <si>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</si>
  <si>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</si>
  <si>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</si>
  <si>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</si>
  <si>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</si>
  <si>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</si>
  <si>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</si>
  <si>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</si>
  <si>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</si>
  <si>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</si>
  <si>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</si>
  <si>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</si>
  <si>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</si>
  <si>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</si>
  <si>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</si>
  <si>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</si>
  <si>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</si>
  <si>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</si>
  <si>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</si>
  <si>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</si>
  <si>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</si>
  <si>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</si>
  <si>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</si>
  <si>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</si>
  <si>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</si>
  <si>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</si>
  <si>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</si>
  <si>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</si>
  <si>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</si>
  <si>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</si>
  <si>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</si>
  <si>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</si>
  <si>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</si>
  <si>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</si>
  <si>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</si>
  <si>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</si>
  <si>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</si>
  <si>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</si>
  <si>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</si>
  <si>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</si>
  <si>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</si>
  <si>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</si>
  <si>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</si>
  <si>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</si>
  <si>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</si>
  <si>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</si>
  <si>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</si>
  <si>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</si>
  <si>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</si>
  <si>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</si>
  <si>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</si>
  <si>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</si>
  <si>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</si>
  <si>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</si>
  <si>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</si>
  <si>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</si>
  <si>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</si>
  <si>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</si>
  <si>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</si>
  <si>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</si>
  <si>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</si>
  <si>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</si>
  <si>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</si>
  <si>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</si>
  <si>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</si>
  <si>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</si>
  <si>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</si>
  <si>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</si>
  <si>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</si>
  <si>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</si>
  <si>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</si>
  <si>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</si>
  <si>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</si>
  <si>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</si>
  <si>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</si>
  <si>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</si>
  <si>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</si>
  <si>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</si>
  <si>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</si>
  <si>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</si>
  <si>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</si>
  <si>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</si>
  <si>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</si>
  <si>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</si>
  <si>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</si>
  <si>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</si>
  <si>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</si>
  <si>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</si>
  <si>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</si>
  <si>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</si>
  <si>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</si>
  <si>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</si>
  <si>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</si>
  <si>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</si>
  <si>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</si>
  <si>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</si>
  <si>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</si>
  <si>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</si>
  <si>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</si>
  <si>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</si>
  <si>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</si>
  <si>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</si>
  <si>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</si>
  <si>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</si>
  <si>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</si>
  <si>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</si>
  <si>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</si>
  <si>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</si>
  <si>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</si>
  <si>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</si>
  <si>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</si>
  <si>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</si>
  <si>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</si>
  <si>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</si>
  <si>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</si>
  <si>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</si>
  <si>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</si>
  <si>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</si>
  <si>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</si>
  <si>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</si>
  <si>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</si>
  <si>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</si>
  <si>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</si>
  <si>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</si>
  <si>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</si>
  <si>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</si>
  <si>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</si>
  <si>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</si>
  <si>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</si>
  <si>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</si>
  <si>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</si>
  <si>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</si>
  <si>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</si>
  <si>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</si>
  <si>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</si>
  <si>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</si>
  <si>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</si>
  <si>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</si>
  <si>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</si>
  <si>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</si>
  <si>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</si>
  <si>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</si>
  <si>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</si>
  <si>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</si>
  <si>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</si>
  <si>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</si>
  <si>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</si>
  <si>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</si>
  <si>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</si>
  <si>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</si>
  <si>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</si>
  <si>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</si>
  <si>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</si>
  <si>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</si>
  <si>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</si>
  <si>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</si>
  <si>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</si>
  <si>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</si>
  <si>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</si>
  <si>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</si>
  <si>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</si>
  <si>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</si>
  <si>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</si>
  <si>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</si>
  <si>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</si>
  <si>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</si>
  <si>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</si>
  <si>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</si>
  <si>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</si>
  <si>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</si>
  <si>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</si>
  <si>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</si>
  <si>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</si>
  <si>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</si>
  <si>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</si>
  <si>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</si>
  <si>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</si>
  <si>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</si>
  <si>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</si>
  <si>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</si>
  <si>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</si>
  <si>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</si>
  <si>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</si>
  <si>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</si>
  <si>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</si>
  <si>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</si>
  <si>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</si>
  <si>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</si>
  <si>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</si>
  <si>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</si>
  <si>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</si>
  <si>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</si>
  <si>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</si>
  <si>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</si>
  <si>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</si>
  <si>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</si>
  <si>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</si>
  <si>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</si>
  <si>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</si>
  <si>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</si>
  <si>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</si>
  <si>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</si>
  <si>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</si>
  <si>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</si>
  <si>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</si>
  <si>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</si>
  <si>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</si>
  <si>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</si>
  <si>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</si>
  <si>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</si>
  <si>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</si>
  <si>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</si>
  <si>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</si>
  <si>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</si>
  <si>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</si>
  <si>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</si>
  <si>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</si>
  <si>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</si>
  <si>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</si>
  <si>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</si>
  <si>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</si>
  <si>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</si>
  <si>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</si>
  <si>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</si>
  <si>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</si>
  <si>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</si>
  <si>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</si>
  <si>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</si>
  <si>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</si>
  <si>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</si>
  <si>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</si>
  <si>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</si>
  <si>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</si>
  <si>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</si>
  <si>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</si>
  <si>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</si>
  <si>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</si>
  <si>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</si>
  <si>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</si>
  <si>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</si>
  <si>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</si>
  <si>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</si>
  <si>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</si>
  <si>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</si>
  <si>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</si>
  <si>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</si>
  <si>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</si>
  <si>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</si>
  <si>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</si>
  <si>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</si>
  <si>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</si>
  <si>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</si>
  <si>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</si>
  <si>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</si>
  <si>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</si>
  <si>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</si>
  <si>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</si>
  <si>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</si>
  <si>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</si>
  <si>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</si>
  <si>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</si>
  <si>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</si>
  <si>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</si>
  <si>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</si>
  <si>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</si>
  <si>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</si>
  <si>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</si>
  <si>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</si>
  <si>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</si>
  <si>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</si>
  <si>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</si>
  <si>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</si>
  <si>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</si>
  <si>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</si>
  <si>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</si>
  <si>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</si>
  <si>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</si>
  <si>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</si>
  <si>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</si>
  <si>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</si>
  <si>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</si>
  <si>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</si>
  <si>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</si>
  <si>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</si>
  <si>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</si>
  <si>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</si>
  <si>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</si>
  <si>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</si>
  <si>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</si>
  <si>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</si>
  <si>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</si>
  <si>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</si>
  <si>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</si>
  <si>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</si>
  <si>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</si>
  <si>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</si>
  <si>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</si>
  <si>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</si>
  <si>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</si>
  <si>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</si>
  <si>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</si>
  <si>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</si>
  <si>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</si>
  <si>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</si>
  <si>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</si>
  <si>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</si>
  <si>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</si>
  <si>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</si>
  <si>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</si>
  <si>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</si>
  <si>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</si>
  <si>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</si>
  <si>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</si>
  <si>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</si>
  <si>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</si>
  <si>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</si>
  <si>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</si>
  <si>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</si>
  <si>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</si>
  <si>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</si>
  <si>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</si>
  <si>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</si>
  <si>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</si>
  <si>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</si>
  <si>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</si>
  <si>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</si>
  <si>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</si>
  <si>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</si>
  <si>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</si>
  <si>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</si>
  <si>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</si>
  <si>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</si>
  <si>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</si>
  <si>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</si>
  <si>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</si>
  <si>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</si>
  <si>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</si>
  <si>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</si>
  <si>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</si>
  <si>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</si>
  <si>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</si>
  <si>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</si>
  <si>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</si>
  <si>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</si>
  <si>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</si>
  <si>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</si>
  <si>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</si>
  <si>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</si>
  <si>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</si>
  <si>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</si>
  <si>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</si>
  <si>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</si>
  <si>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</si>
  <si>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</si>
  <si>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</si>
  <si>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</si>
  <si>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</si>
  <si>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</si>
  <si>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</si>
  <si>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</si>
  <si>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</si>
  <si>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</si>
  <si>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</si>
  <si>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</si>
  <si>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</si>
  <si>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</si>
  <si>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</si>
  <si>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</si>
  <si>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</si>
  <si>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</si>
  <si>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</si>
  <si>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</si>
  <si>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</si>
  <si>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</si>
  <si>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</si>
  <si>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</si>
  <si>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</si>
  <si>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</si>
  <si>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</si>
  <si>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</si>
  <si>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</si>
  <si>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</si>
  <si>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</si>
  <si>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</si>
  <si>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</si>
  <si>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</si>
  <si>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</si>
  <si>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</si>
  <si>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</si>
  <si>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</si>
  <si>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</si>
  <si>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</si>
  <si>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</si>
  <si>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</si>
  <si>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</si>
  <si>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</si>
  <si>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</si>
  <si>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</si>
  <si>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</si>
  <si>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</si>
  <si>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</si>
  <si>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</si>
  <si>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</si>
  <si>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</si>
  <si>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</si>
  <si>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</si>
  <si>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</si>
  <si>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</si>
  <si>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</si>
  <si>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</si>
  <si>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</si>
  <si>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</si>
  <si>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</si>
  <si>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</si>
  <si>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</si>
  <si>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</si>
  <si>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</si>
  <si>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</si>
  <si>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</si>
  <si>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</si>
  <si>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</si>
  <si>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</si>
  <si>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</si>
  <si>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</si>
  <si>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</si>
  <si>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</si>
  <si>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</si>
  <si>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</si>
  <si>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</si>
  <si>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</si>
  <si>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</si>
  <si>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</si>
  <si>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</si>
  <si>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</si>
  <si>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</si>
  <si>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</si>
  <si>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</si>
  <si>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</si>
  <si>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</si>
  <si>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</si>
  <si>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</si>
  <si>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</si>
  <si>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</si>
  <si>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</si>
  <si>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</si>
  <si>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</si>
  <si>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</si>
  <si>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</si>
  <si>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</si>
  <si>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</si>
  <si>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</si>
  <si>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</si>
  <si>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</si>
  <si>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</si>
  <si>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</si>
  <si>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</si>
  <si>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</si>
  <si>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</si>
  <si>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</si>
  <si>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</si>
  <si>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</si>
  <si>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</si>
  <si>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</si>
  <si>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</si>
  <si>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</si>
  <si>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</si>
  <si>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</si>
  <si>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</si>
  <si>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</si>
  <si>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</si>
  <si>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</si>
  <si>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</si>
  <si>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</si>
  <si>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</si>
  <si>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</si>
  <si>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</si>
  <si>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</si>
  <si>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</si>
  <si>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</si>
  <si>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</si>
  <si>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</si>
  <si>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</si>
  <si>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</si>
  <si>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</si>
  <si>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</si>
  <si>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</si>
  <si>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</si>
  <si>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</si>
  <si>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</si>
  <si>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</si>
  <si>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</si>
  <si>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</si>
  <si>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</si>
  <si>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</si>
  <si>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</si>
  <si>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</si>
  <si>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</si>
  <si>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</si>
  <si>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</si>
  <si>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</si>
  <si>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</si>
  <si>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</si>
  <si>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</si>
  <si>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</si>
  <si>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</si>
  <si>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</si>
  <si>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</si>
  <si>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</si>
  <si>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</si>
  <si>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</si>
  <si>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</si>
  <si>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</si>
  <si>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</si>
  <si>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</si>
  <si>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</si>
  <si>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</si>
  <si>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</si>
  <si>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</si>
  <si>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</si>
  <si>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</si>
  <si>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</si>
  <si>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</si>
  <si>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</si>
  <si>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</si>
  <si>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</si>
  <si>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</si>
  <si>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</si>
  <si>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</si>
  <si>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</si>
  <si>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</si>
  <si>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</si>
  <si>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</si>
  <si>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</si>
  <si>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</si>
  <si>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</si>
  <si>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</si>
  <si>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</si>
  <si>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</si>
  <si>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</si>
  <si>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</si>
  <si>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</si>
  <si>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</si>
  <si>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</si>
  <si>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</si>
  <si>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</si>
  <si>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</si>
  <si>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</si>
  <si>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</si>
  <si>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</si>
  <si>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</si>
  <si>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</si>
  <si>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</si>
  <si>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</si>
  <si>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</si>
  <si>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</si>
  <si>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</si>
  <si>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</si>
  <si>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</si>
  <si>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</si>
  <si>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</si>
  <si>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</si>
  <si>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</si>
  <si>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</si>
  <si>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</si>
  <si>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</si>
  <si>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</si>
  <si>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</si>
  <si>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</si>
  <si>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</si>
  <si>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</si>
  <si>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</si>
  <si>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</si>
  <si>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</si>
  <si>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</si>
  <si>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</si>
  <si>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</si>
  <si>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</si>
  <si>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</si>
  <si>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</si>
  <si>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</si>
  <si>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</si>
  <si>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</si>
  <si>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</si>
  <si>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</si>
  <si>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</si>
  <si>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</si>
  <si>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</si>
  <si>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</si>
  <si>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</si>
  <si>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</si>
  <si>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</si>
  <si>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</si>
  <si>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</si>
  <si>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</si>
  <si>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</si>
  <si>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</si>
  <si>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</si>
  <si>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</si>
  <si>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</si>
  <si>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</si>
  <si>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</si>
  <si>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</si>
  <si>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</si>
  <si>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</si>
  <si>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</si>
  <si>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</si>
  <si>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</si>
  <si>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</si>
  <si>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</si>
  <si>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</si>
  <si>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</si>
  <si>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</si>
  <si>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</si>
  <si>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</si>
  <si>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</si>
  <si>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</si>
  <si>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</si>
  <si>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</si>
  <si>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</si>
  <si>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</si>
  <si>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</si>
  <si>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</si>
  <si>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</si>
  <si>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</si>
  <si>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</si>
  <si>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</si>
  <si>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</si>
  <si>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</si>
  <si>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</si>
  <si>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</si>
  <si>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</si>
  <si>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</si>
  <si>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</si>
  <si>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</si>
  <si>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</si>
  <si>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</si>
  <si>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</si>
  <si>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</si>
  <si>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</si>
  <si>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</si>
  <si>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</si>
  <si>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</si>
  <si>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</si>
  <si>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</si>
  <si>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</si>
  <si>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</si>
  <si>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</si>
  <si>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</si>
  <si>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</si>
  <si>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</si>
  <si>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</si>
  <si>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</si>
  <si>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</si>
  <si>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</si>
  <si>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</si>
  <si>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</si>
  <si>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</si>
  <si>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</si>
  <si>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</si>
  <si>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</si>
  <si>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</si>
  <si>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</si>
  <si>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</si>
  <si>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</si>
  <si>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</si>
  <si>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</si>
  <si>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</si>
  <si>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</si>
  <si>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</si>
  <si>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</si>
  <si>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</si>
  <si>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</si>
  <si>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</si>
  <si>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</si>
  <si>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</si>
  <si>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</si>
  <si>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</si>
  <si>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</si>
  <si>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</si>
  <si>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</si>
  <si>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</si>
  <si>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</si>
  <si>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</si>
  <si>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</si>
  <si>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</si>
  <si>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</si>
  <si>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</si>
  <si>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</si>
  <si>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</si>
  <si>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</si>
  <si>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</si>
  <si>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</si>
  <si>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</si>
  <si>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</si>
  <si>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</si>
  <si>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</si>
  <si>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</si>
  <si>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</si>
  <si>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</si>
  <si>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</si>
  <si>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</si>
  <si>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</si>
  <si>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</si>
  <si>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</si>
  <si>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</si>
  <si>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</si>
  <si>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</si>
  <si>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</si>
  <si>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</si>
  <si>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</si>
  <si>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</si>
  <si>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</si>
  <si>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</si>
  <si>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</si>
  <si>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</si>
  <si>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</si>
  <si>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</si>
  <si>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</si>
  <si>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</si>
  <si>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</si>
  <si>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</si>
  <si>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</si>
  <si>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</si>
  <si>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</si>
  <si>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</si>
  <si>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</si>
  <si>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</si>
  <si>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</si>
  <si>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</si>
  <si>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</si>
  <si>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</si>
  <si>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</si>
  <si>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</si>
  <si>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</si>
  <si>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</si>
  <si>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</si>
  <si>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</si>
  <si>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</si>
  <si>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</si>
  <si>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</si>
  <si>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</si>
  <si>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</si>
  <si>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</si>
  <si>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</si>
  <si>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</si>
  <si>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</si>
  <si>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</si>
  <si>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</si>
  <si>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</si>
  <si>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</si>
  <si>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</si>
  <si>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</si>
  <si>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</si>
  <si>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</si>
  <si>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</si>
  <si>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</si>
  <si>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</si>
  <si>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</si>
  <si>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</si>
  <si>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</si>
  <si>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</si>
  <si>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</si>
  <si>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</si>
  <si>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</si>
  <si>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</si>
  <si>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</si>
  <si>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</si>
  <si>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</si>
  <si>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</si>
  <si>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</si>
  <si>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</si>
  <si>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</si>
  <si>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</si>
  <si>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</si>
  <si>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</si>
  <si>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</si>
  <si>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</si>
  <si>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</si>
  <si>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</si>
  <si>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</si>
  <si>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</si>
  <si>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</si>
  <si>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</si>
  <si>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</si>
  <si>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</si>
  <si>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</si>
  <si>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</si>
  <si>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</si>
  <si>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</si>
  <si>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</si>
  <si>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</si>
  <si>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</si>
  <si>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</si>
  <si>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</si>
  <si>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</si>
  <si>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</si>
  <si>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</si>
  <si>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</si>
  <si>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</si>
  <si>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</si>
  <si>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</si>
  <si>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</si>
  <si>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</si>
  <si>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</si>
  <si>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</si>
  <si>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</si>
  <si>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</si>
  <si>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</si>
  <si>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</si>
  <si>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</si>
  <si>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</si>
  <si>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</si>
  <si>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</si>
  <si>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</si>
  <si>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</si>
  <si>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</si>
  <si>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</si>
  <si>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</si>
  <si>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</si>
  <si>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</si>
  <si>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</si>
  <si>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</si>
  <si>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</si>
  <si>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</si>
  <si>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</si>
  <si>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</si>
  <si>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</si>
  <si>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</si>
  <si>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</si>
  <si>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</si>
  <si>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</si>
  <si>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</si>
  <si>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</si>
  <si>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</si>
  <si>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</si>
  <si>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</si>
  <si>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</si>
  <si>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</si>
  <si>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</si>
  <si>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</si>
  <si>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</si>
  <si>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</si>
  <si>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</si>
  <si>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</si>
  <si>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</si>
  <si>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</si>
  <si>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</si>
  <si>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</si>
  <si>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</si>
  <si>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</si>
  <si>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</si>
  <si>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</si>
  <si>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</si>
  <si>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</si>
  <si>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</si>
  <si>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</si>
  <si>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</si>
  <si>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</si>
  <si>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</si>
  <si>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</si>
  <si>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</si>
  <si>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</si>
  <si>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</si>
  <si>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</si>
  <si>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</si>
  <si>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</si>
  <si>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</si>
  <si>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</si>
  <si>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</si>
  <si>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</si>
  <si>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</si>
  <si>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</si>
  <si>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</si>
  <si>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</si>
  <si>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</si>
  <si>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</si>
  <si>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</si>
  <si>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</si>
  <si>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</si>
  <si>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</si>
  <si>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</si>
  <si>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</si>
  <si>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</si>
  <si>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</si>
  <si>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</si>
  <si>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</si>
  <si>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</si>
  <si>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</si>
  <si>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</si>
  <si>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</si>
  <si>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</si>
  <si>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</si>
  <si>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</si>
  <si>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</si>
  <si>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</si>
  <si>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</si>
  <si>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</si>
  <si>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</si>
  <si>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</si>
  <si>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</si>
  <si>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</si>
  <si>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</si>
  <si>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</si>
  <si>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</si>
  <si>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</si>
  <si>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</si>
  <si>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</si>
  <si>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</si>
  <si>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</si>
  <si>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</si>
  <si>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</si>
  <si>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</si>
  <si>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</si>
  <si>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</si>
  <si>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</si>
  <si>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</si>
  <si>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</si>
  <si>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</si>
  <si>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</si>
  <si>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</si>
  <si>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</si>
  <si>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</si>
  <si>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</si>
  <si>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</si>
  <si>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</si>
  <si>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</si>
  <si>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</si>
  <si>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</si>
  <si>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</si>
  <si>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</si>
  <si>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</si>
  <si>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</si>
  <si>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</si>
  <si>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</si>
  <si>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</si>
  <si>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</si>
  <si>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</si>
  <si>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</si>
  <si>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</si>
  <si>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</si>
  <si>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</si>
  <si>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</si>
  <si>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</si>
  <si>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</si>
  <si>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</si>
  <si>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</si>
  <si>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</si>
  <si>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</si>
  <si>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</si>
  <si>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</si>
  <si>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</si>
  <si>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</si>
  <si>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</si>
  <si>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</si>
  <si>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</si>
  <si>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</si>
  <si>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</si>
  <si>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</si>
  <si>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</si>
  <si>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</si>
  <si>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</si>
  <si>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</si>
  <si>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</si>
  <si>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</si>
  <si>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</si>
  <si>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</si>
  <si>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</si>
  <si>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</si>
  <si>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</si>
  <si>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</si>
  <si>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</si>
  <si>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</si>
  <si>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</si>
  <si>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</si>
  <si>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</si>
  <si>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</si>
  <si>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</si>
  <si>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</si>
  <si>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</si>
  <si>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</si>
  <si>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</si>
  <si>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</si>
  <si>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</si>
  <si>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</si>
  <si>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</si>
  <si>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</si>
  <si>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</si>
  <si>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</si>
  <si>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</si>
  <si>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</si>
  <si>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</si>
  <si>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</si>
  <si>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</si>
  <si>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</si>
  <si>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</si>
  <si>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</si>
  <si>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</si>
  <si>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</si>
  <si>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</si>
  <si>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</si>
  <si>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</si>
  <si>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</si>
  <si>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</si>
  <si>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</si>
  <si>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</si>
  <si>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</si>
  <si>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</si>
  <si>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</si>
  <si>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</si>
  <si>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</si>
  <si>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</si>
  <si>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</si>
  <si>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</si>
  <si>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</si>
  <si>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</si>
  <si>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</si>
  <si>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</si>
  <si>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</si>
  <si>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</si>
  <si>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</si>
  <si>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</si>
  <si>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</si>
  <si>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</si>
  <si>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</si>
  <si>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</si>
  <si>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</si>
  <si>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</si>
  <si>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</si>
  <si>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</si>
  <si>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</si>
  <si>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</si>
  <si>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</si>
  <si>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</si>
  <si>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</si>
  <si>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</si>
  <si>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</si>
  <si>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</si>
  <si>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</si>
  <si>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</si>
  <si>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</si>
  <si>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</si>
  <si>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</si>
  <si>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</si>
  <si>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</si>
  <si>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</si>
  <si>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</si>
  <si>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</si>
  <si>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</si>
  <si>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</si>
  <si>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</si>
  <si>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</si>
  <si>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</si>
  <si>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</si>
  <si>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</si>
  <si>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</si>
  <si>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</si>
  <si>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</si>
  <si>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</si>
  <si>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</si>
  <si>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</si>
  <si>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</si>
  <si>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</si>
  <si>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</si>
  <si>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</si>
  <si>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</si>
  <si>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</si>
  <si>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</si>
  <si>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</si>
  <si>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</si>
  <si>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</si>
  <si>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</si>
  <si>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</si>
  <si>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</si>
  <si>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</si>
  <si>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</si>
  <si>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</si>
  <si>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</si>
  <si>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</si>
  <si>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</si>
  <si>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</si>
  <si>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</si>
  <si>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</si>
  <si>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</si>
  <si>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</si>
  <si>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</si>
  <si>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</si>
  <si>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</si>
  <si>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</si>
  <si>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</si>
  <si>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</si>
  <si>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</si>
  <si>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</si>
  <si>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</si>
  <si>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</si>
  <si>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</si>
  <si>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</si>
  <si>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</si>
  <si>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</si>
  <si>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</si>
  <si>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</si>
  <si>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</si>
  <si>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</si>
  <si>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</si>
  <si>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</si>
  <si>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</si>
  <si>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</si>
  <si>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</si>
  <si>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</si>
  <si>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</si>
  <si>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</si>
  <si>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</si>
  <si>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</si>
  <si>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</si>
  <si>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</si>
  <si>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</si>
  <si>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</si>
  <si>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</si>
  <si>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</si>
  <si>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</si>
  <si>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</si>
  <si>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</si>
  <si>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</si>
  <si>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</si>
  <si>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</si>
  <si>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</si>
  <si>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</si>
  <si>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</si>
  <si>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</si>
  <si>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</si>
  <si>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</si>
  <si>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</si>
  <si>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</si>
  <si>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</si>
  <si>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</si>
  <si>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</si>
  <si>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</si>
  <si>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</si>
  <si>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</si>
  <si>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</si>
  <si>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</si>
  <si>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</si>
  <si>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</si>
  <si>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</si>
  <si>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</si>
  <si>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</si>
  <si>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</si>
  <si>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</si>
  <si>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</si>
  <si>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</si>
  <si>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</si>
  <si>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</si>
  <si>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</si>
  <si>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</si>
  <si>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</si>
  <si>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</si>
  <si>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</si>
  <si>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</si>
  <si>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</si>
  <si>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</si>
  <si>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</si>
  <si>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</si>
  <si>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</si>
  <si>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</si>
  <si>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</si>
  <si>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</si>
  <si>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</si>
  <si>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</si>
  <si>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</si>
  <si>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</si>
  <si>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</si>
  <si>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</si>
  <si>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</si>
  <si>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</si>
  <si>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</si>
  <si>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</si>
  <si>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</si>
  <si>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</si>
  <si>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</si>
  <si>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</si>
  <si>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</si>
  <si>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</si>
  <si>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</si>
  <si>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</si>
  <si>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</si>
  <si>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</si>
  <si>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</si>
  <si>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</si>
  <si>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</si>
  <si>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</si>
  <si>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</si>
  <si>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</si>
  <si>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</si>
  <si>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</si>
  <si>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</si>
  <si>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</si>
  <si>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</si>
  <si>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</si>
  <si>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</si>
  <si>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</si>
  <si>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</si>
  <si>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</si>
  <si>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</si>
  <si>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</si>
  <si>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</si>
  <si>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</si>
  <si>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</si>
  <si>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</si>
  <si>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</si>
  <si>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</si>
  <si>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</si>
  <si>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</si>
  <si>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</si>
  <si>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</si>
  <si>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</si>
  <si>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</si>
  <si>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</si>
  <si>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</si>
  <si>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</si>
  <si>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</si>
  <si>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</si>
  <si>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</si>
  <si>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</si>
  <si>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</si>
  <si>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</si>
  <si>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</si>
  <si>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</si>
  <si>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</si>
  <si>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</si>
  <si>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</si>
  <si>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</si>
  <si>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</si>
  <si>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</si>
  <si>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</si>
  <si>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</si>
  <si>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</si>
  <si>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</si>
  <si>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</si>
  <si>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</si>
  <si>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</si>
  <si>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</si>
  <si>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</si>
  <si>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</si>
  <si>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</si>
  <si>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</si>
  <si>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</si>
  <si>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</si>
  <si>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</si>
  <si>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</si>
  <si>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</si>
  <si>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</si>
  <si>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</si>
  <si>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</si>
  <si>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</si>
  <si>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</si>
  <si>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</si>
  <si>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</si>
  <si>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</si>
  <si>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</si>
  <si>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</si>
  <si>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</si>
  <si>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</si>
  <si>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</si>
  <si>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</si>
  <si>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</si>
  <si>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</si>
  <si>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</si>
  <si>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</si>
  <si>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</si>
  <si>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</si>
  <si>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</si>
  <si>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</si>
  <si>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</si>
  <si>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</si>
  <si>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</si>
  <si>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</si>
  <si>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</si>
  <si>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</si>
  <si>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</si>
  <si>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</si>
  <si>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</si>
  <si>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</si>
  <si>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</si>
  <si>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</si>
  <si>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</si>
  <si>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</si>
  <si>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</si>
  <si>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</si>
  <si>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</si>
  <si>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</si>
  <si>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</si>
  <si>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</si>
  <si>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</si>
  <si>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</si>
  <si>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</si>
  <si>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</si>
  <si>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</si>
  <si>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</si>
  <si>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</si>
  <si>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</si>
  <si>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</si>
  <si>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</si>
  <si>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</si>
  <si>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</si>
  <si>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</si>
  <si>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</si>
  <si>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</si>
  <si>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</si>
  <si>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</si>
  <si>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</si>
  <si>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</si>
  <si>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</si>
  <si>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</si>
  <si>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</si>
  <si>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</si>
  <si>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</si>
  <si>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</si>
  <si>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</si>
  <si>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</si>
  <si>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</si>
  <si>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</si>
  <si>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</si>
  <si>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</si>
  <si>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</si>
  <si>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</si>
  <si>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</si>
  <si>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</si>
  <si>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</si>
  <si>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</si>
  <si>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</si>
  <si>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</si>
  <si>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</si>
  <si>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</si>
  <si>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</si>
  <si>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</si>
  <si>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</si>
  <si>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</si>
  <si>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</si>
  <si>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</si>
  <si>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</si>
  <si>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</si>
  <si>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</si>
  <si>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</si>
  <si>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</si>
  <si>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</si>
  <si>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</si>
  <si>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</si>
  <si>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</si>
  <si>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</si>
  <si>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</si>
  <si>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</si>
  <si>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</si>
  <si>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</si>
  <si>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</si>
  <si>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</si>
  <si>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</si>
  <si>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</si>
  <si>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</si>
  <si>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</si>
  <si>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</si>
  <si>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</si>
  <si>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</si>
  <si>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</si>
  <si>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</si>
  <si>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</si>
  <si>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</si>
  <si>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</si>
  <si>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</si>
  <si>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</si>
  <si>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</si>
  <si>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</si>
  <si>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</si>
  <si>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</si>
  <si>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</si>
  <si>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</si>
  <si>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</si>
  <si>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</si>
  <si>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</si>
  <si>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</si>
  <si>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</si>
  <si>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</si>
  <si>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</si>
  <si>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</si>
  <si>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</si>
  <si>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</si>
  <si>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</si>
  <si>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</si>
  <si>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</si>
  <si>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</si>
  <si>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</si>
  <si>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</si>
  <si>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</si>
  <si>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</si>
  <si>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</si>
  <si>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</si>
  <si>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</si>
  <si>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</si>
  <si>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</si>
  <si>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</si>
  <si>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</si>
  <si>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</si>
  <si>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</si>
  <si>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</si>
  <si>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</si>
  <si>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</si>
  <si>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</si>
  <si>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</si>
  <si>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</si>
  <si>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</si>
  <si>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</si>
  <si>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</si>
  <si>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</si>
  <si>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</si>
  <si>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</si>
  <si>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</si>
  <si>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</si>
  <si>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</si>
  <si>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</si>
  <si>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</si>
  <si>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</si>
  <si>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</si>
  <si>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</si>
  <si>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</si>
  <si>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</si>
  <si>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</si>
  <si>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</si>
  <si>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</si>
  <si>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</si>
  <si>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</si>
  <si>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</si>
  <si>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</si>
  <si>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</si>
  <si>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</si>
  <si>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</si>
  <si>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</si>
  <si>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</si>
  <si>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</si>
  <si>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</si>
  <si>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</si>
  <si>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</si>
  <si>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</si>
  <si>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</si>
  <si>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</si>
  <si>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</si>
  <si>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</si>
  <si>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</si>
  <si>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</si>
  <si>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</si>
  <si>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</si>
  <si>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</si>
  <si>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</si>
  <si>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</si>
  <si>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</si>
  <si>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</si>
  <si>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</si>
  <si>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</si>
  <si>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</si>
  <si>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</si>
  <si>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</si>
  <si>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</si>
  <si>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</si>
  <si>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</si>
  <si>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</si>
  <si>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</si>
  <si>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</si>
  <si>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</si>
  <si>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</si>
  <si>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</si>
  <si>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</si>
  <si>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</si>
  <si>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</si>
  <si>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</si>
  <si>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</si>
  <si>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</si>
  <si>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</si>
  <si>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</si>
  <si>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</si>
  <si>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</si>
  <si>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</si>
  <si>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</si>
  <si>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</si>
  <si>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</si>
  <si>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</si>
  <si>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</si>
  <si>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</si>
  <si>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</si>
  <si>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</si>
  <si>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</si>
  <si>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</si>
  <si>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</si>
  <si>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</si>
  <si>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</si>
  <si>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</si>
  <si>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</si>
  <si>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</si>
  <si>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</si>
  <si>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</si>
  <si>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</si>
  <si>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</si>
  <si>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</si>
  <si>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</si>
  <si>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</si>
  <si>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</si>
  <si>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</si>
  <si>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</si>
  <si>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</si>
  <si>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</si>
  <si>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</si>
  <si>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</si>
  <si>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</si>
  <si>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</si>
  <si>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</si>
  <si>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</si>
  <si>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</si>
  <si>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</si>
  <si>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</si>
  <si>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</si>
  <si>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</si>
  <si>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</si>
  <si>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</si>
  <si>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</si>
  <si>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</si>
  <si>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</si>
  <si>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</si>
  <si>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</si>
  <si>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</si>
  <si>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</si>
  <si>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</si>
  <si>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</si>
  <si>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</si>
  <si>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</si>
  <si>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</si>
  <si>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</si>
  <si>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</si>
  <si>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</si>
  <si>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</si>
  <si>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</si>
  <si>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</si>
  <si>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</si>
  <si>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</si>
  <si>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</si>
  <si>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</si>
  <si>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</si>
  <si>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</si>
  <si>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</si>
  <si>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</si>
  <si>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</si>
  <si>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</si>
  <si>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</si>
  <si>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</si>
  <si>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</si>
  <si>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</si>
  <si>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</si>
  <si>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</si>
  <si>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</si>
  <si>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</si>
  <si>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</si>
  <si>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</si>
  <si>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</si>
  <si>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</si>
  <si>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</si>
  <si>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</si>
  <si>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</si>
  <si>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</si>
  <si>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</si>
  <si>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</si>
  <si>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</si>
  <si>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</si>
  <si>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</si>
  <si>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</si>
  <si>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</si>
  <si>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</si>
  <si>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</si>
  <si>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</si>
  <si>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</si>
  <si>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</si>
  <si>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</si>
  <si>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</si>
  <si>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</si>
  <si>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</si>
  <si>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</si>
  <si>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</si>
  <si>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</si>
  <si>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</si>
  <si>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</si>
  <si>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</si>
  <si>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</si>
  <si>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</si>
  <si>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</si>
  <si>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</si>
  <si>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</si>
  <si>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</si>
  <si>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</si>
  <si>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</si>
  <si>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</si>
  <si>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</si>
  <si>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</si>
  <si>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</si>
  <si>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</si>
  <si>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</si>
  <si>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</si>
  <si>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</si>
  <si>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</si>
  <si>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</si>
  <si>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</si>
  <si>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</si>
  <si>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</si>
  <si>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</si>
  <si>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</si>
  <si>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</si>
  <si>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</si>
  <si>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</si>
  <si>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</si>
  <si>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</si>
  <si>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</si>
  <si>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</si>
  <si>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</si>
  <si>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</si>
  <si>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</si>
  <si>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</si>
  <si>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</si>
  <si>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</si>
  <si>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</si>
  <si>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</si>
  <si>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</si>
  <si>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</si>
  <si>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</si>
  <si>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</si>
  <si>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</si>
  <si>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</si>
  <si>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</si>
  <si>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</si>
  <si>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</si>
  <si>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</si>
  <si>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</si>
  <si>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</si>
  <si>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</si>
  <si>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</si>
  <si>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</si>
  <si>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</si>
  <si>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</si>
  <si>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</si>
  <si>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</si>
  <si>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</si>
  <si>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</si>
  <si>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</si>
  <si>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</si>
  <si>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</si>
  <si>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</si>
  <si>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</si>
  <si>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</si>
  <si>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</si>
  <si>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</si>
  <si>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</si>
  <si>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</si>
  <si>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</si>
  <si>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</si>
  <si>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</si>
  <si>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</si>
  <si>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</si>
  <si>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</si>
  <si>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</si>
  <si>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</si>
  <si>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</si>
  <si>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</si>
  <si>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</si>
  <si>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</si>
  <si>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</si>
  <si>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</si>
  <si>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</si>
  <si>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</si>
  <si>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</si>
  <si>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</si>
  <si>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</si>
  <si>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</si>
  <si>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</si>
  <si>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</si>
  <si>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</si>
  <si>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</si>
  <si>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</si>
  <si>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</si>
  <si>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</si>
  <si>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</si>
  <si>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</si>
  <si>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</si>
  <si>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</si>
  <si>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</si>
  <si>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</si>
  <si>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</si>
  <si>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</si>
  <si>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</si>
  <si>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</si>
  <si>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</si>
  <si>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</si>
  <si>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</si>
  <si>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</si>
  <si>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</si>
  <si>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</si>
  <si>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</si>
  <si>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</si>
  <si>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</si>
  <si>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</si>
  <si>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</si>
  <si>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</si>
  <si>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</si>
  <si>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</si>
  <si>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</si>
  <si>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</si>
  <si>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</si>
  <si>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</si>
  <si>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</si>
  <si>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</si>
  <si>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</si>
  <si>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</si>
  <si>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</si>
  <si>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</si>
  <si>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</si>
  <si>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</si>
  <si>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</si>
  <si>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</si>
  <si>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</si>
  <si>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</si>
  <si>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</si>
  <si>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</si>
  <si>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</si>
  <si>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</si>
  <si>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</si>
  <si>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</si>
  <si>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</si>
  <si>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</si>
  <si>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</si>
  <si>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</si>
  <si>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</si>
  <si>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</si>
  <si>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</si>
  <si>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</si>
  <si>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</si>
  <si>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</si>
  <si>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</si>
  <si>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</si>
  <si>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</si>
  <si>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</si>
  <si>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</si>
  <si>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</si>
  <si>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</si>
  <si>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</si>
  <si>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</si>
  <si>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</si>
  <si>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</si>
  <si>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</si>
  <si>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</si>
  <si>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</si>
  <si>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</si>
  <si>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</si>
  <si>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</si>
  <si>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</si>
  <si>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</si>
  <si>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</si>
  <si>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</si>
  <si>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</si>
  <si>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</si>
  <si>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</si>
  <si>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</si>
  <si>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</si>
  <si>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</si>
  <si>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</si>
  <si>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</si>
  <si>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</si>
  <si>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</si>
  <si>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</si>
  <si>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</si>
  <si>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</si>
  <si>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</si>
  <si>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</si>
  <si>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</si>
  <si>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</si>
  <si>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</si>
  <si>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</si>
  <si>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</si>
  <si>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</si>
  <si>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</si>
  <si>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</si>
  <si>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</si>
  <si>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</si>
  <si>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</si>
  <si>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</si>
  <si>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</si>
  <si>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</si>
  <si>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</si>
  <si>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</si>
  <si>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</si>
  <si>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</si>
  <si>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</si>
  <si>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</si>
  <si>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</si>
  <si>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</si>
  <si>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</si>
  <si>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</si>
  <si>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</si>
  <si>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</si>
  <si>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</si>
  <si>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</si>
  <si>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</si>
  <si>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</si>
  <si>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</si>
  <si>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</si>
  <si>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</si>
  <si>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</si>
  <si>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</si>
  <si>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</si>
  <si>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</si>
  <si>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</si>
  <si>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</si>
  <si>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</si>
  <si>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</si>
  <si>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</si>
  <si>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</si>
  <si>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</si>
  <si>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</si>
  <si>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</si>
  <si>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</si>
  <si>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</si>
  <si>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</si>
  <si>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</si>
  <si>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</si>
  <si>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</si>
  <si>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</si>
  <si>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</si>
  <si>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</si>
  <si>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</si>
  <si>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</si>
  <si>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</si>
  <si>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</si>
  <si>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</si>
  <si>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</si>
  <si>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</si>
  <si>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</si>
  <si>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</si>
  <si>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</si>
  <si>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</si>
  <si>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</si>
  <si>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</si>
  <si>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</si>
  <si>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</si>
  <si>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</si>
  <si>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</si>
  <si>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</si>
  <si>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</si>
  <si>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</si>
  <si>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</si>
  <si>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</si>
  <si>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</si>
  <si>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</si>
  <si>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</si>
  <si>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</si>
  <si>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</si>
  <si>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</si>
  <si>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</si>
  <si>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</si>
  <si>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</si>
  <si>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</si>
  <si>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</si>
  <si>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</si>
  <si>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</si>
  <si>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</si>
  <si>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</si>
  <si>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</si>
  <si>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</si>
  <si>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</si>
  <si>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</si>
  <si>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</si>
  <si>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</si>
  <si>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</si>
  <si>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</si>
  <si>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</si>
  <si>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</si>
  <si>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</si>
  <si>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</si>
  <si>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</si>
  <si>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</si>
  <si>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</si>
  <si>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</si>
  <si>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</si>
  <si>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</si>
  <si>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</si>
  <si>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</si>
  <si>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</si>
  <si>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</si>
  <si>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</si>
  <si>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</si>
  <si>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</si>
  <si>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</si>
  <si>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</si>
  <si>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</si>
  <si>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</si>
  <si>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</si>
  <si>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</si>
  <si>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</si>
  <si>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</si>
  <si>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</si>
  <si>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</si>
  <si>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</si>
  <si>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</si>
  <si>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</si>
  <si>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</si>
  <si>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</si>
  <si>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</si>
  <si>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</si>
  <si>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</si>
  <si>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</si>
  <si>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</si>
  <si>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</si>
  <si>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</si>
  <si>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</si>
  <si>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</si>
  <si>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</si>
  <si>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</si>
  <si>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</si>
  <si>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</si>
  <si>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</si>
  <si>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</si>
  <si>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</si>
  <si>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</si>
  <si>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</si>
  <si>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</si>
  <si>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</si>
  <si>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</si>
  <si>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</si>
  <si>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</si>
  <si>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</si>
  <si>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</si>
  <si>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</si>
  <si>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</si>
  <si>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</si>
  <si>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</si>
  <si>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</si>
  <si>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</si>
  <si>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</si>
  <si>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</si>
  <si>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</si>
  <si>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</si>
  <si>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</si>
  <si>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</si>
  <si>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</si>
  <si>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</si>
  <si>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</si>
  <si>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</si>
  <si>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</si>
  <si>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</si>
  <si>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</si>
  <si>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</si>
  <si>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</si>
  <si>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</si>
  <si>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</si>
  <si>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</si>
  <si>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</si>
  <si>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</si>
  <si>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</si>
  <si>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</si>
  <si>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</si>
  <si>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</si>
  <si>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</si>
  <si>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</si>
  <si>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</si>
  <si>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</si>
  <si>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</si>
  <si>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</si>
  <si>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</si>
  <si>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</si>
  <si>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</si>
  <si>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</si>
  <si>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</si>
  <si>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</si>
  <si>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</si>
  <si>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</si>
  <si>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</si>
  <si>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</si>
  <si>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</si>
  <si>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</si>
  <si>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</si>
  <si>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</si>
  <si>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</si>
  <si>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</si>
  <si>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</si>
  <si>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</si>
  <si>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</si>
  <si>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</si>
  <si>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</si>
  <si>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</si>
  <si>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</si>
  <si>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</si>
  <si>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</si>
  <si>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</si>
  <si>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</si>
  <si>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</si>
  <si>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</si>
  <si>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</si>
  <si>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</si>
  <si>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</si>
  <si>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</si>
  <si>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</si>
  <si>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</si>
  <si>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</si>
  <si>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</si>
  <si>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</si>
  <si>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</si>
  <si>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</si>
  <si>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</si>
  <si>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</si>
  <si>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</si>
  <si>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</si>
  <si>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</si>
  <si>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</si>
  <si>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</si>
  <si>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</si>
  <si>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</si>
  <si>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</si>
  <si>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</si>
  <si>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</si>
  <si>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</si>
  <si>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</si>
  <si>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</si>
  <si>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</si>
  <si>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</si>
  <si>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</si>
  <si>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</si>
  <si>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</si>
  <si>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</si>
  <si>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</si>
  <si>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</si>
  <si>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</si>
  <si>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</si>
  <si>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</si>
  <si>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</si>
  <si>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</si>
  <si>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</si>
  <si>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</si>
  <si>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</si>
  <si>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</si>
  <si>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</si>
  <si>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</si>
  <si>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</si>
  <si>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</si>
  <si>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</si>
  <si>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</si>
  <si>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</si>
  <si>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</si>
  <si>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</si>
  <si>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</si>
  <si>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</si>
  <si>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</si>
  <si>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</si>
  <si>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</si>
  <si>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</si>
  <si>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</si>
  <si>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</si>
  <si>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</si>
  <si>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</si>
  <si>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</si>
  <si>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</si>
  <si>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</si>
  <si>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</si>
  <si>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</si>
  <si>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</si>
  <si>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</si>
  <si>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</si>
  <si>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</si>
  <si>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</si>
  <si>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</si>
  <si>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</si>
  <si>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</si>
  <si>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</si>
  <si>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</si>
  <si>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</si>
  <si>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</si>
  <si>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</si>
  <si>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</si>
  <si>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</si>
  <si>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</si>
  <si>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</si>
  <si>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</si>
  <si>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</si>
  <si>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</si>
  <si>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</si>
  <si>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</si>
  <si>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</si>
  <si>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</si>
  <si>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</si>
  <si>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</si>
  <si>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</si>
  <si>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</si>
  <si>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</si>
  <si>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</si>
  <si>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</si>
  <si>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</si>
  <si>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</si>
  <si>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</si>
  <si>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</si>
  <si>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</si>
  <si>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</si>
  <si>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</si>
  <si>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</si>
  <si>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</si>
  <si>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</si>
  <si>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</si>
  <si>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</si>
  <si>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</si>
  <si>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</si>
  <si>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</si>
  <si>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</si>
  <si>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</si>
  <si>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</si>
  <si>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</si>
  <si>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</si>
  <si>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</si>
  <si>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</si>
  <si>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</si>
  <si>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</si>
  <si>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</si>
  <si>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</si>
  <si>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</si>
  <si>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</si>
  <si>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</si>
  <si>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</si>
  <si>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</si>
  <si>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</si>
  <si>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</si>
  <si>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</si>
  <si>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</si>
  <si>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</si>
  <si>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</si>
  <si>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</si>
  <si>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</si>
  <si>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</si>
  <si>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</si>
  <si>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</si>
  <si>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</si>
  <si>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</si>
  <si>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</si>
  <si>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</si>
  <si>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</si>
  <si>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</si>
  <si>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</si>
  <si>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</si>
  <si>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</si>
  <si>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</si>
  <si>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</si>
  <si>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</si>
  <si>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</si>
  <si>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</si>
  <si>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</si>
  <si>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</si>
  <si>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</si>
  <si>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</si>
  <si>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</si>
  <si>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</si>
  <si>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</si>
  <si>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</si>
  <si>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</si>
  <si>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</si>
  <si>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</si>
  <si>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</si>
  <si>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</si>
  <si>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</si>
  <si>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</si>
  <si>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</si>
  <si>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</si>
  <si>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</si>
  <si>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</si>
  <si>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</si>
  <si>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</si>
  <si>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</si>
  <si>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</si>
  <si>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</si>
  <si>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</si>
  <si>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</si>
  <si>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</si>
  <si>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</si>
  <si>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</si>
  <si>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</si>
  <si>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</si>
  <si>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</si>
  <si>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</si>
  <si>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</si>
  <si>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</si>
  <si>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</si>
  <si>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</si>
  <si>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</si>
  <si>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</si>
  <si>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</si>
  <si>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</si>
  <si>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</si>
  <si>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</si>
  <si>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</si>
  <si>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</si>
  <si>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</si>
  <si>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</si>
  <si>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</si>
  <si>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</si>
  <si>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</si>
  <si>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</si>
  <si>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</si>
  <si>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</si>
  <si>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</si>
  <si>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</si>
  <si>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</si>
  <si>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</si>
  <si>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</si>
  <si>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</si>
  <si>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</si>
  <si>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</si>
  <si>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</si>
  <si>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</si>
  <si>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</si>
  <si>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</si>
  <si>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</si>
  <si>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</si>
  <si>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</si>
  <si>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</si>
  <si>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</si>
  <si>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</si>
  <si>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</si>
  <si>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</si>
  <si>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</si>
  <si>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</si>
  <si>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</si>
  <si>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</si>
  <si>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</si>
  <si>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</si>
  <si>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</si>
  <si>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</si>
  <si>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</si>
  <si>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</si>
  <si>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</si>
  <si>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</si>
  <si>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</si>
  <si>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</si>
  <si>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</si>
  <si>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</si>
  <si>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</si>
  <si>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</si>
  <si>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</si>
  <si>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</si>
  <si>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</si>
  <si>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</si>
  <si>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</si>
  <si>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</si>
  <si>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</si>
  <si>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</si>
  <si>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</si>
  <si>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</si>
  <si>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</si>
  <si>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</si>
  <si>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</si>
  <si>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</si>
  <si>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</si>
  <si>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</si>
  <si>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</si>
  <si>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</si>
  <si>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</si>
  <si>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</si>
  <si>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</si>
  <si>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</si>
  <si>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</si>
  <si>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</si>
  <si>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</si>
  <si>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</si>
  <si>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</si>
  <si>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</si>
  <si>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</si>
  <si>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</si>
  <si>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</si>
  <si>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</si>
  <si>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</si>
  <si>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</si>
  <si>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</si>
  <si>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</si>
  <si>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</si>
  <si>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</si>
  <si>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</si>
  <si>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</si>
  <si>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</si>
  <si>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</si>
  <si>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</si>
  <si>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</si>
  <si>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</si>
  <si>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</si>
  <si>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</si>
  <si>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</si>
  <si>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</si>
  <si>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</si>
  <si>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</si>
  <si>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</si>
  <si>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</si>
  <si>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</si>
  <si>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</si>
  <si>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</si>
  <si>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</si>
  <si>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</si>
  <si>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</si>
  <si>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</si>
  <si>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</si>
  <si>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</si>
  <si>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</si>
  <si>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</si>
  <si>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</si>
  <si>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</si>
  <si>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</si>
  <si>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</si>
  <si>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</si>
  <si>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</si>
  <si>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</si>
  <si>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</si>
  <si>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</si>
  <si>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</si>
  <si>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</si>
  <si>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</si>
  <si>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</si>
  <si>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</si>
  <si>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</si>
  <si>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</si>
  <si>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</si>
  <si>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</si>
  <si>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</si>
  <si>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</si>
  <si>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</si>
  <si>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</si>
  <si>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</si>
  <si>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</si>
  <si>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</si>
  <si>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</si>
  <si>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</si>
  <si>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</si>
  <si>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</si>
  <si>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</si>
  <si>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</si>
  <si>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</si>
  <si>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</si>
  <si>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</si>
  <si>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</si>
  <si>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</si>
  <si>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</si>
  <si>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</si>
  <si>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</si>
  <si>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</si>
  <si>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</si>
  <si>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</si>
  <si>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</si>
  <si>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</si>
  <si>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</si>
  <si>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</si>
  <si>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</si>
  <si>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</si>
  <si>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</si>
  <si>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</si>
  <si>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</si>
  <si>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</si>
  <si>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</si>
  <si>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</si>
  <si>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</si>
  <si>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</si>
  <si>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</si>
  <si>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</si>
  <si>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</si>
  <si>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</si>
  <si>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</si>
  <si>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</si>
  <si>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</si>
  <si>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</si>
  <si>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</si>
  <si>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</si>
  <si>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</si>
  <si>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</si>
  <si>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</si>
  <si>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t>大兴区旧宫镇</t>
    <phoneticPr fontId="3" type="noConversion"/>
  </si>
  <si>
    <t>大兴区黄村镇狼垡地区</t>
    <phoneticPr fontId="3" type="noConversion"/>
  </si>
  <si>
    <t>瀛海镇集体经营性建设用地入市试点（一期）地块内</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</si>
  <si>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</si>
  <si>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</si>
  <si>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</si>
  <si>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</si>
  <si>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</si>
  <si>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</si>
  <si>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</si>
  <si>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</si>
  <si>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</si>
  <si>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</si>
  <si>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</si>
  <si>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</si>
  <si>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</si>
  <si>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</si>
  <si>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</si>
  <si>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</si>
  <si>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40</t>
    <phoneticPr fontId="3" type="noConversion"/>
  </si>
  <si>
    <t>50</t>
    <phoneticPr fontId="3" type="noConversion"/>
  </si>
  <si>
    <t>70</t>
    <phoneticPr fontId="3" type="noConversion"/>
  </si>
  <si>
    <r>
      <rPr>
        <sz val="11"/>
        <color indexed="8"/>
        <rFont val="宋体"/>
        <family val="3"/>
        <charset val="134"/>
      </rPr>
      <t>容积率</t>
    </r>
    <phoneticPr fontId="3" type="noConversion"/>
  </si>
  <si>
    <r>
      <rPr>
        <sz val="11"/>
        <color indexed="8"/>
        <rFont val="宋体"/>
        <family val="3"/>
        <charset val="134"/>
      </rPr>
      <t>配建</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</si>
  <si>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</si>
  <si>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</si>
  <si>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</si>
  <si>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一般</t>
  </si>
  <si>
    <t>较好</t>
  </si>
  <si>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</si>
  <si>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</si>
  <si>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</si>
  <si>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</si>
  <si>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</si>
  <si>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</si>
  <si>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</si>
  <si>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</si>
  <si>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临街状况</t>
    </r>
    <phoneticPr fontId="3" type="noConversion"/>
  </si>
  <si>
    <t>多面临街</t>
  </si>
  <si>
    <r>
      <rPr>
        <sz val="11"/>
        <color indexed="8"/>
        <rFont val="宋体"/>
        <family val="3"/>
        <charset val="134"/>
      </rPr>
      <t>毗邻道路的类型与等级</t>
    </r>
    <phoneticPr fontId="3" type="noConversion"/>
  </si>
  <si>
    <t>主干道</t>
  </si>
  <si>
    <r>
      <rPr>
        <sz val="11"/>
        <color indexed="8"/>
        <rFont val="宋体"/>
        <family val="3"/>
        <charset val="134"/>
      </rPr>
      <t>土地级别</t>
    </r>
    <phoneticPr fontId="3" type="noConversion"/>
  </si>
  <si>
    <r>
      <rPr>
        <sz val="11"/>
        <rFont val="宋体"/>
        <family val="3"/>
        <charset val="134"/>
      </rPr>
      <t>实物状况</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</si>
  <si>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</si>
  <si>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</si>
  <si>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</si>
  <si>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</si>
  <si>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</si>
  <si>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</si>
  <si>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</si>
  <si>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t>五通</t>
  </si>
  <si>
    <t>六通</t>
  </si>
  <si>
    <r>
      <rPr>
        <sz val="11"/>
        <color indexed="8"/>
        <rFont val="宋体"/>
        <family val="3"/>
        <charset val="134"/>
      </rPr>
      <t>工程地质条件</t>
    </r>
    <phoneticPr fontId="3" type="noConversion"/>
  </si>
  <si>
    <r>
      <rPr>
        <b/>
        <sz val="11"/>
        <rFont val="宋体"/>
        <family val="3"/>
        <charset val="134"/>
      </rPr>
      <t>成交单价</t>
    </r>
    <phoneticPr fontId="3" type="noConversion"/>
  </si>
  <si>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</si>
  <si>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</si>
  <si>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</si>
  <si>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</si>
  <si>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</si>
  <si>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</si>
  <si>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</si>
  <si>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</si>
  <si>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</si>
  <si>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</si>
  <si>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</si>
  <si>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</si>
  <si>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</si>
  <si>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</si>
  <si>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</si>
  <si>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</si>
  <si>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</si>
  <si>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</si>
  <si>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</si>
  <si>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</si>
  <si>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</si>
  <si>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</si>
  <si>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</si>
  <si>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</si>
  <si>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color indexed="53"/>
        <rFont val="宋体"/>
        <family val="3"/>
        <charset val="134"/>
      </rPr>
      <t>办公</t>
    </r>
  </si>
  <si>
    <r>
      <rPr>
        <sz val="10"/>
        <rFont val="宋体"/>
        <family val="3"/>
        <charset val="134"/>
      </rPr>
      <t>地下车库</t>
    </r>
    <phoneticPr fontId="3"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</si>
  <si>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</si>
  <si>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</si>
  <si>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</si>
  <si>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sz val="10"/>
        <color theme="1"/>
        <rFont val="宋体"/>
        <family val="3"/>
        <charset val="134"/>
      </rPr>
      <t>对应办公级别</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</si>
  <si>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</si>
  <si>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</si>
  <si>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</si>
  <si>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</si>
  <si>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</si>
  <si>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</si>
  <si>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</si>
  <si>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</si>
  <si>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</si>
  <si>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</si>
  <si>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</si>
  <si>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</si>
  <si>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</si>
  <si>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</si>
  <si>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</si>
  <si>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</si>
  <si>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</si>
  <si>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</si>
  <si>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</si>
  <si>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</si>
  <si>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</si>
  <si>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</si>
  <si>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</si>
  <si>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</si>
  <si>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</si>
  <si>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</si>
  <si>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</si>
  <si>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</si>
  <si>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</si>
  <si>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</si>
  <si>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较规则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</si>
  <si>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</si>
  <si>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</si>
  <si>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</si>
  <si>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</si>
  <si>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r>
      <rPr>
        <sz val="11"/>
        <color indexed="8"/>
        <rFont val="宋体"/>
        <family val="3"/>
        <charset val="134"/>
      </rPr>
      <t>工程地质条件</t>
    </r>
    <phoneticPr fontId="3" type="noConversion"/>
  </si>
  <si>
    <t>土地开发补偿费</t>
  </si>
  <si>
    <t>地上</t>
  </si>
  <si>
    <t>否</t>
  </si>
  <si>
    <t>大兴区西红门镇3号地</t>
    <phoneticPr fontId="6" type="noConversion"/>
  </si>
  <si>
    <t>企业</t>
  </si>
  <si>
    <t>核定资产</t>
  </si>
  <si>
    <t>市场价格</t>
  </si>
  <si>
    <t>住宅</t>
    <phoneticPr fontId="7" type="noConversion"/>
  </si>
  <si>
    <t>不动产收益法</t>
  </si>
  <si>
    <t>项目全部</t>
  </si>
  <si>
    <t>土地</t>
  </si>
  <si>
    <t>比较法-住宅、综合</t>
  </si>
  <si>
    <t>已全部缴纳</t>
  </si>
  <si>
    <t>剩余法-待开发</t>
  </si>
  <si>
    <t>押三</t>
  </si>
  <si>
    <t>按票据</t>
  </si>
  <si>
    <t>一般</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</si>
</sst>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1"/>
      <color indexed="10"/>
      <name val="宋体"/>
      <family val="3"/>
      <charset val="134"/>
    </font>
    <font>
      <sz val="10"/>
      <color indexed="53"/>
      <name val="宋体"/>
      <family val="3"/>
      <charset val="134"/>
    </font>
    <font>
      <b/>
      <sz val="16"/>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8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vertical="center"/>
    </xf>
    <xf numFmtId="0" fontId="102"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protection locked="0"/>
    </xf>
    <xf numFmtId="0" fontId="98" fillId="0" borderId="0" xfId="1" applyFont="1" applyFill="1" applyAlignment="1" applyProtection="1">
      <alignment horizontal="center" vertical="center"/>
      <protection locked="0"/>
    </xf>
    <xf numFmtId="178"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8" fontId="101" fillId="5" borderId="0" xfId="1" applyNumberFormat="1" applyFont="1" applyFill="1" applyBorder="1" applyAlignment="1" applyProtection="1">
      <alignment horizontal="center"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101" fillId="0" borderId="44" xfId="1" applyFont="1" applyFill="1" applyBorder="1" applyAlignment="1" applyProtection="1">
      <alignment vertical="center"/>
      <protection locked="0"/>
    </xf>
    <xf numFmtId="0" fontId="101" fillId="5" borderId="19" xfId="1" applyFont="1" applyFill="1" applyBorder="1" applyAlignment="1" applyProtection="1">
      <alignment horizontal="center" vertical="center"/>
    </xf>
    <xf numFmtId="0" fontId="98"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49" fontId="262" fillId="0" borderId="11" xfId="1" applyNumberFormat="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10"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3" xfId="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5" borderId="64"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protection locked="0"/>
    </xf>
    <xf numFmtId="0" fontId="84" fillId="2" borderId="20"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71" fillId="2" borderId="87" xfId="1" applyNumberFormat="1" applyFont="1" applyFill="1" applyBorder="1" applyAlignment="1" applyProtection="1">
      <alignment horizontal="center" vertical="center" wrapText="1"/>
      <protection locked="0"/>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5" xfId="1" applyFont="1" applyFill="1" applyBorder="1" applyAlignment="1" applyProtection="1">
      <alignment horizontal="center" vertical="center"/>
      <protection locked="0"/>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00" fillId="5" borderId="54" xfId="1" applyFont="1" applyFill="1" applyBorder="1" applyAlignment="1" applyProtection="1">
      <alignment vertical="center" textRotation="255" wrapText="1"/>
    </xf>
    <xf numFmtId="0" fontId="80" fillId="0" borderId="45" xfId="1" applyFont="1" applyFill="1" applyBorder="1" applyAlignment="1" applyProtection="1">
      <alignment horizontal="center" vertical="center"/>
      <protection locked="0"/>
    </xf>
    <xf numFmtId="0" fontId="84" fillId="0" borderId="43" xfId="1" applyNumberFormat="1" applyFont="1" applyFill="1" applyBorder="1" applyAlignment="1" applyProtection="1">
      <alignment horizontal="center" vertical="center" wrapText="1"/>
      <protection locked="0"/>
    </xf>
    <xf numFmtId="0" fontId="71" fillId="5" borderId="46" xfId="1" applyNumberFormat="1" applyFont="1" applyFill="1" applyBorder="1" applyAlignment="1" applyProtection="1">
      <alignment horizontal="center" vertical="center" wrapText="1"/>
    </xf>
    <xf numFmtId="0" fontId="84" fillId="0" borderId="47"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2" borderId="64"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5"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5" fontId="83" fillId="5" borderId="60"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wrapText="1"/>
    </xf>
    <xf numFmtId="185" fontId="84" fillId="5" borderId="2" xfId="1" applyNumberFormat="1" applyFont="1" applyFill="1" applyBorder="1" applyAlignment="1" applyProtection="1">
      <alignment horizontal="center"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5" fontId="83" fillId="5" borderId="61" xfId="1" applyNumberFormat="1" applyFont="1" applyFill="1" applyBorder="1" applyAlignment="1" applyProtection="1">
      <alignment vertical="center" wrapText="1"/>
    </xf>
    <xf numFmtId="188" fontId="84" fillId="5" borderId="2" xfId="1" applyNumberFormat="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5" fontId="83" fillId="5" borderId="2" xfId="1" applyNumberFormat="1" applyFont="1" applyFill="1" applyBorder="1" applyAlignment="1" applyProtection="1">
      <alignment horizontal="center" vertical="center"/>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xf>
    <xf numFmtId="0" fontId="105" fillId="5" borderId="0" xfId="1" applyFont="1" applyFill="1" applyAlignment="1" applyProtection="1">
      <alignment horizontal="center" vertical="center"/>
    </xf>
    <xf numFmtId="14" fontId="84" fillId="5" borderId="1" xfId="1" applyNumberFormat="1" applyFont="1" applyFill="1" applyBorder="1" applyAlignment="1" applyProtection="1">
      <alignment horizontal="left" vertical="center"/>
    </xf>
    <xf numFmtId="177" fontId="84" fillId="5" borderId="6" xfId="1" applyNumberFormat="1" applyFont="1" applyFill="1" applyBorder="1" applyAlignment="1" applyProtection="1">
      <alignment horizontal="center" vertical="center"/>
    </xf>
    <xf numFmtId="0" fontId="84" fillId="6" borderId="6" xfId="1" applyFont="1" applyFill="1" applyBorder="1" applyAlignment="1" applyProtection="1">
      <alignment horizontal="center" vertical="center"/>
      <protection locked="0"/>
    </xf>
    <xf numFmtId="0" fontId="8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29" xfId="1" applyFont="1" applyFill="1" applyBorder="1" applyAlignment="1" applyProtection="1">
      <alignment horizontal="center" vertical="center"/>
    </xf>
    <xf numFmtId="0" fontId="84" fillId="5" borderId="6" xfId="1" applyFont="1" applyFill="1" applyBorder="1" applyAlignment="1" applyProtection="1">
      <alignment horizontal="center" vertical="center" wrapText="1"/>
    </xf>
    <xf numFmtId="0" fontId="149" fillId="5" borderId="7" xfId="1" applyFont="1" applyFill="1" applyBorder="1" applyAlignment="1" applyProtection="1">
      <alignment horizontal="center" vertical="center"/>
    </xf>
    <xf numFmtId="0" fontId="149" fillId="5" borderId="115" xfId="1" applyFont="1" applyFill="1" applyBorder="1" applyAlignment="1" applyProtection="1">
      <alignment horizontal="center" vertical="center"/>
    </xf>
    <xf numFmtId="0" fontId="15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84" fillId="5" borderId="11" xfId="1" applyFont="1" applyFill="1" applyBorder="1" applyAlignment="1" applyProtection="1">
      <alignment horizontal="center" vertical="center" wrapText="1"/>
    </xf>
    <xf numFmtId="0" fontId="152" fillId="5" borderId="12" xfId="1" applyFont="1" applyFill="1" applyBorder="1" applyAlignment="1" applyProtection="1">
      <alignment horizontal="center" vertical="center"/>
    </xf>
    <xf numFmtId="0" fontId="152" fillId="5" borderId="89"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protection locked="0"/>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0" fontId="152" fillId="5" borderId="11" xfId="1" applyFont="1" applyFill="1" applyBorder="1" applyAlignment="1" applyProtection="1">
      <alignment horizontal="center" vertical="center"/>
    </xf>
    <xf numFmtId="0" fontId="109" fillId="5" borderId="2" xfId="1" applyFont="1" applyFill="1" applyBorder="1" applyAlignment="1" applyProtection="1">
      <alignment horizontal="center" vertical="center"/>
    </xf>
    <xf numFmtId="0" fontId="152" fillId="0" borderId="89" xfId="1" applyFont="1" applyFill="1" applyBorder="1" applyAlignment="1" applyProtection="1">
      <alignment horizontal="center" vertical="center"/>
      <protection locked="0"/>
    </xf>
    <xf numFmtId="0" fontId="152"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52" fillId="5" borderId="43" xfId="1" applyFont="1" applyFill="1" applyBorder="1" applyAlignment="1" applyProtection="1">
      <alignment horizontal="center" vertical="center"/>
    </xf>
    <xf numFmtId="0" fontId="109" fillId="5" borderId="44" xfId="1" applyFont="1" applyFill="1" applyBorder="1" applyAlignment="1" applyProtection="1">
      <alignment horizontal="center" vertical="center"/>
    </xf>
    <xf numFmtId="0" fontId="152" fillId="5" borderId="46" xfId="1" applyFont="1" applyFill="1" applyBorder="1" applyAlignment="1" applyProtection="1">
      <alignment horizontal="center" vertical="center"/>
    </xf>
    <xf numFmtId="0" fontId="152" fillId="0" borderId="116" xfId="1" applyFont="1" applyFill="1" applyBorder="1" applyAlignment="1" applyProtection="1">
      <alignment horizontal="center" vertical="center"/>
      <protection locked="0"/>
    </xf>
    <xf numFmtId="0" fontId="86" fillId="5" borderId="44" xfId="1" applyFont="1" applyFill="1" applyBorder="1" applyAlignment="1" applyProtection="1">
      <alignment horizontal="center"/>
    </xf>
    <xf numFmtId="178" fontId="95" fillId="5" borderId="46" xfId="1" applyNumberFormat="1" applyFont="1" applyFill="1" applyBorder="1" applyAlignment="1" applyProtection="1">
      <alignment horizontal="center"/>
    </xf>
    <xf numFmtId="0" fontId="86" fillId="5" borderId="0" xfId="1" applyFont="1" applyFill="1" applyAlignment="1" applyProtection="1"/>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182" fontId="84" fillId="5" borderId="0" xfId="1" applyNumberFormat="1" applyFont="1" applyFill="1" applyBorder="1" applyAlignment="1" applyProtection="1">
      <protection locked="0"/>
    </xf>
    <xf numFmtId="0" fontId="84" fillId="0" borderId="0" xfId="1" applyFont="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0" borderId="0" xfId="1" applyNumberFormat="1" applyFont="1" applyFill="1" applyBorder="1" applyAlignment="1" applyProtection="1">
      <alignment horizontal="center" vertical="center"/>
      <protection locked="0"/>
    </xf>
    <xf numFmtId="49" fontId="71" fillId="0" borderId="0" xfId="1" applyNumberFormat="1" applyFont="1" applyFill="1" applyAlignment="1" applyProtection="1">
      <alignment horizontal="center" vertical="center"/>
      <protection locked="0"/>
    </xf>
    <xf numFmtId="0" fontId="75" fillId="6" borderId="11"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1" fillId="0" borderId="16"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6"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0"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0"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0"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10-&#24120;&#30021;20190424-0958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2"/>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大兴区西红门镇3号地</v>
          </cell>
        </row>
        <row r="35">
          <cell r="F35">
            <v>0</v>
          </cell>
        </row>
      </sheetData>
      <sheetData sheetId="11">
        <row r="3">
          <cell r="A3">
            <v>43861.485999999997</v>
          </cell>
        </row>
      </sheetData>
      <sheetData sheetId="12"/>
      <sheetData sheetId="13">
        <row r="3">
          <cell r="D3">
            <v>43861.49</v>
          </cell>
          <cell r="E3">
            <v>117266.29000000001</v>
          </cell>
        </row>
        <row r="8">
          <cell r="E8">
            <v>87711.97</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4">
        <row r="2">
          <cell r="B2">
            <v>43577</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sheetData sheetId="35">
        <row r="21">
          <cell r="N21" t="str">
            <v>商业</v>
          </cell>
          <cell r="P21">
            <v>1.46E-2</v>
          </cell>
        </row>
        <row r="22">
          <cell r="N22" t="str">
            <v>办公</v>
          </cell>
          <cell r="P22">
            <v>1.46E-2</v>
          </cell>
        </row>
        <row r="23">
          <cell r="N23" t="str">
            <v>住宅</v>
          </cell>
          <cell r="P23">
            <v>2.2599999999999999E-2</v>
          </cell>
        </row>
        <row r="24">
          <cell r="N24" t="str">
            <v>工业</v>
          </cell>
          <cell r="P24">
            <v>1.4E-2</v>
          </cell>
        </row>
        <row r="25">
          <cell r="N25" t="str">
            <v>综合</v>
          </cell>
          <cell r="P25">
            <v>2.06E-2</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北京市大兴区西红门镇3号地出让国有建设用地使用权市场价格预评估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受贵公司委托，我公司对北京市大兴区西红门镇3号地出让国有建设用地使用权市场价格进行了预评估。</v>
      </c>
      <c r="AM6" s="2858"/>
    </row>
    <row r="7" spans="1:55" s="2832" customFormat="1">
      <c r="A7" s="2833" t="s">
        <v>2657</v>
      </c>
      <c r="B7" s="2834" t="str">
        <f>'预评函-1'!A6</f>
        <v>估价对象为使用的、位于北京市大兴区西红门镇3号地出让国有建设用地使用权。根据《国有土地使用证》[]，估价对象（分摊）出让国有建设用地使用权面积为43861.49平方米。根据《建设工程规划许可证》[]、《出让合同》[]，估价对象规划建筑面积为117266.29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2019年4月22日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根据《国有土地使用证》[]，估价对象（分摊）出让国有建设用地使用权面积为43861.49平方米。根据《建设工程规划许可证》[]、《出让合同》[]，估价对象规划建筑面积为117266.29平方米。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4月22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19" spans="1:48" s="2832" customFormat="1">
      <c r="A19" s="2833" t="s">
        <v>2672</v>
      </c>
      <c r="B19" s="2834" t="str">
        <f>'预评函-1'!A26</f>
        <v>——</v>
      </c>
    </row>
    <row r="20" spans="1:48" s="2832" customFormat="1">
      <c r="A20" s="2833" t="s">
        <v>2673</v>
      </c>
      <c r="B20" s="2834" t="str">
        <f>'预评函-1'!A27</f>
        <v>——</v>
      </c>
    </row>
    <row r="21" spans="1:48" s="2848" customFormat="1" ht="15" thickBot="1">
      <c r="A21" s="2855" t="s">
        <v>2674</v>
      </c>
      <c r="B21" s="2856" t="str">
        <f>'预评函-1'!A28</f>
        <v>——</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估价期日：2019年4月22日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43861.49</v>
      </c>
    </row>
    <row r="44" spans="1:2">
      <c r="A44" s="2833" t="s">
        <v>2740</v>
      </c>
      <c r="B44" s="2834" t="str">
        <f>'预评函-2'!O3</f>
        <v>规划建筑面积/㎡</v>
      </c>
    </row>
    <row r="45" spans="1:2">
      <c r="A45" s="2833" t="s">
        <v>2722</v>
      </c>
      <c r="B45" s="2834">
        <f>'预评函-2'!O5</f>
        <v>117266.29000000001</v>
      </c>
    </row>
    <row r="46" spans="1:2">
      <c r="A46" s="2833" t="s">
        <v>2723</v>
      </c>
      <c r="B46" s="2834">
        <f ca="1">'预评函-2'!P5</f>
        <v>22350</v>
      </c>
    </row>
    <row r="47" spans="1:2">
      <c r="A47" s="2833" t="s">
        <v>2724</v>
      </c>
      <c r="B47" s="2834">
        <f ca="1">'预评函-2'!Q5</f>
        <v>8360</v>
      </c>
    </row>
    <row r="48" spans="1:2">
      <c r="A48" s="2833" t="s">
        <v>2725</v>
      </c>
      <c r="B48" s="2834">
        <f ca="1">'预评函-2'!R5</f>
        <v>98031</v>
      </c>
    </row>
    <row r="49" spans="1:2">
      <c r="A49" s="2833" t="s">
        <v>2741</v>
      </c>
      <c r="B49" s="2834" t="str">
        <f>'预评函-2'!A6</f>
        <v>——</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8" t="str">
        <f>IF(B10="北京市","北京市",C10)&amp;F10&amp;B16&amp;"国有建设用地使用权"&amp;B9&amp;"预评估"</f>
        <v>北京市大兴区西红门镇3号地出让国有建设用地使用权市场价格预评估</v>
      </c>
      <c r="C1" s="3229"/>
      <c r="D1" s="3229"/>
      <c r="E1" s="3229"/>
      <c r="F1" s="3229"/>
      <c r="G1" s="3229"/>
      <c r="H1" s="3229"/>
      <c r="I1" s="3230"/>
      <c r="J1" s="1678"/>
      <c r="K1" s="2419" t="str">
        <f>IF(B10="北京市","北京市",C10)&amp;F10&amp;B16&amp;"国有建设用地使用权"&amp;B9</f>
        <v>北京市大兴区西红门镇3号地出让国有建设用地使用权市场价格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北京市大兴区西红门镇3号地出让国有建设用地使用权</v>
      </c>
      <c r="L2" s="1707"/>
      <c r="M2" s="1707"/>
      <c r="N2" s="1678"/>
      <c r="O2" s="1679"/>
      <c r="P2" s="1678"/>
      <c r="Q2" s="1678"/>
      <c r="R2" s="1678"/>
      <c r="S2" s="1678"/>
      <c r="T2" s="1678"/>
      <c r="U2" s="1678"/>
    </row>
    <row r="3" spans="1:21">
      <c r="A3" s="1645" t="s">
        <v>1939</v>
      </c>
      <c r="B3" s="1646"/>
      <c r="C3" s="1647" t="s">
        <v>1995</v>
      </c>
      <c r="D3" s="1646">
        <v>43577</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3134</v>
      </c>
      <c r="C8" s="1655"/>
      <c r="D8" s="3234"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t="s">
        <v>3135</v>
      </c>
      <c r="C9" s="1659"/>
      <c r="D9" s="3235"/>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1945</v>
      </c>
      <c r="C10" s="1660"/>
      <c r="D10" s="1651"/>
      <c r="E10" s="1661" t="s">
        <v>1946</v>
      </c>
      <c r="F10" s="1662" t="s">
        <v>3132</v>
      </c>
      <c r="G10" s="1729"/>
      <c r="H10" s="1730"/>
      <c r="I10" s="1651"/>
      <c r="J10" s="1678"/>
      <c r="K10" s="1758"/>
      <c r="L10" s="1707"/>
      <c r="M10" s="1707"/>
      <c r="N10" s="1678"/>
      <c r="O10" s="1679"/>
      <c r="P10" s="1678"/>
      <c r="Q10" s="1678"/>
      <c r="R10" s="1678"/>
      <c r="S10" s="1678"/>
      <c r="T10" s="1678"/>
      <c r="U10" s="1678"/>
    </row>
    <row r="11" spans="1:21">
      <c r="A11" s="1681" t="s">
        <v>2000</v>
      </c>
      <c r="B11" s="1682" t="s">
        <v>3133</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1"/>
      <c r="C12" s="3232"/>
      <c r="D12" s="3233"/>
      <c r="E12" s="1683" t="s">
        <v>2061</v>
      </c>
      <c r="F12" s="3249" t="s">
        <v>2890</v>
      </c>
      <c r="G12" s="3250"/>
      <c r="H12" s="3250"/>
      <c r="I12" s="3251"/>
      <c r="J12" s="1678"/>
      <c r="K12" s="1758"/>
      <c r="L12" s="1707"/>
      <c r="M12" s="1707"/>
      <c r="N12" s="1678"/>
      <c r="O12" s="1679"/>
      <c r="P12" s="1678"/>
      <c r="Q12" s="1678"/>
      <c r="R12" s="1678"/>
      <c r="S12" s="1678"/>
      <c r="T12" s="1678"/>
      <c r="U12" s="1678"/>
    </row>
    <row r="13" spans="1:21">
      <c r="A13" s="1671" t="s">
        <v>2059</v>
      </c>
      <c r="B13" s="3231"/>
      <c r="C13" s="3232"/>
      <c r="D13" s="3233"/>
      <c r="E13" s="1683" t="s">
        <v>2061</v>
      </c>
      <c r="F13" s="3249" t="s">
        <v>2891</v>
      </c>
      <c r="G13" s="3250"/>
      <c r="H13" s="3250"/>
      <c r="I13" s="3251"/>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c r="A16" s="1664" t="s">
        <v>1947</v>
      </c>
      <c r="B16" s="1665" t="s">
        <v>2992</v>
      </c>
      <c r="C16" s="1683" t="s">
        <v>1948</v>
      </c>
      <c r="D16" s="2610" t="s">
        <v>1949</v>
      </c>
      <c r="E16" s="1706"/>
      <c r="F16" s="1706"/>
      <c r="G16" s="1706"/>
      <c r="H16" s="1706"/>
      <c r="I16" s="1670" t="s">
        <v>1954</v>
      </c>
      <c r="J16" s="1678"/>
      <c r="K16" s="2420" t="str">
        <f>IF(D17="","",D16&amp;TEXT(D17,"yyyy年m月d日;;"))</f>
        <v>住宅2059年4月22日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58187</v>
      </c>
      <c r="E17" s="1684"/>
      <c r="F17" s="1684"/>
      <c r="G17" s="1684"/>
      <c r="H17" s="1684"/>
      <c r="I17" s="1684"/>
      <c r="J17" s="1678"/>
      <c r="K17" s="2419" t="str">
        <f>CONCATENATE(K16,L16,M16,N16,O16,P16,Q16,R16,S16,T16,,U16)</f>
        <v>住宅2059年4月22日</v>
      </c>
      <c r="L17" s="1707"/>
      <c r="M17" s="1707"/>
      <c r="N17" s="1678"/>
      <c r="O17" s="1679"/>
      <c r="P17" s="1678"/>
      <c r="Q17" s="1678"/>
      <c r="R17" s="1678"/>
      <c r="S17" s="1678"/>
      <c r="T17" s="1678"/>
      <c r="U17" s="1678"/>
    </row>
    <row r="18" spans="1:21">
      <c r="A18" s="1747"/>
      <c r="B18" s="1666"/>
      <c r="C18" s="1667" t="s">
        <v>1956</v>
      </c>
      <c r="D18" s="1668">
        <v>40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40</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6"/>
      <c r="E20" s="3247"/>
      <c r="F20" s="3247"/>
      <c r="G20" s="3247"/>
      <c r="H20" s="3247"/>
      <c r="I20" s="3248"/>
      <c r="J20" s="1678"/>
      <c r="K20" s="1758"/>
      <c r="L20" s="1707"/>
      <c r="M20" s="1707"/>
      <c r="N20" s="1678"/>
      <c r="O20" s="1679"/>
      <c r="P20" s="1678"/>
      <c r="Q20" s="1678"/>
      <c r="R20" s="1678"/>
      <c r="S20" s="1678"/>
      <c r="T20" s="1678"/>
      <c r="U20" s="1678"/>
    </row>
    <row r="21" spans="1:21">
      <c r="A21" s="1747" t="s">
        <v>1958</v>
      </c>
      <c r="B21" s="1748" t="s">
        <v>1959</v>
      </c>
      <c r="C21" s="1743">
        <f>'数据-汇总表'!E3</f>
        <v>117266.29000000001</v>
      </c>
      <c r="D21" s="1744" t="s">
        <v>1960</v>
      </c>
      <c r="E21" s="3236" t="s">
        <v>1998</v>
      </c>
      <c r="F21" s="3237"/>
      <c r="G21" s="3237"/>
      <c r="H21" s="3237"/>
      <c r="I21" s="3238"/>
      <c r="J21" s="1678"/>
      <c r="K21" s="1758"/>
      <c r="L21" s="1707"/>
      <c r="M21" s="1707"/>
      <c r="N21" s="1678"/>
      <c r="O21" s="1679"/>
      <c r="P21" s="1678"/>
      <c r="Q21" s="1678"/>
      <c r="R21" s="1678"/>
      <c r="S21" s="1678"/>
      <c r="T21" s="1678"/>
      <c r="U21" s="1678"/>
    </row>
    <row r="22" spans="1:21">
      <c r="A22" s="3097" t="s">
        <v>952</v>
      </c>
      <c r="B22" s="1645" t="s">
        <v>1961</v>
      </c>
      <c r="C22" s="1670">
        <f>'数据-汇总表'!D3</f>
        <v>43861.49</v>
      </c>
      <c r="D22" s="1671" t="s">
        <v>1960</v>
      </c>
      <c r="E22" s="3236" t="s">
        <v>2892</v>
      </c>
      <c r="F22" s="3237"/>
      <c r="G22" s="3237"/>
      <c r="H22" s="3237"/>
      <c r="I22" s="323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9" t="s">
        <v>1966</v>
      </c>
      <c r="C24" s="3240"/>
      <c r="D24" s="3241" t="s">
        <v>1967</v>
      </c>
      <c r="E24" s="3242"/>
      <c r="F24" s="1692" t="s">
        <v>1968</v>
      </c>
      <c r="G24" s="1678"/>
      <c r="H24" s="1678"/>
      <c r="I24" s="1691"/>
      <c r="J24" s="1678"/>
      <c r="K24" s="322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13" t="s">
        <v>2001</v>
      </c>
      <c r="B31" s="1748" t="s">
        <v>2002</v>
      </c>
      <c r="C31" s="3252"/>
      <c r="D31" s="3253"/>
      <c r="E31" s="1678"/>
      <c r="F31" s="1678"/>
      <c r="G31" s="1678"/>
      <c r="H31" s="1678"/>
      <c r="I31" s="1691"/>
      <c r="J31" s="1678"/>
      <c r="K31" s="2422"/>
      <c r="L31" s="1678"/>
      <c r="M31" s="1678"/>
      <c r="N31" s="1678"/>
      <c r="O31" s="1678"/>
      <c r="P31" s="1678"/>
      <c r="Q31" s="1678"/>
      <c r="R31" s="1678"/>
      <c r="S31" s="1678"/>
      <c r="T31" s="1678"/>
      <c r="U31" s="1678"/>
    </row>
    <row r="32" spans="1:21">
      <c r="A32" s="3213"/>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13"/>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14"/>
      <c r="B34" s="1645" t="s">
        <v>2005</v>
      </c>
      <c r="C34" s="3215"/>
      <c r="D34" s="3216"/>
      <c r="E34" s="1678"/>
      <c r="F34" s="1678"/>
      <c r="G34" s="1678"/>
      <c r="H34" s="1678"/>
      <c r="I34" s="1691"/>
      <c r="J34" s="1678"/>
      <c r="K34" s="2422"/>
      <c r="L34" s="1678"/>
      <c r="M34" s="1678"/>
      <c r="N34" s="1678"/>
      <c r="O34" s="1678"/>
      <c r="P34" s="1678"/>
      <c r="Q34" s="1678"/>
      <c r="R34" s="1678"/>
      <c r="S34" s="1678"/>
      <c r="T34" s="1678"/>
      <c r="U34" s="1678"/>
    </row>
    <row r="35" spans="1:21">
      <c r="A35" s="3217" t="s">
        <v>847</v>
      </c>
      <c r="B35" s="1706"/>
      <c r="C35" s="1760" t="str">
        <f>IF(B35="场地平整","——","具体情况：")</f>
        <v>具体情况：</v>
      </c>
      <c r="D35" s="3219"/>
      <c r="E35" s="3220"/>
      <c r="F35" s="3220"/>
      <c r="G35" s="3220"/>
      <c r="H35" s="3220"/>
      <c r="I35" s="3221"/>
      <c r="J35" s="1678"/>
      <c r="K35" s="1759"/>
      <c r="L35" s="1707"/>
      <c r="M35" s="1707"/>
      <c r="N35" s="1678"/>
      <c r="O35" s="1679"/>
      <c r="P35" s="1678"/>
      <c r="Q35" s="1678"/>
      <c r="R35" s="1678"/>
      <c r="S35" s="1678"/>
      <c r="T35" s="1678"/>
      <c r="U35" s="1678"/>
    </row>
    <row r="36" spans="1:21">
      <c r="A36" s="3213"/>
      <c r="B36" s="3222" t="s">
        <v>2054</v>
      </c>
      <c r="C36" s="3223"/>
      <c r="D36" s="1776"/>
      <c r="E36" s="3224"/>
      <c r="F36" s="3224"/>
      <c r="G36" s="1671" t="str">
        <f>IF(B35="场地未平整","估价结果处理","")</f>
        <v/>
      </c>
      <c r="H36" s="3225"/>
      <c r="I36" s="3225"/>
      <c r="J36" s="1678"/>
      <c r="K36" s="1759"/>
      <c r="L36" s="1707"/>
      <c r="M36" s="1707"/>
      <c r="N36" s="1678"/>
      <c r="O36" s="1679"/>
      <c r="P36" s="1678"/>
      <c r="Q36" s="1678"/>
      <c r="R36" s="1678"/>
      <c r="S36" s="1678"/>
      <c r="T36" s="1678"/>
      <c r="U36" s="1678"/>
    </row>
    <row r="37" spans="1:21" ht="28.5">
      <c r="A37" s="3213"/>
      <c r="B37" s="324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3"/>
      <c r="B38" s="3244"/>
      <c r="C38" s="1653" t="s">
        <v>850</v>
      </c>
      <c r="D38" s="1775">
        <f>ROUNDDOWN(MIN(('数据-取费表'!$B$2-D37)/365,D34),1)</f>
        <v>119.3</v>
      </c>
      <c r="E38" s="1711" t="s">
        <v>851</v>
      </c>
      <c r="F38" s="1678"/>
      <c r="G38" s="1678"/>
      <c r="H38" s="1678"/>
      <c r="I38" s="1691"/>
      <c r="J38" s="1678"/>
      <c r="K38" s="1759"/>
      <c r="L38" s="1678"/>
      <c r="M38" s="1678"/>
      <c r="N38" s="1678"/>
      <c r="O38" s="1678"/>
      <c r="P38" s="1678"/>
      <c r="Q38" s="1678"/>
      <c r="R38" s="1678"/>
      <c r="S38" s="1678"/>
      <c r="T38" s="1678"/>
      <c r="U38" s="1678"/>
    </row>
    <row r="39" spans="1:21">
      <c r="A39" s="3214"/>
      <c r="B39" s="324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6" t="s">
        <v>1985</v>
      </c>
      <c r="T40" s="1715" t="str">
        <f>NUMBERSTRING(7-K40,1)&amp;"通"</f>
        <v>七通</v>
      </c>
      <c r="U40" s="1678"/>
    </row>
    <row r="41" spans="1:21">
      <c r="A41" s="1647"/>
      <c r="B41" s="3218" t="s">
        <v>1721</v>
      </c>
      <c r="C41" s="3218"/>
      <c r="D41" s="3218"/>
      <c r="E41" s="321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M18" sqref="AM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43861.485999999997</v>
      </c>
      <c r="B3" s="22">
        <f>IF(C3="否",G5-AT5,G5)</f>
        <v>117266.29000000001</v>
      </c>
      <c r="C3" s="23" t="s">
        <v>3131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117266.29000000001</v>
      </c>
      <c r="H5" s="27">
        <f t="shared" ref="H5:AT5" si="0">SUM(H13:H641)</f>
        <v>87711.97</v>
      </c>
      <c r="I5" s="27">
        <f t="shared" si="0"/>
        <v>87711.97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29554.32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29554.32</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117266.29000000001</v>
      </c>
      <c r="BA5" s="29">
        <f t="shared" si="1"/>
        <v>87711.97</v>
      </c>
      <c r="BB5" s="29">
        <f t="shared" si="1"/>
        <v>87711.97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29554.32</v>
      </c>
      <c r="BM5" s="29">
        <f t="shared" si="1"/>
        <v>0</v>
      </c>
      <c r="BN5" s="29">
        <f t="shared" si="1"/>
        <v>0</v>
      </c>
      <c r="BO5" s="29">
        <f t="shared" si="1"/>
        <v>0</v>
      </c>
      <c r="BP5" s="29">
        <f t="shared" si="1"/>
        <v>0</v>
      </c>
      <c r="BQ5" s="29">
        <f t="shared" si="1"/>
        <v>0</v>
      </c>
      <c r="BR5" s="29">
        <f t="shared" si="1"/>
        <v>29554.32</v>
      </c>
      <c r="BS5" s="29">
        <f t="shared" si="1"/>
        <v>0</v>
      </c>
      <c r="BT5" s="30">
        <f t="shared" si="1"/>
        <v>0</v>
      </c>
    </row>
    <row r="6" spans="1:72" s="37" customFormat="1" ht="12.75">
      <c r="A6" s="26" t="s">
        <v>169</v>
      </c>
      <c r="B6" s="31"/>
      <c r="C6" s="31"/>
      <c r="D6" s="32"/>
      <c r="E6" s="27">
        <f>H6+AC6+AT6</f>
        <v>43861.490000000005</v>
      </c>
      <c r="F6" s="27" t="s">
        <v>1</v>
      </c>
      <c r="G6" s="27" t="s">
        <v>2</v>
      </c>
      <c r="H6" s="33">
        <f>SUMIF(I$12:AB$12,"总值",I6:AB6)</f>
        <v>32807.19</v>
      </c>
      <c r="I6" s="27">
        <f t="shared" ref="I6:AB6" si="2">ROUND($A$3*I5/$B$3,2)</f>
        <v>32807.19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11054.3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11054.3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43861.49</v>
      </c>
      <c r="AZ6" s="27" t="s">
        <v>3</v>
      </c>
      <c r="BA6" s="27">
        <f>ROUND($AY$6*BA5/$AZ$5,2)</f>
        <v>32807.19</v>
      </c>
      <c r="BB6" s="27">
        <f>ROUND($AY$6*BB5/$AZ$5,2)</f>
        <v>32807.19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11054.3</v>
      </c>
      <c r="BM6" s="27">
        <f t="shared" si="5"/>
        <v>0</v>
      </c>
      <c r="BN6" s="27">
        <f t="shared" si="5"/>
        <v>0</v>
      </c>
      <c r="BO6" s="27">
        <f t="shared" si="5"/>
        <v>0</v>
      </c>
      <c r="BP6" s="27">
        <f t="shared" si="5"/>
        <v>0</v>
      </c>
      <c r="BQ6" s="27">
        <f t="shared" si="5"/>
        <v>0</v>
      </c>
      <c r="BR6" s="27">
        <f t="shared" si="5"/>
        <v>11054.3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3130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952</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4282.3</v>
      </c>
      <c r="F13" s="81"/>
      <c r="G13" s="82">
        <f t="shared" ref="G13:G20" si="7">H13+AC13+AT13</f>
        <v>11448.99</v>
      </c>
      <c r="H13" s="33">
        <f t="shared" ref="H13:H20" si="8">SUMIF(I$12:AB$12,"总值",I13:AB13)</f>
        <v>10678.43</v>
      </c>
      <c r="I13" s="2970">
        <v>10678.43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770.56</v>
      </c>
      <c r="AD13" s="2974"/>
      <c r="AE13" s="2974"/>
      <c r="AF13" s="2974"/>
      <c r="AG13" s="2974"/>
      <c r="AH13" s="2974"/>
      <c r="AI13" s="2974"/>
      <c r="AJ13" s="2974"/>
      <c r="AK13" s="2974"/>
      <c r="AL13" s="2974"/>
      <c r="AM13" s="2974"/>
      <c r="AN13" s="2974">
        <v>770.56</v>
      </c>
      <c r="AO13" s="2974"/>
      <c r="AP13" s="2974"/>
      <c r="AQ13" s="2974"/>
      <c r="AR13" s="2974"/>
      <c r="AS13" s="2974"/>
      <c r="AT13" s="2975"/>
      <c r="AU13" s="2976"/>
      <c r="AV13" s="17">
        <f t="shared" ref="AV13:AX20" si="10">A13</f>
        <v>0</v>
      </c>
      <c r="AW13" s="17">
        <f t="shared" si="10"/>
        <v>0</v>
      </c>
      <c r="AX13" s="17">
        <f t="shared" si="10"/>
        <v>1</v>
      </c>
      <c r="AY13" s="996">
        <f t="shared" ref="AY13:AY20" si="11">ROUND($AY$6*AZ13/$AZ$5,2)</f>
        <v>4282.3</v>
      </c>
      <c r="AZ13" s="27">
        <f t="shared" ref="AZ13:AZ20" si="12">BA13+BL13</f>
        <v>11448.99</v>
      </c>
      <c r="BA13" s="27">
        <f t="shared" ref="BA13:BA20" si="13">SUM(BB13:BK13)</f>
        <v>10678.43</v>
      </c>
      <c r="BB13" s="27">
        <f t="shared" ref="BB13:BB20" si="14">IF($D13="是",I13-J13,0)</f>
        <v>10678.43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770.56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770.56</v>
      </c>
      <c r="BS13" s="27">
        <f t="shared" ref="BS13:BS20" si="31">IF($D13="是",AP13-AQ13,0)</f>
        <v>0</v>
      </c>
      <c r="BT13" s="36">
        <f t="shared" ref="BT13:BT20" si="32">IF($D13="是",AR13-AS13,0)</f>
        <v>0</v>
      </c>
    </row>
    <row r="14" spans="1:72" s="18" customFormat="1" ht="12.75">
      <c r="A14" s="2966"/>
      <c r="B14" s="2966"/>
      <c r="C14" s="2968">
        <v>2</v>
      </c>
      <c r="D14" s="2967" t="s">
        <v>1678</v>
      </c>
      <c r="E14" s="27">
        <f t="shared" si="6"/>
        <v>4306.7700000000004</v>
      </c>
      <c r="F14" s="81"/>
      <c r="G14" s="82">
        <f t="shared" si="7"/>
        <v>11514.4</v>
      </c>
      <c r="H14" s="33">
        <f t="shared" si="8"/>
        <v>10672.43</v>
      </c>
      <c r="I14" s="2970">
        <v>10672.43</v>
      </c>
      <c r="J14" s="2970"/>
      <c r="K14" s="2970"/>
      <c r="L14" s="2970"/>
      <c r="M14" s="2970"/>
      <c r="N14" s="83"/>
      <c r="O14" s="83"/>
      <c r="P14" s="83"/>
      <c r="Q14" s="83"/>
      <c r="R14" s="83"/>
      <c r="S14" s="83"/>
      <c r="T14" s="83"/>
      <c r="U14" s="83"/>
      <c r="V14" s="83"/>
      <c r="W14" s="83"/>
      <c r="X14" s="83"/>
      <c r="Y14" s="83"/>
      <c r="Z14" s="83"/>
      <c r="AA14" s="83"/>
      <c r="AB14" s="83"/>
      <c r="AC14" s="27">
        <f t="shared" si="9"/>
        <v>841.97</v>
      </c>
      <c r="AD14" s="2974"/>
      <c r="AE14" s="2974"/>
      <c r="AF14" s="2974"/>
      <c r="AG14" s="2974"/>
      <c r="AH14" s="2974"/>
      <c r="AI14" s="2974"/>
      <c r="AJ14" s="2974"/>
      <c r="AK14" s="2974"/>
      <c r="AL14" s="2974"/>
      <c r="AM14" s="2974"/>
      <c r="AN14" s="2974">
        <v>841.97</v>
      </c>
      <c r="AO14" s="2974"/>
      <c r="AP14" s="2974"/>
      <c r="AQ14" s="2974"/>
      <c r="AR14" s="2974"/>
      <c r="AS14" s="2974"/>
      <c r="AT14" s="2975"/>
      <c r="AU14" s="2976"/>
      <c r="AV14" s="17">
        <f t="shared" si="10"/>
        <v>0</v>
      </c>
      <c r="AW14" s="17">
        <f t="shared" si="10"/>
        <v>0</v>
      </c>
      <c r="AX14" s="17">
        <f t="shared" si="10"/>
        <v>2</v>
      </c>
      <c r="AY14" s="996">
        <f t="shared" si="11"/>
        <v>4306.7700000000004</v>
      </c>
      <c r="AZ14" s="27">
        <f t="shared" si="12"/>
        <v>11514.4</v>
      </c>
      <c r="BA14" s="27">
        <f t="shared" si="13"/>
        <v>10672.43</v>
      </c>
      <c r="BB14" s="27">
        <f t="shared" si="14"/>
        <v>10672.43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841.97</v>
      </c>
      <c r="BM14" s="27">
        <f t="shared" si="25"/>
        <v>0</v>
      </c>
      <c r="BN14" s="27">
        <f t="shared" si="26"/>
        <v>0</v>
      </c>
      <c r="BO14" s="27">
        <f t="shared" si="27"/>
        <v>0</v>
      </c>
      <c r="BP14" s="27">
        <f t="shared" si="28"/>
        <v>0</v>
      </c>
      <c r="BQ14" s="27">
        <f t="shared" si="29"/>
        <v>0</v>
      </c>
      <c r="BR14" s="27">
        <f t="shared" si="30"/>
        <v>841.97</v>
      </c>
      <c r="BS14" s="27">
        <f t="shared" si="31"/>
        <v>0</v>
      </c>
      <c r="BT14" s="36">
        <f t="shared" si="32"/>
        <v>0</v>
      </c>
    </row>
    <row r="15" spans="1:72" s="18" customFormat="1" ht="12.75">
      <c r="A15" s="2966"/>
      <c r="B15" s="2966"/>
      <c r="C15" s="2968">
        <v>3</v>
      </c>
      <c r="D15" s="2967" t="s">
        <v>1678</v>
      </c>
      <c r="E15" s="27">
        <f t="shared" si="6"/>
        <v>3223.5</v>
      </c>
      <c r="F15" s="81"/>
      <c r="G15" s="82">
        <f t="shared" si="7"/>
        <v>8618.2099999999991</v>
      </c>
      <c r="H15" s="33">
        <f t="shared" si="8"/>
        <v>8045.73</v>
      </c>
      <c r="I15" s="2970">
        <v>8045.73</v>
      </c>
      <c r="J15" s="2970"/>
      <c r="K15" s="2970"/>
      <c r="L15" s="2970"/>
      <c r="M15" s="2970"/>
      <c r="N15" s="83"/>
      <c r="O15" s="83"/>
      <c r="P15" s="83"/>
      <c r="Q15" s="83"/>
      <c r="R15" s="83"/>
      <c r="S15" s="83"/>
      <c r="T15" s="83"/>
      <c r="U15" s="83"/>
      <c r="V15" s="83"/>
      <c r="W15" s="83"/>
      <c r="X15" s="83"/>
      <c r="Y15" s="83"/>
      <c r="Z15" s="83"/>
      <c r="AA15" s="83"/>
      <c r="AB15" s="83"/>
      <c r="AC15" s="27">
        <f t="shared" si="9"/>
        <v>572.48</v>
      </c>
      <c r="AD15" s="2974"/>
      <c r="AE15" s="2974"/>
      <c r="AF15" s="2974"/>
      <c r="AG15" s="2974"/>
      <c r="AH15" s="2974"/>
      <c r="AI15" s="2974"/>
      <c r="AJ15" s="2974"/>
      <c r="AK15" s="2974"/>
      <c r="AL15" s="2974"/>
      <c r="AM15" s="2974"/>
      <c r="AN15" s="2974">
        <v>572.48</v>
      </c>
      <c r="AO15" s="2974"/>
      <c r="AP15" s="2974"/>
      <c r="AQ15" s="2974"/>
      <c r="AR15" s="2974"/>
      <c r="AS15" s="2974"/>
      <c r="AT15" s="2975"/>
      <c r="AU15" s="2976"/>
      <c r="AV15" s="17">
        <f t="shared" si="10"/>
        <v>0</v>
      </c>
      <c r="AW15" s="17">
        <f t="shared" si="10"/>
        <v>0</v>
      </c>
      <c r="AX15" s="17">
        <f t="shared" si="10"/>
        <v>3</v>
      </c>
      <c r="AY15" s="996">
        <f t="shared" si="11"/>
        <v>3223.5</v>
      </c>
      <c r="AZ15" s="27">
        <f t="shared" si="12"/>
        <v>8618.2099999999991</v>
      </c>
      <c r="BA15" s="27">
        <f t="shared" si="13"/>
        <v>8045.73</v>
      </c>
      <c r="BB15" s="27">
        <f t="shared" si="14"/>
        <v>8045.73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572.48</v>
      </c>
      <c r="BM15" s="27">
        <f t="shared" si="25"/>
        <v>0</v>
      </c>
      <c r="BN15" s="27">
        <f t="shared" si="26"/>
        <v>0</v>
      </c>
      <c r="BO15" s="27">
        <f t="shared" si="27"/>
        <v>0</v>
      </c>
      <c r="BP15" s="27">
        <f t="shared" si="28"/>
        <v>0</v>
      </c>
      <c r="BQ15" s="27">
        <f t="shared" si="29"/>
        <v>0</v>
      </c>
      <c r="BR15" s="27">
        <f t="shared" si="30"/>
        <v>572.48</v>
      </c>
      <c r="BS15" s="27">
        <f t="shared" si="31"/>
        <v>0</v>
      </c>
      <c r="BT15" s="36">
        <f t="shared" si="32"/>
        <v>0</v>
      </c>
    </row>
    <row r="16" spans="1:72" s="18" customFormat="1" ht="12.75">
      <c r="A16" s="2966"/>
      <c r="B16" s="2966"/>
      <c r="C16" s="2968">
        <v>4</v>
      </c>
      <c r="D16" s="2967" t="s">
        <v>1678</v>
      </c>
      <c r="E16" s="27">
        <f t="shared" si="6"/>
        <v>2160.39</v>
      </c>
      <c r="F16" s="81"/>
      <c r="G16" s="82">
        <f t="shared" si="7"/>
        <v>5775.9299999999994</v>
      </c>
      <c r="H16" s="33">
        <f t="shared" si="8"/>
        <v>5380.74</v>
      </c>
      <c r="I16" s="2970">
        <v>5380.74</v>
      </c>
      <c r="J16" s="2970"/>
      <c r="K16" s="2970"/>
      <c r="L16" s="2970"/>
      <c r="M16" s="2970"/>
      <c r="N16" s="83"/>
      <c r="O16" s="83"/>
      <c r="P16" s="83"/>
      <c r="Q16" s="83"/>
      <c r="R16" s="83"/>
      <c r="S16" s="83"/>
      <c r="T16" s="83"/>
      <c r="U16" s="83"/>
      <c r="V16" s="83"/>
      <c r="W16" s="83"/>
      <c r="X16" s="83"/>
      <c r="Y16" s="83"/>
      <c r="Z16" s="83"/>
      <c r="AA16" s="83"/>
      <c r="AB16" s="83"/>
      <c r="AC16" s="27">
        <f t="shared" si="9"/>
        <v>395.19</v>
      </c>
      <c r="AD16" s="2974"/>
      <c r="AE16" s="2974"/>
      <c r="AF16" s="2974"/>
      <c r="AG16" s="2974"/>
      <c r="AH16" s="2974"/>
      <c r="AI16" s="2974"/>
      <c r="AJ16" s="2974"/>
      <c r="AK16" s="2974"/>
      <c r="AL16" s="2974"/>
      <c r="AM16" s="2974"/>
      <c r="AN16" s="2974">
        <v>395.19</v>
      </c>
      <c r="AO16" s="2974"/>
      <c r="AP16" s="2974"/>
      <c r="AQ16" s="2974"/>
      <c r="AR16" s="2974"/>
      <c r="AS16" s="2974"/>
      <c r="AT16" s="2975"/>
      <c r="AU16" s="2976"/>
      <c r="AV16" s="17">
        <f t="shared" si="10"/>
        <v>0</v>
      </c>
      <c r="AW16" s="17">
        <f t="shared" si="10"/>
        <v>0</v>
      </c>
      <c r="AX16" s="17">
        <f t="shared" si="10"/>
        <v>4</v>
      </c>
      <c r="AY16" s="996">
        <f t="shared" si="11"/>
        <v>2160.39</v>
      </c>
      <c r="AZ16" s="27">
        <f t="shared" si="12"/>
        <v>5775.9299999999994</v>
      </c>
      <c r="BA16" s="27">
        <f t="shared" si="13"/>
        <v>5380.74</v>
      </c>
      <c r="BB16" s="27">
        <f t="shared" si="14"/>
        <v>5380.74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395.19</v>
      </c>
      <c r="BM16" s="27">
        <f t="shared" si="25"/>
        <v>0</v>
      </c>
      <c r="BN16" s="27">
        <f t="shared" si="26"/>
        <v>0</v>
      </c>
      <c r="BO16" s="27">
        <f t="shared" si="27"/>
        <v>0</v>
      </c>
      <c r="BP16" s="27">
        <f t="shared" si="28"/>
        <v>0</v>
      </c>
      <c r="BQ16" s="27">
        <f t="shared" si="29"/>
        <v>0</v>
      </c>
      <c r="BR16" s="27">
        <f t="shared" si="30"/>
        <v>395.19</v>
      </c>
      <c r="BS16" s="27">
        <f t="shared" si="31"/>
        <v>0</v>
      </c>
      <c r="BT16" s="36">
        <f t="shared" si="32"/>
        <v>0</v>
      </c>
    </row>
    <row r="17" spans="1:72" s="18" customFormat="1" ht="12.75">
      <c r="A17" s="2966"/>
      <c r="B17" s="2966"/>
      <c r="C17" s="2968">
        <v>5</v>
      </c>
      <c r="D17" s="2967" t="s">
        <v>1678</v>
      </c>
      <c r="E17" s="27">
        <f t="shared" si="6"/>
        <v>1636.86</v>
      </c>
      <c r="F17" s="81"/>
      <c r="G17" s="82">
        <f t="shared" si="7"/>
        <v>4376.25</v>
      </c>
      <c r="H17" s="33">
        <f t="shared" si="8"/>
        <v>4092.22</v>
      </c>
      <c r="I17" s="2970">
        <v>4092.22</v>
      </c>
      <c r="J17" s="2970"/>
      <c r="K17" s="2970"/>
      <c r="L17" s="2970"/>
      <c r="M17" s="2970"/>
      <c r="N17" s="83"/>
      <c r="O17" s="83"/>
      <c r="P17" s="83"/>
      <c r="Q17" s="83"/>
      <c r="R17" s="83"/>
      <c r="S17" s="83"/>
      <c r="T17" s="83"/>
      <c r="U17" s="83"/>
      <c r="V17" s="83"/>
      <c r="W17" s="83"/>
      <c r="X17" s="83"/>
      <c r="Y17" s="83"/>
      <c r="Z17" s="83"/>
      <c r="AA17" s="83"/>
      <c r="AB17" s="83"/>
      <c r="AC17" s="27">
        <f t="shared" si="9"/>
        <v>284.02999999999997</v>
      </c>
      <c r="AD17" s="2974"/>
      <c r="AE17" s="2974"/>
      <c r="AF17" s="2974"/>
      <c r="AG17" s="2974"/>
      <c r="AH17" s="2974"/>
      <c r="AI17" s="2974"/>
      <c r="AJ17" s="2974"/>
      <c r="AK17" s="2974"/>
      <c r="AL17" s="2974"/>
      <c r="AM17" s="2974"/>
      <c r="AN17" s="2974">
        <v>284.02999999999997</v>
      </c>
      <c r="AO17" s="2974"/>
      <c r="AP17" s="2974"/>
      <c r="AQ17" s="2974"/>
      <c r="AR17" s="2974"/>
      <c r="AS17" s="2974"/>
      <c r="AT17" s="2975"/>
      <c r="AU17" s="2976"/>
      <c r="AV17" s="17">
        <f t="shared" si="10"/>
        <v>0</v>
      </c>
      <c r="AW17" s="17">
        <f t="shared" si="10"/>
        <v>0</v>
      </c>
      <c r="AX17" s="17">
        <f t="shared" si="10"/>
        <v>5</v>
      </c>
      <c r="AY17" s="996">
        <f t="shared" si="11"/>
        <v>1636.86</v>
      </c>
      <c r="AZ17" s="27">
        <f t="shared" si="12"/>
        <v>4376.25</v>
      </c>
      <c r="BA17" s="27">
        <f t="shared" si="13"/>
        <v>4092.22</v>
      </c>
      <c r="BB17" s="27">
        <f t="shared" si="14"/>
        <v>4092.22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284.02999999999997</v>
      </c>
      <c r="BM17" s="27">
        <f t="shared" si="25"/>
        <v>0</v>
      </c>
      <c r="BN17" s="27">
        <f t="shared" si="26"/>
        <v>0</v>
      </c>
      <c r="BO17" s="27">
        <f t="shared" si="27"/>
        <v>0</v>
      </c>
      <c r="BP17" s="27">
        <f t="shared" si="28"/>
        <v>0</v>
      </c>
      <c r="BQ17" s="27">
        <f t="shared" si="29"/>
        <v>0</v>
      </c>
      <c r="BR17" s="27">
        <f t="shared" si="30"/>
        <v>284.02999999999997</v>
      </c>
      <c r="BS17" s="27">
        <f t="shared" si="31"/>
        <v>0</v>
      </c>
      <c r="BT17" s="36">
        <f t="shared" si="32"/>
        <v>0</v>
      </c>
    </row>
    <row r="18" spans="1:72">
      <c r="A18" s="84"/>
      <c r="B18" s="85"/>
      <c r="C18" s="85">
        <v>6</v>
      </c>
      <c r="D18" s="2969" t="s">
        <v>1678</v>
      </c>
      <c r="E18" s="87">
        <f t="shared" si="6"/>
        <v>1680.4</v>
      </c>
      <c r="F18" s="88"/>
      <c r="G18" s="89">
        <f t="shared" si="7"/>
        <v>4492.66</v>
      </c>
      <c r="H18" s="90">
        <f t="shared" si="8"/>
        <v>4072.43</v>
      </c>
      <c r="I18" s="1391">
        <v>4072.43</v>
      </c>
      <c r="J18" s="91"/>
      <c r="K18" s="1391"/>
      <c r="L18" s="91"/>
      <c r="M18" s="91"/>
      <c r="N18" s="91"/>
      <c r="O18" s="91"/>
      <c r="P18" s="91"/>
      <c r="Q18" s="91"/>
      <c r="R18" s="91"/>
      <c r="S18" s="91"/>
      <c r="T18" s="91"/>
      <c r="U18" s="91"/>
      <c r="V18" s="91"/>
      <c r="W18" s="91"/>
      <c r="X18" s="91"/>
      <c r="Y18" s="91"/>
      <c r="Z18" s="91"/>
      <c r="AA18" s="91"/>
      <c r="AB18" s="91"/>
      <c r="AC18" s="87">
        <f t="shared" si="9"/>
        <v>420.23</v>
      </c>
      <c r="AD18" s="92"/>
      <c r="AE18" s="92"/>
      <c r="AF18" s="1391"/>
      <c r="AG18" s="92"/>
      <c r="AH18" s="92"/>
      <c r="AI18" s="92"/>
      <c r="AJ18" s="92"/>
      <c r="AK18" s="92"/>
      <c r="AL18" s="1360"/>
      <c r="AM18" s="92"/>
      <c r="AN18" s="1391">
        <v>420.23</v>
      </c>
      <c r="AO18" s="92"/>
      <c r="AP18" s="92"/>
      <c r="AQ18" s="92"/>
      <c r="AR18" s="92"/>
      <c r="AS18" s="92"/>
      <c r="AT18" s="93"/>
      <c r="AU18" s="94"/>
      <c r="AV18" s="992">
        <f t="shared" si="10"/>
        <v>0</v>
      </c>
      <c r="AW18" s="992">
        <f t="shared" si="10"/>
        <v>0</v>
      </c>
      <c r="AX18" s="992">
        <f t="shared" si="10"/>
        <v>6</v>
      </c>
      <c r="AY18" s="95">
        <f t="shared" si="11"/>
        <v>1680.4</v>
      </c>
      <c r="AZ18" s="87">
        <f t="shared" si="12"/>
        <v>4492.66</v>
      </c>
      <c r="BA18" s="87">
        <f t="shared" si="13"/>
        <v>4072.43</v>
      </c>
      <c r="BB18" s="87">
        <f t="shared" si="14"/>
        <v>4072.43</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420.23</v>
      </c>
      <c r="BM18" s="87">
        <f t="shared" si="25"/>
        <v>0</v>
      </c>
      <c r="BN18" s="87">
        <f t="shared" si="26"/>
        <v>0</v>
      </c>
      <c r="BO18" s="87">
        <f t="shared" si="27"/>
        <v>0</v>
      </c>
      <c r="BP18" s="87">
        <f t="shared" si="28"/>
        <v>0</v>
      </c>
      <c r="BQ18" s="87">
        <f t="shared" si="29"/>
        <v>0</v>
      </c>
      <c r="BR18" s="87">
        <f t="shared" si="30"/>
        <v>420.23</v>
      </c>
      <c r="BS18" s="87">
        <f t="shared" si="31"/>
        <v>0</v>
      </c>
      <c r="BT18" s="96">
        <f t="shared" si="32"/>
        <v>0</v>
      </c>
    </row>
    <row r="19" spans="1:72">
      <c r="A19" s="84"/>
      <c r="B19" s="1395"/>
      <c r="C19" s="1391">
        <v>7</v>
      </c>
      <c r="D19" s="80" t="s">
        <v>1678</v>
      </c>
      <c r="E19" s="87">
        <f t="shared" si="6"/>
        <v>1652.63</v>
      </c>
      <c r="F19" s="88"/>
      <c r="G19" s="89">
        <f t="shared" si="7"/>
        <v>4418.3999999999996</v>
      </c>
      <c r="H19" s="90">
        <f t="shared" si="8"/>
        <v>4092.22</v>
      </c>
      <c r="I19" s="1391">
        <v>4092.22</v>
      </c>
      <c r="J19" s="91"/>
      <c r="K19" s="1391"/>
      <c r="L19" s="91"/>
      <c r="M19" s="91"/>
      <c r="N19" s="91"/>
      <c r="O19" s="91"/>
      <c r="P19" s="91"/>
      <c r="Q19" s="91"/>
      <c r="R19" s="91"/>
      <c r="S19" s="91"/>
      <c r="T19" s="91"/>
      <c r="U19" s="91"/>
      <c r="V19" s="91"/>
      <c r="W19" s="91"/>
      <c r="X19" s="91"/>
      <c r="Y19" s="91"/>
      <c r="Z19" s="91"/>
      <c r="AA19" s="91"/>
      <c r="AB19" s="91"/>
      <c r="AC19" s="87">
        <f t="shared" si="9"/>
        <v>326.18</v>
      </c>
      <c r="AD19" s="92"/>
      <c r="AE19" s="92"/>
      <c r="AF19" s="1391"/>
      <c r="AG19" s="92"/>
      <c r="AH19" s="92"/>
      <c r="AI19" s="92"/>
      <c r="AJ19" s="92"/>
      <c r="AK19" s="92"/>
      <c r="AL19" s="92"/>
      <c r="AM19" s="92"/>
      <c r="AN19" s="1391">
        <v>326.18</v>
      </c>
      <c r="AO19" s="92"/>
      <c r="AP19" s="92"/>
      <c r="AQ19" s="92"/>
      <c r="AR19" s="92"/>
      <c r="AS19" s="92"/>
      <c r="AT19" s="93"/>
      <c r="AU19" s="94"/>
      <c r="AV19" s="992">
        <f t="shared" si="10"/>
        <v>0</v>
      </c>
      <c r="AW19" s="992">
        <f t="shared" si="10"/>
        <v>0</v>
      </c>
      <c r="AX19" s="992">
        <f t="shared" si="10"/>
        <v>7</v>
      </c>
      <c r="AY19" s="95">
        <f t="shared" si="11"/>
        <v>1652.63</v>
      </c>
      <c r="AZ19" s="87">
        <f t="shared" si="12"/>
        <v>4418.3999999999996</v>
      </c>
      <c r="BA19" s="87">
        <f t="shared" si="13"/>
        <v>4092.22</v>
      </c>
      <c r="BB19" s="87">
        <f t="shared" si="14"/>
        <v>4092.22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326.18</v>
      </c>
      <c r="BM19" s="87">
        <f t="shared" si="25"/>
        <v>0</v>
      </c>
      <c r="BN19" s="87">
        <f t="shared" si="26"/>
        <v>0</v>
      </c>
      <c r="BO19" s="87">
        <f t="shared" si="27"/>
        <v>0</v>
      </c>
      <c r="BP19" s="87">
        <f t="shared" si="28"/>
        <v>0</v>
      </c>
      <c r="BQ19" s="87">
        <f t="shared" si="29"/>
        <v>0</v>
      </c>
      <c r="BR19" s="87">
        <f t="shared" si="30"/>
        <v>326.18</v>
      </c>
      <c r="BS19" s="87">
        <f t="shared" si="31"/>
        <v>0</v>
      </c>
      <c r="BT19" s="96">
        <f t="shared" si="32"/>
        <v>0</v>
      </c>
    </row>
    <row r="20" spans="1:72">
      <c r="A20" s="84"/>
      <c r="B20" s="1395"/>
      <c r="C20" s="1391">
        <v>8</v>
      </c>
      <c r="D20" s="80" t="s">
        <v>1678</v>
      </c>
      <c r="E20" s="87">
        <f t="shared" si="6"/>
        <v>4299.8</v>
      </c>
      <c r="F20" s="88"/>
      <c r="G20" s="89">
        <f t="shared" si="7"/>
        <v>11495.76</v>
      </c>
      <c r="H20" s="90">
        <f t="shared" si="8"/>
        <v>10729.86</v>
      </c>
      <c r="I20" s="1391">
        <v>10729.86</v>
      </c>
      <c r="J20" s="91"/>
      <c r="K20" s="1391"/>
      <c r="L20" s="91"/>
      <c r="M20" s="91"/>
      <c r="N20" s="91"/>
      <c r="O20" s="91"/>
      <c r="P20" s="91"/>
      <c r="Q20" s="91"/>
      <c r="R20" s="91"/>
      <c r="S20" s="91"/>
      <c r="T20" s="91"/>
      <c r="U20" s="91"/>
      <c r="V20" s="91"/>
      <c r="W20" s="91"/>
      <c r="X20" s="91"/>
      <c r="Y20" s="91"/>
      <c r="Z20" s="91"/>
      <c r="AA20" s="91"/>
      <c r="AB20" s="91"/>
      <c r="AC20" s="87">
        <f t="shared" si="9"/>
        <v>765.9</v>
      </c>
      <c r="AD20" s="92"/>
      <c r="AE20" s="92"/>
      <c r="AF20" s="1391"/>
      <c r="AG20" s="92"/>
      <c r="AH20" s="92"/>
      <c r="AI20" s="92"/>
      <c r="AJ20" s="92"/>
      <c r="AK20" s="92"/>
      <c r="AL20" s="92"/>
      <c r="AM20" s="92"/>
      <c r="AN20" s="1391">
        <v>765.9</v>
      </c>
      <c r="AO20" s="92"/>
      <c r="AP20" s="92"/>
      <c r="AQ20" s="92"/>
      <c r="AR20" s="92"/>
      <c r="AS20" s="92"/>
      <c r="AT20" s="93"/>
      <c r="AU20" s="94"/>
      <c r="AV20" s="992">
        <f t="shared" si="10"/>
        <v>0</v>
      </c>
      <c r="AW20" s="992">
        <f t="shared" si="10"/>
        <v>0</v>
      </c>
      <c r="AX20" s="992">
        <f t="shared" si="10"/>
        <v>8</v>
      </c>
      <c r="AY20" s="95">
        <f t="shared" si="11"/>
        <v>4299.8</v>
      </c>
      <c r="AZ20" s="87">
        <f t="shared" si="12"/>
        <v>11495.76</v>
      </c>
      <c r="BA20" s="87">
        <f t="shared" si="13"/>
        <v>10729.86</v>
      </c>
      <c r="BB20" s="87">
        <f t="shared" si="14"/>
        <v>10729.86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765.9</v>
      </c>
      <c r="BM20" s="87">
        <f t="shared" si="25"/>
        <v>0</v>
      </c>
      <c r="BN20" s="87">
        <f t="shared" si="26"/>
        <v>0</v>
      </c>
      <c r="BO20" s="87">
        <f t="shared" si="27"/>
        <v>0</v>
      </c>
      <c r="BP20" s="87">
        <f t="shared" si="28"/>
        <v>0</v>
      </c>
      <c r="BQ20" s="87">
        <f t="shared" si="29"/>
        <v>0</v>
      </c>
      <c r="BR20" s="87">
        <f t="shared" si="30"/>
        <v>765.9</v>
      </c>
      <c r="BS20" s="87">
        <f t="shared" si="31"/>
        <v>0</v>
      </c>
      <c r="BT20" s="96">
        <f t="shared" si="32"/>
        <v>0</v>
      </c>
    </row>
    <row r="21" spans="1:72">
      <c r="A21" s="84"/>
      <c r="B21" s="1390"/>
      <c r="C21" s="1391">
        <v>10</v>
      </c>
      <c r="D21" s="80" t="s">
        <v>1678</v>
      </c>
      <c r="E21" s="87">
        <f t="shared" ref="E21:E112" si="33">IF($C$3="是",ROUND($A$3*G21/$B$3,2),ROUND($A$3*(G21-AT21)/$B$3,2))</f>
        <v>6122.37</v>
      </c>
      <c r="F21" s="88"/>
      <c r="G21" s="89">
        <f t="shared" ref="G21:G109" si="34">H21+AC21+AT21</f>
        <v>16368.51</v>
      </c>
      <c r="H21" s="90">
        <f t="shared" ref="H21:H109" si="35">SUMIF(I$12:AB$12,"总值",I21:AB21)</f>
        <v>16368.51</v>
      </c>
      <c r="I21" s="1393">
        <v>16368.51</v>
      </c>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10</v>
      </c>
      <c r="AY21" s="95">
        <f t="shared" ref="AY21:AY109" si="40">ROUND($AY$6*AZ21/$AZ$5,2)</f>
        <v>6122.37</v>
      </c>
      <c r="AZ21" s="87">
        <f t="shared" ref="AZ21:AZ109" si="41">BA21+BL21</f>
        <v>16368.51</v>
      </c>
      <c r="BA21" s="87">
        <f t="shared" ref="BA21:BA109" si="42">SUM(BB21:BK21)</f>
        <v>16368.51</v>
      </c>
      <c r="BB21" s="87">
        <f t="shared" ref="BB21:BB109" si="43">IF($D21="是",I21-J21,0)</f>
        <v>16368.51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v>9</v>
      </c>
      <c r="D22" s="80" t="s">
        <v>1678</v>
      </c>
      <c r="E22" s="87">
        <f t="shared" si="33"/>
        <v>5385.43</v>
      </c>
      <c r="F22" s="88"/>
      <c r="G22" s="89">
        <f t="shared" si="34"/>
        <v>14398.28</v>
      </c>
      <c r="H22" s="90">
        <f t="shared" si="35"/>
        <v>13481.09</v>
      </c>
      <c r="I22" s="1393">
        <v>13481.09</v>
      </c>
      <c r="J22" s="91"/>
      <c r="K22" s="1393"/>
      <c r="L22" s="91"/>
      <c r="M22" s="1360"/>
      <c r="N22" s="91"/>
      <c r="O22" s="91"/>
      <c r="P22" s="91"/>
      <c r="Q22" s="91"/>
      <c r="R22" s="91"/>
      <c r="S22" s="91"/>
      <c r="T22" s="91"/>
      <c r="U22" s="91"/>
      <c r="V22" s="91"/>
      <c r="W22" s="91"/>
      <c r="X22" s="91"/>
      <c r="Y22" s="91"/>
      <c r="Z22" s="91"/>
      <c r="AA22" s="91"/>
      <c r="AB22" s="91"/>
      <c r="AC22" s="87">
        <f t="shared" si="36"/>
        <v>917.19</v>
      </c>
      <c r="AD22" s="1360"/>
      <c r="AE22" s="92"/>
      <c r="AF22" s="1394"/>
      <c r="AG22" s="92"/>
      <c r="AH22" s="92"/>
      <c r="AI22" s="92"/>
      <c r="AJ22" s="92"/>
      <c r="AK22" s="92"/>
      <c r="AL22" s="1360"/>
      <c r="AM22" s="92"/>
      <c r="AN22" s="1360">
        <v>917.19</v>
      </c>
      <c r="AO22" s="92"/>
      <c r="AP22" s="92"/>
      <c r="AQ22" s="92"/>
      <c r="AR22" s="92"/>
      <c r="AS22" s="92"/>
      <c r="AT22" s="93"/>
      <c r="AU22" s="94"/>
      <c r="AV22" s="1964">
        <f t="shared" si="37"/>
        <v>0</v>
      </c>
      <c r="AW22" s="1964">
        <f t="shared" si="38"/>
        <v>0</v>
      </c>
      <c r="AX22" s="1964">
        <f t="shared" si="39"/>
        <v>9</v>
      </c>
      <c r="AY22" s="95">
        <f t="shared" si="40"/>
        <v>5385.44</v>
      </c>
      <c r="AZ22" s="87">
        <f t="shared" si="41"/>
        <v>14398.28</v>
      </c>
      <c r="BA22" s="87">
        <f t="shared" si="42"/>
        <v>13481.09</v>
      </c>
      <c r="BB22" s="87">
        <f t="shared" si="43"/>
        <v>13481.09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917.19</v>
      </c>
      <c r="BM22" s="87">
        <f t="shared" si="54"/>
        <v>0</v>
      </c>
      <c r="BN22" s="87">
        <f t="shared" si="55"/>
        <v>0</v>
      </c>
      <c r="BO22" s="87">
        <f t="shared" si="56"/>
        <v>0</v>
      </c>
      <c r="BP22" s="87">
        <f t="shared" si="57"/>
        <v>0</v>
      </c>
      <c r="BQ22" s="87">
        <f t="shared" si="58"/>
        <v>0</v>
      </c>
      <c r="BR22" s="87">
        <f t="shared" si="59"/>
        <v>917.19</v>
      </c>
      <c r="BS22" s="87">
        <f t="shared" si="60"/>
        <v>0</v>
      </c>
      <c r="BT22" s="96">
        <f t="shared" si="61"/>
        <v>0</v>
      </c>
    </row>
    <row r="23" spans="1:72">
      <c r="A23" s="84"/>
      <c r="B23" s="1390"/>
      <c r="C23" s="1391">
        <v>11</v>
      </c>
      <c r="D23" s="80" t="s">
        <v>1678</v>
      </c>
      <c r="E23" s="87">
        <f t="shared" si="33"/>
        <v>9111.0400000000009</v>
      </c>
      <c r="F23" s="88"/>
      <c r="G23" s="89">
        <f t="shared" si="34"/>
        <v>24358.9</v>
      </c>
      <c r="H23" s="90">
        <f t="shared" si="35"/>
        <v>98.31</v>
      </c>
      <c r="I23" s="1393">
        <v>98.31</v>
      </c>
      <c r="J23" s="91"/>
      <c r="K23" s="1393"/>
      <c r="L23" s="91"/>
      <c r="M23" s="1360"/>
      <c r="N23" s="91"/>
      <c r="O23" s="91"/>
      <c r="P23" s="91"/>
      <c r="Q23" s="91"/>
      <c r="R23" s="91"/>
      <c r="S23" s="91"/>
      <c r="T23" s="91"/>
      <c r="U23" s="91"/>
      <c r="V23" s="91"/>
      <c r="W23" s="91"/>
      <c r="X23" s="91"/>
      <c r="Y23" s="91"/>
      <c r="Z23" s="91"/>
      <c r="AA23" s="91"/>
      <c r="AB23" s="91"/>
      <c r="AC23" s="87">
        <f t="shared" si="36"/>
        <v>24260.59</v>
      </c>
      <c r="AD23" s="92"/>
      <c r="AE23" s="92"/>
      <c r="AF23" s="1394"/>
      <c r="AG23" s="92"/>
      <c r="AH23" s="92"/>
      <c r="AI23" s="92"/>
      <c r="AJ23" s="92"/>
      <c r="AK23" s="92"/>
      <c r="AL23" s="1360"/>
      <c r="AM23" s="92"/>
      <c r="AN23" s="1360">
        <v>24260.59</v>
      </c>
      <c r="AO23" s="92"/>
      <c r="AP23" s="92"/>
      <c r="AQ23" s="92"/>
      <c r="AR23" s="92"/>
      <c r="AS23" s="92"/>
      <c r="AT23" s="93"/>
      <c r="AU23" s="94"/>
      <c r="AV23" s="1964">
        <f t="shared" si="37"/>
        <v>0</v>
      </c>
      <c r="AW23" s="1964">
        <f t="shared" si="38"/>
        <v>0</v>
      </c>
      <c r="AX23" s="1964">
        <f t="shared" si="39"/>
        <v>11</v>
      </c>
      <c r="AY23" s="95">
        <f t="shared" si="40"/>
        <v>9111.0400000000009</v>
      </c>
      <c r="AZ23" s="87">
        <f t="shared" si="41"/>
        <v>24358.9</v>
      </c>
      <c r="BA23" s="87">
        <f t="shared" si="42"/>
        <v>98.31</v>
      </c>
      <c r="BB23" s="87">
        <f t="shared" si="43"/>
        <v>98.31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24260.59</v>
      </c>
      <c r="BM23" s="87">
        <f t="shared" si="54"/>
        <v>0</v>
      </c>
      <c r="BN23" s="87">
        <f t="shared" si="55"/>
        <v>0</v>
      </c>
      <c r="BO23" s="87">
        <f t="shared" si="56"/>
        <v>0</v>
      </c>
      <c r="BP23" s="87">
        <f t="shared" si="57"/>
        <v>0</v>
      </c>
      <c r="BQ23" s="87">
        <f t="shared" si="58"/>
        <v>0</v>
      </c>
      <c r="BR23" s="87">
        <f t="shared" si="59"/>
        <v>24260.59</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J10" sqref="J1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5" t="s">
        <v>203</v>
      </c>
      <c r="B2" s="3265"/>
      <c r="C2" s="3265"/>
      <c r="D2" s="1960" t="s">
        <v>204</v>
      </c>
      <c r="E2" s="106" t="s">
        <v>205</v>
      </c>
      <c r="F2" s="1969"/>
      <c r="G2" s="1194"/>
      <c r="H2" s="1195"/>
      <c r="I2" s="1196" t="s">
        <v>857</v>
      </c>
      <c r="J2" s="1969"/>
      <c r="K2" s="1969"/>
      <c r="L2" s="1969"/>
    </row>
    <row r="3" spans="1:16" ht="15.75" thickBot="1">
      <c r="A3" s="3266" t="s">
        <v>206</v>
      </c>
      <c r="B3" s="3266"/>
      <c r="C3" s="3266"/>
      <c r="D3" s="107">
        <f>'数据-基础表'!AY6</f>
        <v>43861.49</v>
      </c>
      <c r="E3" s="107">
        <f>'数据-基础表'!AZ5</f>
        <v>117266.29000000001</v>
      </c>
      <c r="F3" s="1969"/>
      <c r="G3" s="280" t="s">
        <v>858</v>
      </c>
      <c r="H3" s="275" t="s">
        <v>859</v>
      </c>
      <c r="I3" s="1961">
        <f>ROUND('数据-基础表'!B3/'数据-基础表'!A3,2)</f>
        <v>2.67</v>
      </c>
      <c r="J3" s="1969"/>
      <c r="K3" s="1969"/>
      <c r="L3" s="1969"/>
    </row>
    <row r="4" spans="1:16" ht="15">
      <c r="A4" s="3267"/>
      <c r="B4" s="3268"/>
      <c r="C4" s="3269"/>
      <c r="D4" s="108" t="s">
        <v>204</v>
      </c>
      <c r="E4" s="109" t="s">
        <v>205</v>
      </c>
      <c r="F4" s="1969"/>
      <c r="G4" s="1197"/>
      <c r="H4" s="275" t="s">
        <v>860</v>
      </c>
      <c r="I4" s="1961">
        <f>ROUND(SUMIF('数据-基础表'!I9:AS9,"地上",'数据-基础表'!I5:AS5)/'数据-基础表'!A3,2)</f>
        <v>2</v>
      </c>
      <c r="J4" s="1969"/>
      <c r="K4" s="1969"/>
      <c r="L4" s="1969"/>
    </row>
    <row r="5" spans="1:16">
      <c r="A5" s="110" t="s">
        <v>207</v>
      </c>
      <c r="B5" s="3270" t="s">
        <v>230</v>
      </c>
      <c r="C5" s="3270"/>
      <c r="D5" s="111">
        <f>ROUND($D$3*E5/$E$3,2)</f>
        <v>32807.19</v>
      </c>
      <c r="E5" s="112">
        <f>SUMIF('数据-基础表'!$11:$11,"住宅",'数据-基础表'!$5:$5)</f>
        <v>87711.97</v>
      </c>
      <c r="F5" s="1969"/>
      <c r="G5" s="280" t="s">
        <v>861</v>
      </c>
      <c r="H5" s="275" t="s">
        <v>859</v>
      </c>
      <c r="I5" s="1961">
        <f>ROUND(E31/D31,2)</f>
        <v>2.67</v>
      </c>
      <c r="J5" s="1969"/>
      <c r="K5" s="1969"/>
      <c r="L5" s="1969"/>
    </row>
    <row r="6" spans="1:16" ht="15" thickBot="1">
      <c r="A6" s="113"/>
      <c r="B6" s="3270" t="s">
        <v>208</v>
      </c>
      <c r="C6" s="3270"/>
      <c r="D6" s="111">
        <f>ROUND($D$3*E6/$E$3,2)</f>
        <v>11054.3</v>
      </c>
      <c r="E6" s="112">
        <f>E3-E5</f>
        <v>29554.320000000007</v>
      </c>
      <c r="F6" s="1969"/>
      <c r="G6" s="1197"/>
      <c r="H6" s="275" t="s">
        <v>860</v>
      </c>
      <c r="I6" s="1961">
        <f>ROUND(F31/D31,2)</f>
        <v>2</v>
      </c>
      <c r="J6" s="1969"/>
      <c r="K6" s="1969"/>
      <c r="L6" s="1969"/>
    </row>
    <row r="7" spans="1:16" ht="15">
      <c r="A7" s="3262"/>
      <c r="B7" s="3263"/>
      <c r="C7" s="3264"/>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32807.19</v>
      </c>
      <c r="E8" s="116">
        <f>SUMIF('数据-基础表'!BB10:BK10,"地上",'数据-基础表'!BB5:BK5)</f>
        <v>87711.97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32807.19</v>
      </c>
      <c r="E16" s="120">
        <f>SUM(E8:E15)</f>
        <v>87711.97</v>
      </c>
      <c r="F16" s="1969"/>
      <c r="G16" s="1971"/>
      <c r="H16" s="968" t="s">
        <v>219</v>
      </c>
      <c r="I16" s="969"/>
      <c r="J16" s="1969"/>
      <c r="K16" s="3256" t="s">
        <v>2566</v>
      </c>
      <c r="L16" s="3257"/>
      <c r="M16" s="3257"/>
      <c r="N16" s="3257"/>
      <c r="O16" s="3257"/>
      <c r="P16" s="3258"/>
    </row>
    <row r="17" spans="1:19" ht="15">
      <c r="A17" s="121" t="s">
        <v>216</v>
      </c>
      <c r="B17" s="122" t="s">
        <v>217</v>
      </c>
      <c r="C17" s="2283" t="s">
        <v>2313</v>
      </c>
      <c r="D17" s="108" t="s">
        <v>204</v>
      </c>
      <c r="E17" s="124" t="s">
        <v>205</v>
      </c>
      <c r="F17" s="125"/>
      <c r="G17" s="1362"/>
      <c r="H17" s="970" t="s">
        <v>218</v>
      </c>
      <c r="I17" s="971" t="s">
        <v>2312</v>
      </c>
      <c r="J17" s="1969"/>
      <c r="K17" s="3259" t="s">
        <v>2567</v>
      </c>
      <c r="L17" s="3260"/>
      <c r="M17" s="3261"/>
      <c r="N17" s="3259" t="s">
        <v>2568</v>
      </c>
      <c r="O17" s="3260"/>
      <c r="P17" s="3261"/>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3136</v>
      </c>
      <c r="D19" s="111">
        <f t="shared" ref="D19:D26" si="1">ROUND($D$3*E19/$E$3,2)</f>
        <v>32807.19</v>
      </c>
      <c r="E19" s="134">
        <f t="shared" ref="E19:E26" si="2">SUM(F19:G19)</f>
        <v>87711.97</v>
      </c>
      <c r="F19" s="135">
        <f>'数据-基础表'!H5</f>
        <v>87711.97</v>
      </c>
      <c r="G19" s="1364"/>
      <c r="H19" s="974">
        <f>ROUND($D$3*I19/$E$3,2)</f>
        <v>11054.3</v>
      </c>
      <c r="I19" s="116">
        <f>IF($I$17="自定义",P19,M19)</f>
        <v>29554.32</v>
      </c>
      <c r="J19" s="1969"/>
      <c r="K19" s="2572">
        <f t="shared" ref="K19:K26" si="3">ROUND(E$28*E19/E$27,2)</f>
        <v>29554.32</v>
      </c>
      <c r="L19" s="275">
        <f t="shared" ref="L19:L26" si="4">ROUND(IF(COUNTIF(C19,"*住宅*")&gt;0,E$29*E19/E$32,0),2)</f>
        <v>0</v>
      </c>
      <c r="M19" s="2573">
        <f>K19+L19</f>
        <v>29554.32</v>
      </c>
      <c r="N19" s="2574"/>
      <c r="O19" s="2575"/>
      <c r="P19" s="2576">
        <f>N19+O19</f>
        <v>0</v>
      </c>
      <c r="R19" s="275">
        <f t="shared" ref="R19:S26" si="5">D19+H19</f>
        <v>43861.490000000005</v>
      </c>
      <c r="S19" s="2286">
        <f t="shared" si="5"/>
        <v>117266.29000000001</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32807.19</v>
      </c>
      <c r="E27" s="143">
        <f>IF(SUM(E19:E26)='数据-基础表'!BA5,SUM(E19:E26),IF(F27="地上面积有误","面积有误","地下面积有误"))</f>
        <v>87711.97</v>
      </c>
      <c r="F27" s="134">
        <f>IF(SUM(F19:F26)=E8,SUM(F19:F26),"地上面积有误")</f>
        <v>87711.97</v>
      </c>
      <c r="G27" s="112">
        <f>SUM(G19:G26)</f>
        <v>0</v>
      </c>
      <c r="H27" s="975">
        <f>SUM(H19:H26)</f>
        <v>11054.3</v>
      </c>
      <c r="I27" s="976">
        <f>SUM(I19:I26)</f>
        <v>29554.32</v>
      </c>
      <c r="J27" s="1969"/>
      <c r="K27" s="2581">
        <f>SUM(K19:K26)</f>
        <v>29554.32</v>
      </c>
      <c r="L27" s="2582">
        <f>SUM(L19:L26)</f>
        <v>0</v>
      </c>
      <c r="M27" s="2583">
        <f>SUM(M19:M26)</f>
        <v>29554.32</v>
      </c>
      <c r="N27" s="2581">
        <f t="shared" ref="N27:O27" si="10">SUM(N19:N26)</f>
        <v>0</v>
      </c>
      <c r="O27" s="2582">
        <f t="shared" si="10"/>
        <v>0</v>
      </c>
      <c r="P27" s="2584">
        <f>SUM(P19:P26)</f>
        <v>0</v>
      </c>
      <c r="R27" s="2290">
        <f>IF(SUM(R19:R26)=$D$3,SUM(R19:R26),SUM(R19:R26)&amp;"误差"&amp;ROUND(SUM(R19:R26)-$D$3,2))</f>
        <v>43861.490000000005</v>
      </c>
      <c r="S27" s="275">
        <f>IF(SUM(S19:S26)=$E$3,SUM(S19:S26),SUM(S19:S26)&amp;"误差"&amp;ROUND(SUM(S19:S26)-E3,2))</f>
        <v>117266.29000000001</v>
      </c>
    </row>
    <row r="28" spans="1:19">
      <c r="A28" s="138"/>
      <c r="B28" s="115" t="s">
        <v>227</v>
      </c>
      <c r="C28" s="136" t="s">
        <v>228</v>
      </c>
      <c r="D28" s="111">
        <f>ROUND($D$3*E28/$E$3,2)</f>
        <v>11054.3</v>
      </c>
      <c r="E28" s="134">
        <f>SUM(F28:G28)</f>
        <v>29554.32</v>
      </c>
      <c r="F28" s="144">
        <f>'数据-基础表'!BQ5+'数据-基础表'!BS5</f>
        <v>0</v>
      </c>
      <c r="G28" s="145">
        <f>'数据-基础表'!BR5+'数据-基础表'!BT5</f>
        <v>29554.32</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11054.3</v>
      </c>
      <c r="E30" s="134">
        <f>SUM(E28:E29)</f>
        <v>29554.32</v>
      </c>
      <c r="F30" s="134">
        <f>SUM(F28:F29)</f>
        <v>0</v>
      </c>
      <c r="G30" s="112">
        <f>SUM(G28:G29)</f>
        <v>29554.32</v>
      </c>
      <c r="H30" s="1969"/>
      <c r="I30" s="1969"/>
      <c r="J30" s="1969"/>
      <c r="K30" s="1969"/>
      <c r="L30" s="1969"/>
    </row>
    <row r="31" spans="1:19" ht="32.25" customHeight="1" thickBot="1">
      <c r="A31" s="1366"/>
      <c r="B31" s="1367" t="s">
        <v>229</v>
      </c>
      <c r="C31" s="2315" t="s">
        <v>2322</v>
      </c>
      <c r="D31" s="1368">
        <f>D27+D30</f>
        <v>43861.490000000005</v>
      </c>
      <c r="E31" s="1368">
        <f>E27+E30</f>
        <v>117266.29000000001</v>
      </c>
      <c r="F31" s="1369">
        <f>F27+F30</f>
        <v>87711.97</v>
      </c>
      <c r="G31" s="1370">
        <f>G27+G30</f>
        <v>29554.32</v>
      </c>
      <c r="H31" s="1969"/>
      <c r="I31" s="1969"/>
      <c r="J31" s="1969"/>
      <c r="K31" s="1969"/>
      <c r="L31" s="1969"/>
    </row>
    <row r="32" spans="1:19">
      <c r="A32" s="1969"/>
      <c r="B32" s="2327" t="s">
        <v>2321</v>
      </c>
      <c r="C32" s="2611"/>
      <c r="D32" s="1197"/>
      <c r="E32" s="1197">
        <f>SUMIF(C19:C26,"*住宅*",E19:E26)</f>
        <v>87711.97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43577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40</v>
      </c>
      <c r="E6" s="2294">
        <f>IF(B6="","",SUMIF(项目基本情况!D$15:I$15,C6,项目基本情况!D$17:I$17))</f>
        <v>58187</v>
      </c>
      <c r="F6" s="174">
        <f>SUMIF(项目基本情况!D$15:I$15,C6,项目基本情况!D$19:I$19)</f>
        <v>40</v>
      </c>
      <c r="G6" s="175">
        <f>IF(ISERROR(ROUND(POWER(1+H6,D6-F6)*(POWER(1+H6,F6)-1)/(POWER(1+H6,D6)-1),3)),0,ROUND(POWER(1+H6,D6-F6)*(POWER(1+H6,F6)-1)/(POWER(1+H6,D6)-1),3))</f>
        <v>1</v>
      </c>
      <c r="H6" s="2978">
        <v>0.03</v>
      </c>
      <c r="I6" s="2978">
        <v>0.03</v>
      </c>
      <c r="J6" s="176">
        <v>0.05</v>
      </c>
      <c r="K6" s="179">
        <f>SUMIF('数据-汇总表'!C$19:C$33,'数据-取费表'!A6,'数据-汇总表'!E$19:E$33)</f>
        <v>87711.97</v>
      </c>
      <c r="L6" s="2979">
        <v>2800</v>
      </c>
      <c r="M6" s="177">
        <f t="shared" ref="M6:M14" si="0">ROUND(K6*L6/10000,0)</f>
        <v>24559</v>
      </c>
      <c r="N6" s="2980">
        <v>0</v>
      </c>
      <c r="O6" s="177">
        <f>IF($N$5="成新度","——",ROUND(M6*N6,0))</f>
        <v>0</v>
      </c>
      <c r="P6" s="178">
        <f>IF($N$5="成新度","——",M6-O6)</f>
        <v>24559</v>
      </c>
      <c r="Q6" s="2981">
        <v>0.03</v>
      </c>
      <c r="R6" s="179">
        <f>SUMIF('数据-汇总表'!C$19:C$33,A6,'数据-汇总表'!R$19:R$33)</f>
        <v>43861.490000000005</v>
      </c>
      <c r="S6" s="132">
        <f>IF('数据-汇总表'!$I$17="按面积比例",SUMIF('数据-汇总表'!C$19:C$33,A6,'数据-汇总表'!K$19:K$33),SUMIF('数据-汇总表'!C$19:C$33,A6,'数据-汇总表'!N$19:N$33))</f>
        <v>29554.32</v>
      </c>
      <c r="T6" s="2219">
        <f>IF($T$4="按面积比例",IF(ISERROR(ROUND($M$14*S6/S$16,0)),"0",ROUND($M$14*S6/S$16,0)),"需自行计算录入")</f>
        <v>5911</v>
      </c>
      <c r="U6" s="180">
        <v>30</v>
      </c>
      <c r="V6" s="181">
        <v>2.5000000000000001E-2</v>
      </c>
      <c r="W6" s="181">
        <v>0.05</v>
      </c>
      <c r="X6" s="2306"/>
      <c r="Y6" s="182">
        <v>1</v>
      </c>
      <c r="Z6" s="183"/>
      <c r="AA6" s="176"/>
      <c r="AB6" s="176"/>
      <c r="AC6" s="2309"/>
      <c r="AD6" s="184"/>
      <c r="AE6" s="972">
        <f ca="1">IF(AN6="",0,SUMIF(INDIRECT("'"&amp;AN6&amp;"'"&amp;"!E:E"),$AE$5,INDIRECT("'"&amp;AN6&amp;"'"&amp;"!F:F")))</f>
        <v>40</v>
      </c>
      <c r="AF6" s="141"/>
      <c r="AG6" s="1209">
        <f>IF(AF6="",0,AE6-AF6)</f>
        <v>0</v>
      </c>
      <c r="AH6" s="141"/>
      <c r="AI6" s="187">
        <v>12</v>
      </c>
      <c r="AJ6" s="188"/>
      <c r="AK6" s="189">
        <v>5.0000000000000001E-3</v>
      </c>
      <c r="AL6" s="190">
        <v>1E-3</v>
      </c>
      <c r="AM6" s="2992">
        <v>5.0000000000000001E-3</v>
      </c>
      <c r="AN6" s="2356" t="s">
        <v>3137</v>
      </c>
      <c r="AO6" s="1985"/>
      <c r="AP6" s="1200">
        <f>ROUND(1-1/(1+H6)^F6,3)</f>
        <v>0.69299999999999995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29554.32</v>
      </c>
      <c r="L14" s="193">
        <v>2000</v>
      </c>
      <c r="M14" s="177">
        <f t="shared" si="0"/>
        <v>5911</v>
      </c>
      <c r="N14" s="194">
        <v>0</v>
      </c>
      <c r="O14" s="177">
        <f t="shared" si="3"/>
        <v>0</v>
      </c>
      <c r="P14" s="178">
        <f t="shared" si="4"/>
        <v>5911</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0.03</v>
      </c>
      <c r="I16" s="204"/>
      <c r="J16" s="204"/>
      <c r="K16" s="205">
        <f>SUM(K6:K15)</f>
        <v>117266.29000000001</v>
      </c>
      <c r="L16" s="206">
        <f>ROUND(M16*10000/SUM(K6:K14),0)</f>
        <v>2598</v>
      </c>
      <c r="M16" s="206">
        <f>SUM(M6:M14)</f>
        <v>30470</v>
      </c>
      <c r="N16" s="207">
        <f>ROUND(SUMPRODUCT(M6:M14,N6:N14)/M16,3)</f>
        <v>0</v>
      </c>
      <c r="O16" s="206">
        <f>SUM(O6:O14)</f>
        <v>0</v>
      </c>
      <c r="P16" s="206">
        <f>SUM(P6:P14)</f>
        <v>30470</v>
      </c>
      <c r="Q16" s="208">
        <f>ROUND(SUMPRODUCT(Q6:Q13,K6:K13)/SUMPRODUCT((Q6:Q13&gt;0)*(K6:K13)),2)</f>
        <v>0.03</v>
      </c>
      <c r="R16" s="2296">
        <f>SUM(R6:R13)</f>
        <v>43861.490000000005</v>
      </c>
      <c r="S16" s="209">
        <f>SUM(S6:S13)</f>
        <v>29554.32</v>
      </c>
      <c r="T16" s="210">
        <f>IF(SUMIF(T6:T13,"&lt;9E307")=M14,SUMIF(T6:T13,"&lt;9E307"),"有误，请检查")</f>
        <v>5911</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0.69299999999999995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2</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2</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160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v>0</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1" t="s">
        <v>1663</v>
      </c>
      <c r="B1" s="3272"/>
      <c r="C1" s="3272"/>
      <c r="D1" s="3272"/>
      <c r="E1" s="3272"/>
      <c r="F1" s="3272"/>
      <c r="G1" s="3272"/>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117266.29000000001</v>
      </c>
      <c r="C1" s="2998"/>
      <c r="D1" s="2998"/>
      <c r="E1" s="2998"/>
      <c r="F1" s="2998"/>
    </row>
    <row r="2" spans="1:9" ht="16.5">
      <c r="A2" s="2997" t="s">
        <v>2845</v>
      </c>
      <c r="B2" s="2997">
        <f>SUM(C14:C23)</f>
        <v>43861.49</v>
      </c>
      <c r="C2" s="2998"/>
      <c r="D2" s="2998"/>
      <c r="E2" s="2998"/>
      <c r="F2" s="2998"/>
    </row>
    <row r="3" spans="1:9" ht="16.5">
      <c r="A3" s="2997" t="s">
        <v>2846</v>
      </c>
      <c r="B3" s="2999">
        <f>项目基本情况!D3</f>
        <v>43577</v>
      </c>
      <c r="C3" s="2998"/>
      <c r="D3" s="2998"/>
      <c r="E3" s="2998"/>
      <c r="F3" s="2998"/>
    </row>
    <row r="4" spans="1:9" ht="33">
      <c r="A4" s="2997" t="s">
        <v>2847</v>
      </c>
      <c r="B4" s="2997" t="s">
        <v>2848</v>
      </c>
      <c r="C4" s="2997" t="s">
        <v>2849</v>
      </c>
      <c r="D4" s="2997" t="s">
        <v>2850</v>
      </c>
      <c r="E4" s="2998"/>
      <c r="F4" s="2998"/>
    </row>
    <row r="5" spans="1:9" ht="16.5">
      <c r="A5" s="2997" t="s">
        <v>2851</v>
      </c>
      <c r="B5" s="2997">
        <f ca="1">SUM(D14:D23)</f>
        <v>98031</v>
      </c>
      <c r="C5" s="2997">
        <f ca="1">ROUND(B5*10000/$B$1,0)</f>
        <v>8360</v>
      </c>
      <c r="D5" s="2997">
        <f ca="1">ROUND(B5*10000/$B$2,0)</f>
        <v>22350</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117266.29000000001</v>
      </c>
      <c r="C14" s="3001">
        <f>结果表!K38</f>
        <v>43861.49</v>
      </c>
      <c r="D14" s="3001">
        <f ca="1">结果表!C42</f>
        <v>98031</v>
      </c>
      <c r="E14" s="3001">
        <f ca="1">ROUND(D14*10000/B14,0)</f>
        <v>8360</v>
      </c>
      <c r="F14" s="3001">
        <f ca="1">ROUND(D14*10000/C14,0)</f>
        <v>22350</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9" sqref="C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3138</v>
      </c>
      <c r="E1" s="1790" t="s">
        <v>2057</v>
      </c>
      <c r="F1" s="1792" t="s">
        <v>3139</v>
      </c>
      <c r="G1" s="311"/>
      <c r="H1" s="311"/>
      <c r="I1" s="311"/>
      <c r="J1" s="2014"/>
      <c r="K1" s="2014"/>
      <c r="L1" s="2014"/>
      <c r="M1" s="2014"/>
      <c r="N1" s="2014"/>
      <c r="O1" s="2014"/>
      <c r="P1" s="2014"/>
      <c r="Q1" s="2014"/>
      <c r="R1" s="2014"/>
      <c r="S1" s="2014"/>
      <c r="T1" s="2014"/>
      <c r="U1" s="2014"/>
      <c r="V1" s="2014"/>
    </row>
    <row r="2" spans="1:22" ht="21.75" customHeight="1" thickBot="1">
      <c r="A2" s="3309" t="str">
        <f>项目基本情况!K2</f>
        <v>北京市大兴区西红门镇3号地出让国有建设用地使用权</v>
      </c>
      <c r="B2" s="3310"/>
      <c r="C2" s="3311"/>
      <c r="D2" s="3311"/>
      <c r="E2" s="3311"/>
      <c r="F2" s="3311"/>
      <c r="G2" s="3310"/>
      <c r="H2" s="3310"/>
      <c r="I2" s="3312"/>
      <c r="J2" s="2015"/>
      <c r="K2" s="2014"/>
      <c r="L2" s="2014"/>
      <c r="M2" s="2014"/>
      <c r="N2" s="2014"/>
      <c r="O2" s="2014"/>
      <c r="P2" s="2014"/>
      <c r="Q2" s="2014"/>
      <c r="R2" s="2014"/>
      <c r="S2" s="2014"/>
      <c r="T2" s="2014"/>
      <c r="U2" s="2014"/>
      <c r="V2" s="2014"/>
    </row>
    <row r="3" spans="1:22" ht="14.25">
      <c r="A3" s="3302" t="s">
        <v>298</v>
      </c>
      <c r="B3" s="3303"/>
      <c r="C3" s="3303"/>
      <c r="D3" s="3303"/>
      <c r="E3" s="3303"/>
      <c r="F3" s="3303"/>
      <c r="G3" s="3303"/>
      <c r="H3" s="3303"/>
      <c r="I3" s="3303"/>
      <c r="J3" s="2015"/>
      <c r="K3" s="2014"/>
      <c r="L3" s="2014"/>
      <c r="M3" s="2014"/>
      <c r="N3" s="2014"/>
      <c r="O3" s="2014"/>
      <c r="P3" s="2014"/>
      <c r="Q3" s="2014"/>
      <c r="R3" s="2014"/>
      <c r="S3" s="2014"/>
      <c r="T3" s="2014"/>
      <c r="U3" s="2014"/>
      <c r="V3" s="2014"/>
    </row>
    <row r="4" spans="1:22" ht="14.25">
      <c r="A4" s="258" t="s">
        <v>299</v>
      </c>
      <c r="B4" s="259" t="s">
        <v>300</v>
      </c>
      <c r="C4" s="260" t="s">
        <v>3140</v>
      </c>
      <c r="D4" s="260" t="s">
        <v>3142</v>
      </c>
      <c r="E4" s="3274" t="s">
        <v>301</v>
      </c>
      <c r="F4" s="3275"/>
      <c r="G4" s="3275"/>
      <c r="H4" s="3275"/>
      <c r="I4" s="330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73" t="s">
        <v>302</v>
      </c>
      <c r="B5" s="3299">
        <v>25</v>
      </c>
      <c r="C5" s="3297">
        <v>8</v>
      </c>
      <c r="D5" s="3301">
        <f>10-C5</f>
        <v>2</v>
      </c>
      <c r="E5" s="261" t="s">
        <v>303</v>
      </c>
      <c r="F5" s="262"/>
      <c r="G5" s="262"/>
      <c r="H5" s="262"/>
      <c r="I5" s="263"/>
      <c r="J5" s="2015"/>
      <c r="K5" s="2014"/>
      <c r="L5" s="2014"/>
      <c r="M5" s="2014"/>
      <c r="N5" s="2014"/>
      <c r="O5" s="2014"/>
      <c r="P5" s="2014"/>
      <c r="Q5" s="2014"/>
      <c r="R5" s="2014"/>
      <c r="S5" s="2014"/>
      <c r="T5" s="2014"/>
      <c r="U5" s="2014"/>
      <c r="V5" s="2014"/>
    </row>
    <row r="6" spans="1:22" ht="14.25">
      <c r="A6" s="3273"/>
      <c r="B6" s="3299"/>
      <c r="C6" s="3300"/>
      <c r="D6" s="3301"/>
      <c r="E6" s="261" t="s">
        <v>304</v>
      </c>
      <c r="F6" s="262"/>
      <c r="G6" s="262"/>
      <c r="H6" s="262"/>
      <c r="I6" s="263"/>
      <c r="J6" s="2015"/>
      <c r="K6" s="2014"/>
      <c r="L6" s="2014"/>
      <c r="M6" s="2014"/>
      <c r="N6" s="2014"/>
      <c r="O6" s="2014"/>
      <c r="P6" s="2014"/>
      <c r="Q6" s="2014"/>
      <c r="R6" s="2014"/>
      <c r="S6" s="2014"/>
      <c r="T6" s="2014"/>
      <c r="U6" s="2014"/>
      <c r="V6" s="2014"/>
    </row>
    <row r="7" spans="1:22" ht="14.25">
      <c r="A7" s="3273"/>
      <c r="B7" s="3299"/>
      <c r="C7" s="3298"/>
      <c r="D7" s="3301"/>
      <c r="E7" s="261" t="s">
        <v>305</v>
      </c>
      <c r="F7" s="262"/>
      <c r="G7" s="262"/>
      <c r="H7" s="262"/>
      <c r="I7" s="263"/>
      <c r="J7" s="2015"/>
      <c r="K7" s="2014"/>
      <c r="L7" s="2014"/>
      <c r="M7" s="2014"/>
      <c r="N7" s="2014"/>
      <c r="O7" s="2014"/>
      <c r="P7" s="2014"/>
      <c r="Q7" s="2014"/>
      <c r="R7" s="2014"/>
      <c r="S7" s="2014"/>
      <c r="T7" s="2014"/>
      <c r="U7" s="2014"/>
      <c r="V7" s="2014"/>
    </row>
    <row r="8" spans="1:22" ht="14.25">
      <c r="A8" s="3273" t="s">
        <v>306</v>
      </c>
      <c r="B8" s="3299">
        <v>15</v>
      </c>
      <c r="C8" s="3297"/>
      <c r="D8" s="3301"/>
      <c r="E8" s="261" t="s">
        <v>307</v>
      </c>
      <c r="F8" s="262"/>
      <c r="G8" s="262"/>
      <c r="H8" s="262"/>
      <c r="I8" s="263"/>
      <c r="J8" s="2015"/>
      <c r="K8" s="2014"/>
      <c r="L8" s="2014"/>
      <c r="M8" s="2014"/>
      <c r="N8" s="2014"/>
      <c r="O8" s="2014"/>
      <c r="P8" s="2014"/>
      <c r="Q8" s="2014"/>
      <c r="R8" s="2014"/>
      <c r="S8" s="2014"/>
      <c r="T8" s="2014"/>
      <c r="U8" s="2014"/>
      <c r="V8" s="2014"/>
    </row>
    <row r="9" spans="1:22" ht="14.25">
      <c r="A9" s="3273"/>
      <c r="B9" s="3299"/>
      <c r="C9" s="3298"/>
      <c r="D9" s="3301"/>
      <c r="E9" s="261" t="s">
        <v>308</v>
      </c>
      <c r="F9" s="262"/>
      <c r="G9" s="262"/>
      <c r="H9" s="262"/>
      <c r="I9" s="263"/>
      <c r="J9" s="2015"/>
      <c r="K9" s="2014"/>
      <c r="L9" s="2014"/>
      <c r="M9" s="2014"/>
      <c r="N9" s="2014"/>
      <c r="O9" s="2014"/>
      <c r="P9" s="2014"/>
      <c r="Q9" s="2014"/>
      <c r="R9" s="2014"/>
      <c r="S9" s="2014"/>
      <c r="T9" s="2014"/>
      <c r="U9" s="2014"/>
      <c r="V9" s="2014"/>
    </row>
    <row r="10" spans="1:22" ht="14.25">
      <c r="A10" s="3273" t="s">
        <v>309</v>
      </c>
      <c r="B10" s="3299">
        <v>15</v>
      </c>
      <c r="C10" s="3297"/>
      <c r="D10" s="3301"/>
      <c r="E10" s="261" t="s">
        <v>310</v>
      </c>
      <c r="F10" s="262"/>
      <c r="G10" s="262"/>
      <c r="H10" s="262"/>
      <c r="I10" s="263"/>
      <c r="J10" s="2015"/>
      <c r="K10" s="2014"/>
      <c r="L10" s="2014"/>
      <c r="M10" s="2014"/>
      <c r="N10" s="2014"/>
      <c r="O10" s="2014"/>
      <c r="P10" s="2014"/>
      <c r="Q10" s="2014"/>
      <c r="R10" s="2014"/>
      <c r="S10" s="2014"/>
      <c r="T10" s="2014"/>
      <c r="U10" s="2014"/>
      <c r="V10" s="2014"/>
    </row>
    <row r="11" spans="1:22" ht="14.25">
      <c r="A11" s="3273"/>
      <c r="B11" s="3299"/>
      <c r="C11" s="3298"/>
      <c r="D11" s="3301"/>
      <c r="E11" s="261" t="s">
        <v>311</v>
      </c>
      <c r="F11" s="262"/>
      <c r="G11" s="262"/>
      <c r="H11" s="262"/>
      <c r="I11" s="263"/>
      <c r="J11" s="2015"/>
      <c r="K11" s="2014"/>
      <c r="L11" s="2014"/>
      <c r="M11" s="2014"/>
      <c r="N11" s="2014"/>
      <c r="O11" s="2014"/>
      <c r="P11" s="2014"/>
      <c r="Q11" s="2014"/>
      <c r="R11" s="2014"/>
      <c r="S11" s="2014"/>
      <c r="T11" s="2014"/>
      <c r="U11" s="2014"/>
      <c r="V11" s="2014"/>
    </row>
    <row r="12" spans="1:22" ht="14.25">
      <c r="A12" s="3273" t="s">
        <v>312</v>
      </c>
      <c r="B12" s="3299">
        <v>15</v>
      </c>
      <c r="C12" s="3297"/>
      <c r="D12" s="3301"/>
      <c r="E12" s="261" t="s">
        <v>313</v>
      </c>
      <c r="F12" s="262"/>
      <c r="G12" s="262"/>
      <c r="H12" s="262"/>
      <c r="I12" s="263"/>
      <c r="J12" s="2015"/>
      <c r="K12" s="2014"/>
      <c r="L12" s="2014"/>
      <c r="M12" s="2014"/>
      <c r="N12" s="2014"/>
      <c r="O12" s="2014"/>
      <c r="P12" s="2014"/>
      <c r="Q12" s="2014"/>
      <c r="R12" s="2014"/>
      <c r="S12" s="2014"/>
      <c r="T12" s="2014"/>
      <c r="U12" s="2014"/>
      <c r="V12" s="2014"/>
    </row>
    <row r="13" spans="1:22" ht="14.25">
      <c r="A13" s="3273"/>
      <c r="B13" s="3299"/>
      <c r="C13" s="3298"/>
      <c r="D13" s="3301"/>
      <c r="E13" s="261" t="s">
        <v>314</v>
      </c>
      <c r="F13" s="262"/>
      <c r="G13" s="262"/>
      <c r="H13" s="262"/>
      <c r="I13" s="263"/>
      <c r="J13" s="2015"/>
      <c r="K13" s="2014"/>
      <c r="L13" s="2014"/>
      <c r="M13" s="2014"/>
      <c r="N13" s="2014"/>
      <c r="O13" s="2014"/>
      <c r="P13" s="2014"/>
      <c r="Q13" s="2014"/>
      <c r="R13" s="2014"/>
      <c r="S13" s="2014"/>
      <c r="T13" s="2014"/>
      <c r="U13" s="2014"/>
      <c r="V13" s="2014"/>
    </row>
    <row r="14" spans="1:22" ht="14.25">
      <c r="A14" s="3273" t="s">
        <v>315</v>
      </c>
      <c r="B14" s="3299">
        <v>30</v>
      </c>
      <c r="C14" s="3297"/>
      <c r="D14" s="3301"/>
      <c r="E14" s="261" t="s">
        <v>316</v>
      </c>
      <c r="F14" s="262"/>
      <c r="G14" s="262"/>
      <c r="H14" s="262"/>
      <c r="I14" s="263"/>
      <c r="J14" s="2015"/>
      <c r="K14" s="2014"/>
      <c r="L14" s="2014"/>
      <c r="M14" s="2014"/>
      <c r="N14" s="2014"/>
      <c r="O14" s="2014"/>
      <c r="P14" s="2014"/>
      <c r="Q14" s="2014"/>
      <c r="R14" s="2014"/>
      <c r="S14" s="2014"/>
      <c r="T14" s="2014"/>
      <c r="U14" s="2014"/>
      <c r="V14" s="2014"/>
    </row>
    <row r="15" spans="1:22" ht="14.25">
      <c r="A15" s="3273"/>
      <c r="B15" s="3299"/>
      <c r="C15" s="3300"/>
      <c r="D15" s="3301"/>
      <c r="E15" s="261" t="s">
        <v>317</v>
      </c>
      <c r="F15" s="262"/>
      <c r="G15" s="262"/>
      <c r="H15" s="262"/>
      <c r="I15" s="263"/>
      <c r="J15" s="2015"/>
      <c r="K15" s="2014"/>
      <c r="L15" s="2014"/>
      <c r="M15" s="2014"/>
      <c r="N15" s="2014"/>
      <c r="O15" s="2014"/>
      <c r="P15" s="2014"/>
      <c r="Q15" s="2014"/>
      <c r="R15" s="2014"/>
      <c r="S15" s="2014"/>
      <c r="T15" s="2014"/>
      <c r="U15" s="2014"/>
      <c r="V15" s="2014"/>
    </row>
    <row r="16" spans="1:22" ht="14.25">
      <c r="A16" s="3273"/>
      <c r="B16" s="3299"/>
      <c r="C16" s="3298"/>
      <c r="D16" s="330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8</v>
      </c>
      <c r="D17" s="265">
        <f>SUM(D5:D16)</f>
        <v>2</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0.8</v>
      </c>
      <c r="D18" s="267">
        <f>1-C18</f>
        <v>0.19999999999999996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'土地比较法-住宅、综合'!B2</f>
        <v>109728</v>
      </c>
      <c r="D19" s="271">
        <f ca="1">SUMIF(INDIRECT("'"&amp;D4&amp;"'"&amp;"!A:A"),结果表!B19,INDIRECT("'"&amp;D4&amp;"'"&amp;"!B:B"))</f>
        <v>51241</v>
      </c>
      <c r="E19" s="268" t="s">
        <v>323</v>
      </c>
      <c r="F19" s="269" t="s">
        <v>322</v>
      </c>
      <c r="G19" s="272">
        <f ca="1">ROUND(C19*$C$18+D19*$D$18,0)</f>
        <v>98031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'土地比较法-住宅、综合'!C47</f>
        <v>12510</v>
      </c>
      <c r="D20" s="277">
        <f ca="1">SUMIF(INDIRECT("'"&amp;D4&amp;"'"&amp;"!A:A"),结果表!B20,INDIRECT("'"&amp;D4&amp;"'"&amp;"!B:B"))</f>
        <v>5842</v>
      </c>
      <c r="E20" s="274"/>
      <c r="F20" s="275" t="s">
        <v>325</v>
      </c>
      <c r="G20" s="278">
        <f ca="1">ROUND(C20*$C$18+D20*$D$18,0)</f>
        <v>11176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#DIV/0!</v>
      </c>
      <c r="D21" s="151">
        <f ca="1">SUMIF(INDIRECT("'"&amp;D4&amp;"'"&amp;"!A:A"),结果表!B21,INDIRECT("'"&amp;D4&amp;"'"&amp;"!B:B"))</f>
        <v>11682</v>
      </c>
      <c r="E21" s="274"/>
      <c r="F21" s="280" t="s">
        <v>327</v>
      </c>
      <c r="G21" s="282" t="e">
        <f ca="1">ROUND(C21*$C$18+D21*$D$18,0)</f>
        <v>#DIV/0!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1.1414101988641909</v>
      </c>
      <c r="E22" s="284"/>
      <c r="F22" s="285"/>
      <c r="G22" s="286">
        <f ca="1">ROUND(G19/('数据-汇总表'!D3/666.67),0)</f>
        <v>1490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7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0"/>
      <c r="B25" s="1317" t="s">
        <v>331</v>
      </c>
      <c r="C25" s="290">
        <f>IF(B30=0,0,C30)</f>
        <v>0</v>
      </c>
      <c r="D25" s="291"/>
      <c r="E25" s="311"/>
      <c r="F25" s="311"/>
      <c r="G25" s="311"/>
      <c r="H25" s="311"/>
      <c r="I25" s="311"/>
      <c r="J25" s="2014"/>
      <c r="K25" s="1251" t="str">
        <f ca="1">项目基本情况!B16&amp;"国有建设用地使用权价格："&amp;O38&amp;"万元"</f>
        <v>出让国有建设用地使用权价格：98031万元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大写金额：人民币玖亿捌仟零叁拾壹万元整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单位面积地价：22350元/平方米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楼面地价：8360元/平方米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98031</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8360</v>
      </c>
      <c r="D33" s="1382" t="s">
        <v>1691</v>
      </c>
      <c r="E33" s="327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22350</v>
      </c>
      <c r="D34" s="1384" t="s">
        <v>1691</v>
      </c>
      <c r="E34" s="332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1490</v>
      </c>
      <c r="D35" s="1387" t="s">
        <v>1693</v>
      </c>
      <c r="E35" s="3321"/>
      <c r="F35" s="301" t="s">
        <v>342</v>
      </c>
      <c r="G35" s="982"/>
      <c r="H35" s="981" t="s">
        <v>343</v>
      </c>
      <c r="I35" s="311"/>
      <c r="J35" s="2014"/>
      <c r="K35" s="3294" t="s">
        <v>350</v>
      </c>
      <c r="L35" s="3294" t="s">
        <v>351</v>
      </c>
      <c r="M35" s="1260" t="s">
        <v>352</v>
      </c>
      <c r="N35" s="3294" t="s">
        <v>353</v>
      </c>
      <c r="O35" s="3294" t="s">
        <v>354</v>
      </c>
      <c r="P35" s="2014"/>
      <c r="V35" s="2014"/>
    </row>
    <row r="36" spans="1:26" ht="16.5" customHeight="1">
      <c r="A36" s="303" t="s">
        <v>344</v>
      </c>
      <c r="B36" s="304" t="s">
        <v>333</v>
      </c>
      <c r="C36" s="305" t="s">
        <v>345</v>
      </c>
      <c r="D36" s="305" t="s">
        <v>346</v>
      </c>
      <c r="E36" s="306" t="s">
        <v>347</v>
      </c>
      <c r="F36" s="311"/>
      <c r="G36" s="311"/>
      <c r="H36" s="311"/>
      <c r="I36" s="311"/>
      <c r="J36" s="2016"/>
      <c r="K36" s="3295"/>
      <c r="L36" s="3295"/>
      <c r="M36" s="1262" t="s">
        <v>355</v>
      </c>
      <c r="N36" s="3295"/>
      <c r="O36" s="3295"/>
      <c r="P36" s="2014"/>
      <c r="V36" s="2014"/>
    </row>
    <row r="37" spans="1:26" ht="16.5" customHeight="1" thickBot="1">
      <c r="A37" s="1256" t="s">
        <v>348</v>
      </c>
      <c r="B37" s="307"/>
      <c r="C37" s="294"/>
      <c r="D37" s="294"/>
      <c r="E37" s="295"/>
      <c r="F37" s="311"/>
      <c r="G37" s="311"/>
      <c r="H37" s="311"/>
      <c r="I37" s="311"/>
      <c r="J37" s="2016"/>
      <c r="K37" s="3296"/>
      <c r="L37" s="3296"/>
      <c r="M37" s="1263"/>
      <c r="N37" s="3296"/>
      <c r="O37" s="3296"/>
      <c r="P37" s="2014"/>
      <c r="V37" s="2014"/>
    </row>
    <row r="38" spans="1:26" ht="16.5" customHeight="1" thickBot="1">
      <c r="A38" s="1256" t="s">
        <v>349</v>
      </c>
      <c r="B38" s="307"/>
      <c r="C38" s="294"/>
      <c r="D38" s="294"/>
      <c r="E38" s="295"/>
      <c r="F38" s="311"/>
      <c r="G38" s="311"/>
      <c r="H38" s="311"/>
      <c r="I38" s="311"/>
      <c r="J38" s="2016"/>
      <c r="K38" s="1264">
        <f>'数据-汇总表'!D3</f>
        <v>43861.49</v>
      </c>
      <c r="L38" s="1265">
        <f>'数据-汇总表'!E3</f>
        <v>117266.29000000001</v>
      </c>
      <c r="M38" s="1265">
        <f ca="1">C34</f>
        <v>22350</v>
      </c>
      <c r="N38" s="1265">
        <f ca="1">C33</f>
        <v>8360</v>
      </c>
      <c r="O38" s="1266">
        <f ca="1">C32</f>
        <v>98031</v>
      </c>
      <c r="P38" s="2014"/>
      <c r="V38" s="2014"/>
    </row>
    <row r="39" spans="1:26" ht="16.5" customHeight="1" thickBot="1">
      <c r="A39" s="1261"/>
      <c r="B39" s="308"/>
      <c r="C39" s="309"/>
      <c r="D39" s="309"/>
      <c r="E39" s="310"/>
      <c r="F39" s="311"/>
      <c r="G39" s="311"/>
      <c r="H39" s="311"/>
      <c r="I39" s="311"/>
      <c r="J39" s="2016"/>
      <c r="K39" s="3339" t="str">
        <f>MID(A44,3,LEN(A44)-2)</f>
        <v/>
      </c>
      <c r="L39" s="3340"/>
      <c r="M39" s="3340"/>
      <c r="N39" s="3341"/>
      <c r="O39" s="1389" t="str">
        <f>C44</f>
        <v>——</v>
      </c>
      <c r="P39" s="2014"/>
      <c r="V39" s="2014"/>
    </row>
    <row r="40" spans="1:26" ht="19.5" thickBot="1">
      <c r="A40" s="104" t="s">
        <v>873</v>
      </c>
      <c r="B40" s="311"/>
      <c r="C40" s="311"/>
      <c r="D40" s="311"/>
      <c r="E40" s="311"/>
      <c r="F40" s="311"/>
      <c r="G40" s="311"/>
      <c r="H40" s="311"/>
      <c r="I40" s="311"/>
      <c r="J40" s="2016"/>
      <c r="K40" s="3339" t="str">
        <f t="shared" ref="K40:K41" si="0">MID(A45,3,LEN(A45)-2)</f>
        <v/>
      </c>
      <c r="L40" s="3340"/>
      <c r="M40" s="3340"/>
      <c r="N40" s="334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9" t="str">
        <f t="shared" si="0"/>
        <v/>
      </c>
      <c r="L41" s="3340"/>
      <c r="M41" s="3340"/>
      <c r="N41" s="3341"/>
      <c r="O41" s="1389" t="str">
        <f>C46</f>
        <v>——</v>
      </c>
      <c r="P41" s="2014"/>
      <c r="V41" s="2014"/>
    </row>
    <row r="42" spans="1:26" ht="29.25">
      <c r="A42" s="3281" t="s">
        <v>2067</v>
      </c>
      <c r="B42" s="3282"/>
      <c r="C42" s="264">
        <f ca="1">C32</f>
        <v>98031</v>
      </c>
      <c r="D42" s="317">
        <f ca="1">C33</f>
        <v>8360</v>
      </c>
      <c r="E42" s="317">
        <f ca="1">C34</f>
        <v>22350</v>
      </c>
      <c r="F42" s="318">
        <f ca="1">C35</f>
        <v>1490</v>
      </c>
      <c r="G42" s="311"/>
      <c r="H42" s="311"/>
      <c r="I42" s="319"/>
      <c r="J42" s="2016"/>
      <c r="K42" s="1267" t="s">
        <v>361</v>
      </c>
      <c r="L42" s="2033" t="s">
        <v>362</v>
      </c>
      <c r="M42" s="1268" t="s">
        <v>363</v>
      </c>
      <c r="N42" s="2034" t="s">
        <v>364</v>
      </c>
      <c r="O42" s="2035" t="s">
        <v>365</v>
      </c>
      <c r="P42" s="2014"/>
      <c r="V42" s="2014"/>
    </row>
    <row r="43" spans="1:26" ht="18">
      <c r="A43" s="3292" t="s">
        <v>2730</v>
      </c>
      <c r="B43" s="3293"/>
      <c r="C43" s="264">
        <f>IF(H33="正常操作",G33+G34+G35,G34+G35)</f>
        <v>0</v>
      </c>
      <c r="D43" s="317" t="s">
        <v>43</v>
      </c>
      <c r="E43" s="317" t="s">
        <v>44</v>
      </c>
      <c r="F43" s="318" t="s">
        <v>44</v>
      </c>
      <c r="G43" s="2822" t="s">
        <v>952</v>
      </c>
      <c r="H43" s="311"/>
      <c r="I43" s="319"/>
      <c r="J43" s="2016"/>
      <c r="K43" s="1269" t="str">
        <f>C4</f>
        <v>比较法-住宅、综合</v>
      </c>
      <c r="L43" s="1270">
        <f>IF(L42="估价结果/万元",C19,C20)</f>
        <v>109728</v>
      </c>
      <c r="M43" s="1271">
        <f>C18</f>
        <v>0.8</v>
      </c>
      <c r="N43" s="1272">
        <f ca="1">IF(N42="测算结果/万元",G19,G20)</f>
        <v>98031</v>
      </c>
      <c r="O43" s="1273">
        <f ca="1">IF(O42="最终结果/万元",C32,C33)</f>
        <v>98031</v>
      </c>
      <c r="P43" s="2014"/>
      <c r="V43" s="2014"/>
    </row>
    <row r="44" spans="1:26" ht="18.75" thickBot="1">
      <c r="A44" s="3281" t="str">
        <f>IF(OR(项目基本情况!E8="抵押价格",项目基本情况!E8="已注销及未注销"),"3.抵押价格","——")</f>
        <v>——</v>
      </c>
      <c r="B44" s="3282"/>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51241</v>
      </c>
      <c r="M44" s="1276">
        <f>D18</f>
        <v>0.19999999999999996</v>
      </c>
      <c r="N44" s="1277"/>
      <c r="O44" s="1278"/>
      <c r="P44" s="2014"/>
      <c r="V44" s="2014"/>
    </row>
    <row r="45" spans="1:26" ht="15">
      <c r="A45" s="3287" t="str">
        <f>IF(项目基本情况!E8="已注销及未注销","4.抵押担保权已注销时的抵押价格",IF(项目基本情况!E8="已注销","3.抵押担保权已注销时的抵押价格","——"))</f>
        <v>——</v>
      </c>
      <c r="B45" s="328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83" t="str">
        <f>IF(项目基本情况!E9="抵押净值",IF(A45="——","4.抵押净值","5.抵押净值"),"——")</f>
        <v>——</v>
      </c>
      <c r="B46" s="328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8" t="s">
        <v>374</v>
      </c>
      <c r="B63" s="3329"/>
      <c r="C63" s="3330"/>
      <c r="D63" s="341">
        <f ca="1">ROUND(C42*F63,0)</f>
        <v>58819</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89" t="s">
        <v>378</v>
      </c>
      <c r="B64" s="3290"/>
      <c r="C64" s="3290"/>
      <c r="D64" s="3290"/>
      <c r="E64" s="3290"/>
      <c r="F64" s="3290"/>
      <c r="G64" s="329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85" t="s">
        <v>386</v>
      </c>
      <c r="B66" s="3286"/>
      <c r="C66" s="3286"/>
      <c r="D66" s="261">
        <f ca="1">IF(H66="情况1",0,IF(H66="情况2",D70,IF(H66="情况3",D71,IF(H66="情况4",D72))))</f>
        <v>3081</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43" t="s">
        <v>385</v>
      </c>
      <c r="M66" s="3344"/>
      <c r="N66" s="2423"/>
      <c r="O66" s="2424"/>
      <c r="P66" s="2425"/>
      <c r="Q66" s="2014"/>
      <c r="R66" s="2014"/>
      <c r="S66" s="2014"/>
      <c r="T66" s="2014"/>
      <c r="U66" s="2014"/>
      <c r="V66" s="2014"/>
    </row>
    <row r="67" spans="1:22" ht="25.5" customHeight="1">
      <c r="A67" s="352" t="s">
        <v>390</v>
      </c>
      <c r="B67" s="3276" t="s">
        <v>391</v>
      </c>
      <c r="C67" s="3276"/>
      <c r="D67" s="353">
        <v>0</v>
      </c>
      <c r="E67" s="41" t="s">
        <v>392</v>
      </c>
      <c r="F67" s="62" t="s">
        <v>21</v>
      </c>
      <c r="G67" s="3331"/>
      <c r="H67" s="311"/>
      <c r="I67" s="1288"/>
      <c r="J67" s="2021"/>
      <c r="K67" s="1962">
        <v>2</v>
      </c>
      <c r="L67" s="3342" t="s">
        <v>389</v>
      </c>
      <c r="M67" s="3342"/>
      <c r="N67" s="1321">
        <f>'数据-取费表'!B2</f>
        <v>43577</v>
      </c>
      <c r="O67" s="1321"/>
      <c r="P67" s="1321"/>
      <c r="Q67" s="2014"/>
      <c r="R67" s="2014"/>
      <c r="S67" s="2014"/>
      <c r="T67" s="2014"/>
      <c r="U67" s="2014"/>
      <c r="V67" s="2014"/>
    </row>
    <row r="68" spans="1:22" ht="25.5" customHeight="1">
      <c r="A68" s="354"/>
      <c r="B68" s="3276" t="s">
        <v>394</v>
      </c>
      <c r="C68" s="3276"/>
      <c r="D68" s="355"/>
      <c r="E68" s="77"/>
      <c r="F68" s="356"/>
      <c r="G68" s="3332"/>
      <c r="H68" s="311"/>
      <c r="I68" s="1288"/>
      <c r="J68" s="2021"/>
      <c r="K68" s="1962">
        <v>3</v>
      </c>
      <c r="L68" s="3342" t="s">
        <v>393</v>
      </c>
      <c r="M68" s="3342"/>
      <c r="N68" s="1289">
        <f ca="1">C42</f>
        <v>98031</v>
      </c>
      <c r="O68" s="1289"/>
      <c r="P68" s="1289"/>
      <c r="Q68" s="2014"/>
      <c r="R68" s="2014"/>
      <c r="S68" s="2014"/>
      <c r="T68" s="2014"/>
      <c r="U68" s="2014"/>
      <c r="V68" s="2014"/>
    </row>
    <row r="69" spans="1:22" ht="12" customHeight="1">
      <c r="A69" s="357"/>
      <c r="B69" s="3276" t="s">
        <v>395</v>
      </c>
      <c r="C69" s="3276"/>
      <c r="D69" s="358"/>
      <c r="E69" s="73"/>
      <c r="F69" s="356"/>
      <c r="G69" s="3333"/>
      <c r="H69" s="311"/>
      <c r="I69" s="1288"/>
      <c r="J69" s="2021"/>
      <c r="K69" s="1290">
        <v>4</v>
      </c>
      <c r="L69" s="3347" t="s">
        <v>2883</v>
      </c>
      <c r="M69" s="3348"/>
      <c r="N69" s="1291" t="str">
        <f>C44</f>
        <v>——</v>
      </c>
      <c r="O69" s="1291"/>
      <c r="P69" s="1291"/>
      <c r="Q69" s="2014"/>
      <c r="R69" s="2014"/>
      <c r="S69" s="2014"/>
      <c r="T69" s="2014"/>
      <c r="U69" s="2014"/>
      <c r="V69" s="2014"/>
    </row>
    <row r="70" spans="1:22" ht="24" customHeight="1">
      <c r="A70" s="359" t="s">
        <v>396</v>
      </c>
      <c r="B70" s="3276" t="s">
        <v>397</v>
      </c>
      <c r="C70" s="3276"/>
      <c r="D70" s="358">
        <f ca="1">ROUND(D63*'数据-取费表'!B41/(1+'数据-取费表'!C42),0)</f>
        <v>3081</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77" t="s">
        <v>405</v>
      </c>
      <c r="C71" s="3278"/>
      <c r="D71" s="358">
        <f ca="1">ROUND(D63*'数据-取费表'!B41/(1+'数据-取费表'!C42),0)</f>
        <v>3081</v>
      </c>
      <c r="E71" s="17" t="s">
        <v>398</v>
      </c>
      <c r="F71" s="360">
        <f>'数据-取费表'!B41</f>
        <v>5.5000000000000007E-2</v>
      </c>
      <c r="G71" s="361"/>
      <c r="H71" s="311"/>
      <c r="I71" s="1288"/>
      <c r="J71" s="2021"/>
      <c r="K71" s="3013" t="s">
        <v>399</v>
      </c>
      <c r="L71" s="3349" t="s">
        <v>400</v>
      </c>
      <c r="M71" s="3349"/>
      <c r="N71" s="3013" t="s">
        <v>401</v>
      </c>
      <c r="O71" s="3013" t="s">
        <v>402</v>
      </c>
      <c r="P71" s="3013" t="s">
        <v>403</v>
      </c>
      <c r="Q71" s="2014"/>
      <c r="R71" s="2014"/>
      <c r="S71" s="2014"/>
      <c r="T71" s="2014"/>
      <c r="U71" s="2014"/>
      <c r="V71" s="2014"/>
    </row>
    <row r="72" spans="1:22" ht="12" customHeight="1">
      <c r="A72" s="359" t="s">
        <v>407</v>
      </c>
      <c r="B72" s="3277" t="s">
        <v>408</v>
      </c>
      <c r="C72" s="3278"/>
      <c r="D72" s="358">
        <f ca="1">C86</f>
        <v>2971</v>
      </c>
      <c r="E72" s="73" t="s">
        <v>409</v>
      </c>
      <c r="F72" s="360">
        <f>'数据-取费表'!B41</f>
        <v>5.5000000000000007E-2</v>
      </c>
      <c r="G72" s="361"/>
      <c r="H72" s="1294"/>
      <c r="I72" s="1288"/>
      <c r="J72" s="2021"/>
      <c r="K72" s="1962">
        <v>1</v>
      </c>
      <c r="L72" s="3324" t="s">
        <v>406</v>
      </c>
      <c r="M72" s="3324"/>
      <c r="N72" s="1292">
        <f ca="1">D66</f>
        <v>3081</v>
      </c>
      <c r="O72" s="1845" t="str">
        <f>E66</f>
        <v>销售额×税（费）率</v>
      </c>
      <c r="P72" s="1293">
        <f>F66</f>
        <v>5.5000000000000007E-2</v>
      </c>
      <c r="Q72" s="2014"/>
      <c r="R72" s="2014"/>
      <c r="S72" s="2014"/>
      <c r="T72" s="2014"/>
      <c r="U72" s="2014"/>
      <c r="V72" s="2014"/>
    </row>
    <row r="73" spans="1:22" ht="24" customHeight="1">
      <c r="A73" s="3318" t="s">
        <v>411</v>
      </c>
      <c r="B73" s="3286"/>
      <c r="C73" s="3286"/>
      <c r="D73" s="362">
        <f>IF(H73="个人住宅",0,ROUND(D63*I73,0))</f>
        <v>0</v>
      </c>
      <c r="E73" s="17" t="s">
        <v>412</v>
      </c>
      <c r="F73" s="360" t="str">
        <f>IF(H73="正常",I73,"免征")</f>
        <v>免征</v>
      </c>
      <c r="G73" s="361"/>
      <c r="H73" s="191" t="s">
        <v>2455</v>
      </c>
      <c r="I73" s="360">
        <f>'数据-取费表'!B49</f>
        <v>5.0000000000000001E-4</v>
      </c>
      <c r="J73" s="2021"/>
      <c r="K73" s="1962">
        <v>2</v>
      </c>
      <c r="L73" s="3324" t="s">
        <v>410</v>
      </c>
      <c r="M73" s="3324"/>
      <c r="N73" s="1292">
        <f t="shared" ref="N73:P74" si="1">D73</f>
        <v>0</v>
      </c>
      <c r="O73" s="1845" t="str">
        <f t="shared" si="1"/>
        <v>销售额×税（费）率</v>
      </c>
      <c r="P73" s="1293" t="str">
        <f t="shared" si="1"/>
        <v>免征</v>
      </c>
      <c r="Q73" s="2014"/>
      <c r="R73" s="2014"/>
      <c r="S73" s="2014"/>
      <c r="T73" s="2014"/>
      <c r="U73" s="2014"/>
      <c r="V73" s="2014"/>
    </row>
    <row r="74" spans="1:22" ht="24.75">
      <c r="A74" s="3318" t="s">
        <v>415</v>
      </c>
      <c r="B74" s="3286"/>
      <c r="C74" s="3286"/>
      <c r="D74" s="362">
        <f ca="1">IF(H74="个人住宅",D75,D76)</f>
        <v>32689</v>
      </c>
      <c r="E74" s="17" t="s">
        <v>416</v>
      </c>
      <c r="F74" s="360" t="str">
        <f>IF(H74="正常",F76,"免征")</f>
        <v>——</v>
      </c>
      <c r="G74" s="983" t="s">
        <v>417</v>
      </c>
      <c r="H74" s="363" t="s">
        <v>413</v>
      </c>
      <c r="I74" s="42"/>
      <c r="J74" s="2021"/>
      <c r="K74" s="1962">
        <v>3</v>
      </c>
      <c r="L74" s="3324" t="s">
        <v>414</v>
      </c>
      <c r="M74" s="3324"/>
      <c r="N74" s="1292">
        <f t="shared" ca="1" si="1"/>
        <v>32689</v>
      </c>
      <c r="O74" s="1845" t="str">
        <f t="shared" si="1"/>
        <v>增值额×税（费）率</v>
      </c>
      <c r="P74" s="1295" t="str">
        <f t="shared" si="1"/>
        <v>——</v>
      </c>
      <c r="Q74" s="2014"/>
      <c r="R74" s="2014"/>
      <c r="S74" s="2014"/>
      <c r="T74" s="2014"/>
      <c r="U74" s="2014"/>
      <c r="V74" s="2014"/>
    </row>
    <row r="75" spans="1:22" ht="24">
      <c r="A75" s="359" t="s">
        <v>418</v>
      </c>
      <c r="B75" s="3274" t="s">
        <v>419</v>
      </c>
      <c r="C75" s="3304"/>
      <c r="D75" s="364">
        <v>0</v>
      </c>
      <c r="E75" s="41" t="s">
        <v>420</v>
      </c>
      <c r="F75" s="365"/>
      <c r="G75" s="361"/>
      <c r="H75" s="42"/>
      <c r="I75" s="42"/>
      <c r="J75" s="2021"/>
      <c r="K75" s="3006">
        <f>IF(H77="非个人房产","",4)</f>
        <v>4</v>
      </c>
      <c r="L75" s="3324" t="str">
        <f>IF(H77="非个人房产","——","个人所得税")</f>
        <v>个人所得税</v>
      </c>
      <c r="M75" s="3324"/>
      <c r="N75" s="1296">
        <f ca="1">D77</f>
        <v>588</v>
      </c>
      <c r="O75" s="1858" t="str">
        <f>E77</f>
        <v>销售额×税（费）率</v>
      </c>
      <c r="P75" s="1297">
        <f>F77</f>
        <v>0.01</v>
      </c>
      <c r="Q75" s="2014"/>
      <c r="R75" s="2014"/>
      <c r="S75" s="2014"/>
      <c r="T75" s="2014"/>
      <c r="U75" s="2014"/>
      <c r="V75" s="2014"/>
    </row>
    <row r="76" spans="1:22" ht="24.75">
      <c r="A76" s="359" t="s">
        <v>396</v>
      </c>
      <c r="B76" s="3274" t="s">
        <v>422</v>
      </c>
      <c r="C76" s="3275"/>
      <c r="D76" s="362">
        <f ca="1">IF(H76="转让取得",C99,C115)</f>
        <v>32689</v>
      </c>
      <c r="E76" s="17" t="s">
        <v>423</v>
      </c>
      <c r="F76" s="53" t="s">
        <v>21</v>
      </c>
      <c r="G76" s="361"/>
      <c r="H76" s="363" t="s">
        <v>424</v>
      </c>
      <c r="I76" s="42"/>
      <c r="J76" s="2021"/>
      <c r="K76" s="3006" t="str">
        <f>IF(项目基本情况!K6="上海银行",IF(K75="",4,K75+1),"")</f>
        <v/>
      </c>
      <c r="L76" s="3335" t="str">
        <f>IF(项目基本情况!K6="上海银行","其他处置费用","")</f>
        <v/>
      </c>
      <c r="M76" s="3336"/>
      <c r="N76" s="1292" t="str">
        <f>IF(项目基本情况!K6="上海银行",N89,"")</f>
        <v/>
      </c>
      <c r="O76" s="3337" t="str">
        <f>IF(项目基本情况!K6="上海银行","包含处置中涉及的律师、诉讼、拍卖、评估等费用","")</f>
        <v/>
      </c>
      <c r="P76" s="3338"/>
      <c r="Q76" s="2014"/>
      <c r="R76" s="2014"/>
      <c r="S76" s="2014"/>
      <c r="T76" s="2014"/>
      <c r="U76" s="2014"/>
      <c r="V76" s="2014"/>
    </row>
    <row r="77" spans="1:22" ht="26.25" thickBot="1">
      <c r="A77" s="3326" t="s">
        <v>426</v>
      </c>
      <c r="B77" s="3327"/>
      <c r="C77" s="3327"/>
      <c r="D77" s="366">
        <f ca="1">IF(H77="非个人房产","——",IF(H77="个人住宅",0,ROUND(D63*I77,0)))</f>
        <v>588</v>
      </c>
      <c r="E77" s="367" t="str">
        <f>IF(H77="非个人房产","——","销售额×税（费）率")</f>
        <v>销售额×税（费）率</v>
      </c>
      <c r="F77" s="368">
        <f>IF(H77="非个人房产","——",IF(H77="个人住宅","免征",I77))</f>
        <v>0.01</v>
      </c>
      <c r="G77" s="984" t="s">
        <v>417</v>
      </c>
      <c r="H77" s="363" t="s">
        <v>2884</v>
      </c>
      <c r="I77" s="369">
        <v>0.01</v>
      </c>
      <c r="J77" s="2021"/>
      <c r="K77" s="3325">
        <f>IF(AND(K75="",K76=""),4,IF(项目基本情况!K6="上海银行",K76+1,K75+1))</f>
        <v>5</v>
      </c>
      <c r="L77" s="3324" t="s">
        <v>2885</v>
      </c>
      <c r="M77" s="3012" t="s">
        <v>421</v>
      </c>
      <c r="N77" s="1298"/>
      <c r="O77" s="1299">
        <f ca="1">SUMIF(N72:N76,"&lt;9e307")</f>
        <v>36358</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25"/>
      <c r="L78" s="3324"/>
      <c r="M78" s="3012" t="s">
        <v>425</v>
      </c>
      <c r="N78" s="1298"/>
      <c r="O78" s="1299" t="str">
        <f ca="1">NUMBERSTRING(INT(O77*10000),2)&amp;"元整"</f>
        <v>叁亿陆仟叁佰伍拾捌万元整</v>
      </c>
      <c r="P78" s="1300"/>
      <c r="Q78" s="2014"/>
      <c r="R78" s="2014"/>
      <c r="S78" s="2014"/>
      <c r="T78" s="2014"/>
      <c r="U78" s="2014"/>
      <c r="V78" s="2014"/>
    </row>
    <row r="79" spans="1:22" ht="13.5" thickBot="1">
      <c r="A79" s="3319" t="s">
        <v>427</v>
      </c>
      <c r="B79" s="3319"/>
      <c r="C79" s="3319"/>
      <c r="D79" s="3319"/>
      <c r="E79" s="3319"/>
      <c r="F79" s="42"/>
      <c r="G79" s="42"/>
      <c r="H79" s="1003"/>
      <c r="I79" s="311"/>
      <c r="J79" s="2021"/>
      <c r="K79" s="3345">
        <f>K77+1</f>
        <v>6</v>
      </c>
      <c r="L79" s="3324" t="s">
        <v>2886</v>
      </c>
      <c r="M79" s="3012" t="s">
        <v>421</v>
      </c>
      <c r="N79" s="1298"/>
      <c r="O79" s="1299" t="e">
        <f ca="1">N69-O77</f>
        <v>#VALUE!</v>
      </c>
      <c r="P79" s="1300"/>
      <c r="Q79" s="2014"/>
      <c r="R79" s="2014"/>
      <c r="S79" s="2014"/>
      <c r="T79" s="2014"/>
      <c r="U79" s="2014"/>
      <c r="V79" s="2014"/>
    </row>
    <row r="80" spans="1:22" ht="12.75">
      <c r="A80" s="3314" t="s">
        <v>428</v>
      </c>
      <c r="B80" s="3315"/>
      <c r="C80" s="994"/>
      <c r="D80" s="994" t="s">
        <v>429</v>
      </c>
      <c r="E80" s="370" t="s">
        <v>430</v>
      </c>
      <c r="F80" s="42"/>
      <c r="G80" s="42"/>
      <c r="H80" s="1003"/>
      <c r="I80" s="311"/>
      <c r="J80" s="2014"/>
      <c r="K80" s="3346"/>
      <c r="L80" s="3324"/>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56018</v>
      </c>
      <c r="D81" s="373"/>
      <c r="E81" s="374"/>
      <c r="F81" s="42"/>
      <c r="G81" s="42"/>
      <c r="H81" s="1003"/>
      <c r="I81" s="311"/>
      <c r="J81" s="2014"/>
      <c r="K81" s="3006">
        <f>K79+1</f>
        <v>7</v>
      </c>
      <c r="L81" s="3322" t="s">
        <v>2887</v>
      </c>
      <c r="M81" s="3323"/>
      <c r="N81" s="1302"/>
      <c r="O81" s="1303" t="e">
        <f ca="1">ROUND(O79*10000/'数据-汇总表'!E3,0)</f>
        <v>#VALUE!</v>
      </c>
      <c r="P81" s="1304"/>
      <c r="Q81" s="2014"/>
      <c r="R81" s="2014"/>
      <c r="S81" s="2014"/>
      <c r="T81" s="2014"/>
      <c r="U81" s="2014"/>
      <c r="V81" s="2014"/>
    </row>
    <row r="82" spans="1:26" ht="13.5" thickTop="1">
      <c r="A82" s="375" t="s">
        <v>1824</v>
      </c>
      <c r="B82" s="376" t="s">
        <v>432</v>
      </c>
      <c r="C82" s="377">
        <f ca="1">D63</f>
        <v>58819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34"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34"/>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54018</v>
      </c>
      <c r="D85" s="378" t="s">
        <v>19</v>
      </c>
      <c r="E85" s="379"/>
      <c r="F85" s="42"/>
      <c r="G85" s="42"/>
      <c r="H85" s="1003"/>
      <c r="I85" s="311"/>
      <c r="J85" s="2014"/>
      <c r="K85" s="3334"/>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2971</v>
      </c>
      <c r="D86" s="389">
        <f>'数据-取费表'!B41</f>
        <v>5.5000000000000007E-2</v>
      </c>
      <c r="E86" s="390"/>
      <c r="F86" s="42"/>
      <c r="G86" s="42"/>
      <c r="H86" s="1003"/>
      <c r="I86" s="311"/>
      <c r="J86" s="2014"/>
      <c r="K86" s="3334"/>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4"/>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16" t="s">
        <v>437</v>
      </c>
      <c r="B88" s="3317"/>
      <c r="C88" s="3317"/>
      <c r="D88" s="3317"/>
      <c r="E88" s="3317"/>
      <c r="F88" s="3317"/>
      <c r="G88" s="3317"/>
      <c r="H88" s="3317"/>
      <c r="I88" s="1311"/>
      <c r="J88" s="2022"/>
      <c r="K88" s="3334"/>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14" t="s">
        <v>428</v>
      </c>
      <c r="B89" s="3315"/>
      <c r="C89" s="994"/>
      <c r="D89" s="994" t="s">
        <v>429</v>
      </c>
      <c r="E89" s="391" t="s">
        <v>438</v>
      </c>
      <c r="F89" s="392"/>
      <c r="G89" s="392"/>
      <c r="H89" s="393"/>
      <c r="I89" s="1312"/>
      <c r="J89" s="2024"/>
      <c r="K89" s="3334"/>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56018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2841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77" t="s">
        <v>447</v>
      </c>
      <c r="F94" s="3276"/>
      <c r="G94" s="3276"/>
      <c r="H94" s="331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280</v>
      </c>
      <c r="D96" s="406">
        <f>'数据-取费表'!B43</f>
        <v>5.000000000000001E-3</v>
      </c>
      <c r="E96" s="3305" t="s">
        <v>2428</v>
      </c>
      <c r="F96" s="3306"/>
      <c r="G96" s="3306"/>
      <c r="H96" s="330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53177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18.717705033438929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30912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16" t="s">
        <v>454</v>
      </c>
      <c r="B101" s="3317"/>
      <c r="C101" s="3317"/>
      <c r="D101" s="3317"/>
      <c r="E101" s="3317"/>
      <c r="F101" s="3317"/>
      <c r="G101" s="3317"/>
      <c r="H101" s="331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4" t="s">
        <v>428</v>
      </c>
      <c r="B102" s="331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56018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970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08" t="s">
        <v>462</v>
      </c>
      <c r="F109" s="3306"/>
      <c r="G109" s="3306"/>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08" t="s">
        <v>464</v>
      </c>
      <c r="F110" s="3306"/>
      <c r="G110" s="3306"/>
      <c r="H110" s="330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280</v>
      </c>
      <c r="D111" s="406">
        <f>'数据-取费表'!B43</f>
        <v>5.000000000000001E-3</v>
      </c>
      <c r="E111" s="3305" t="s">
        <v>2428</v>
      </c>
      <c r="F111" s="3306"/>
      <c r="G111" s="3306"/>
      <c r="H111" s="330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08" t="s">
        <v>2453</v>
      </c>
      <c r="F112" s="3306"/>
      <c r="G112" s="3306"/>
      <c r="H112" s="330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55048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56.750515463917523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32689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G20" sqref="G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923</v>
      </c>
      <c r="C1" s="2090"/>
      <c r="D1" s="2090"/>
      <c r="E1" s="2090"/>
      <c r="F1" s="2090"/>
      <c r="G1" s="2090"/>
      <c r="H1" s="2090"/>
      <c r="I1" s="2090"/>
      <c r="J1" s="2090"/>
      <c r="K1" s="422">
        <f>MATCH(B1,'数据-取费表'!A6:A16,0)+5</f>
        <v>6</v>
      </c>
    </row>
    <row r="2" spans="1:31" s="2027" customFormat="1" ht="18" customHeight="1">
      <c r="A2" s="2087" t="s">
        <v>467</v>
      </c>
      <c r="B2" s="2091">
        <f ca="1">C36</f>
        <v>51241</v>
      </c>
      <c r="C2" s="2090"/>
      <c r="D2" s="2090"/>
      <c r="E2" s="2090"/>
      <c r="F2" s="2090"/>
      <c r="G2" s="2090"/>
      <c r="H2" s="2090"/>
      <c r="I2" s="2090"/>
      <c r="J2" s="2090"/>
      <c r="K2" s="2090"/>
    </row>
    <row r="3" spans="1:31" s="2027" customFormat="1" ht="18" customHeight="1">
      <c r="A3" s="2092" t="s">
        <v>1684</v>
      </c>
      <c r="B3" s="2093">
        <f ca="1">ROUND(B2*10000/IF(B1="",'数据-汇总表'!E3,INDIRECT("'数据-取费表'!K"&amp;$K$1)),0)</f>
        <v>5842</v>
      </c>
      <c r="C3" s="2090"/>
      <c r="D3" s="2090"/>
      <c r="E3" s="2090"/>
      <c r="F3" s="2090"/>
      <c r="G3" s="2090"/>
      <c r="H3" s="2090"/>
      <c r="I3" s="2090"/>
      <c r="J3" s="2090"/>
      <c r="K3" s="2090"/>
    </row>
    <row r="4" spans="1:31" s="2027" customFormat="1" ht="18" customHeight="1">
      <c r="A4" s="426" t="s">
        <v>468</v>
      </c>
      <c r="B4" s="427">
        <f ca="1">ROUND(B2*10000/IF(B1="",'数据-汇总表'!D3,INDIRECT("'数据-取费表'!R"&amp;$K$1)),0)</f>
        <v>11682</v>
      </c>
      <c r="C4" s="428"/>
      <c r="D4" s="422"/>
      <c r="E4" s="422"/>
      <c r="F4" s="422"/>
      <c r="G4" s="422"/>
      <c r="H4" s="422"/>
      <c r="I4" s="422"/>
      <c r="J4" s="422"/>
      <c r="K4" s="422"/>
    </row>
    <row r="5" spans="1:31" s="2027" customFormat="1" ht="18" customHeight="1" thickBot="1">
      <c r="A5" s="429"/>
      <c r="B5" s="430">
        <f ca="1">ROUND(B2/(IF(B1="",'数据-汇总表'!D3,INDIRECT("'数据-取费表'!R"&amp;$K$1))/666.67),0)</f>
        <v>779</v>
      </c>
      <c r="C5" s="431" t="s">
        <v>469</v>
      </c>
      <c r="D5" s="422"/>
      <c r="E5" s="422"/>
      <c r="F5" s="422"/>
      <c r="G5" s="422"/>
      <c r="H5" s="422"/>
      <c r="I5" s="422"/>
      <c r="J5" s="422"/>
      <c r="K5" s="422"/>
    </row>
    <row r="6" spans="1:31" s="2097" customFormat="1" ht="16.5" customHeight="1">
      <c r="A6" s="2784" t="s">
        <v>1842</v>
      </c>
      <c r="B6" s="2785"/>
      <c r="C6" s="2786">
        <f ca="1">SUM(C10:K10)</f>
        <v>97246</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11087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87711.97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ROUND(C8*C9/10000,0)</f>
        <v>97246</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30470</v>
      </c>
      <c r="D13" s="2800"/>
      <c r="E13" s="2801"/>
      <c r="F13" s="2802"/>
      <c r="G13" s="2768"/>
      <c r="H13" s="2769"/>
      <c r="I13" s="2769"/>
      <c r="J13" s="2769"/>
      <c r="K13" s="2770"/>
    </row>
    <row r="14" spans="1:31" s="2102" customFormat="1" ht="13.5" customHeight="1">
      <c r="A14" s="2798" t="s">
        <v>1849</v>
      </c>
      <c r="B14" s="2799" t="s">
        <v>480</v>
      </c>
      <c r="C14" s="53">
        <f ca="1">ROUND(C13*F14,0)</f>
        <v>914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1228</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2345</v>
      </c>
      <c r="D16" s="2800">
        <f ca="1">IF(B1="",'数据-汇总表'!E3,INDIRECT("'数据-取费表'!K"&amp;$K$1)+INDIRECT("'数据-取费表'!S"&amp;$K$1))</f>
        <v>117266.29000000001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457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35414</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117266.29000000001</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t="s">
        <v>3141</v>
      </c>
      <c r="H20" s="2766"/>
      <c r="I20" s="2767" t="s">
        <v>2651</v>
      </c>
      <c r="J20" s="2773"/>
      <c r="K20" s="2774"/>
    </row>
    <row r="21" spans="1:14" s="2102" customFormat="1" ht="13.5" customHeight="1">
      <c r="A21" s="2798" t="s">
        <v>1856</v>
      </c>
      <c r="B21" s="2799" t="s">
        <v>491</v>
      </c>
      <c r="C21" s="53">
        <f ca="1">ROUND(D21*E21/10000,0)</f>
        <v>1403</v>
      </c>
      <c r="D21" s="2800">
        <f ca="1">IF(B1="",'数据-汇总表'!E5,IF(INDIRECT("'数据-取费表'!c"&amp;$K$1)="住宅",INDIRECT("'数据-取费表'!k"&amp;$K$1),0))</f>
        <v>87711.97</v>
      </c>
      <c r="E21" s="53">
        <f>'数据-取费表'!B27</f>
        <v>160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29554.32</v>
      </c>
      <c r="E22" s="53">
        <f>'数据-取费表'!B28</f>
        <v>0</v>
      </c>
      <c r="F22" s="2803"/>
      <c r="G22" s="26"/>
      <c r="H22" s="51"/>
      <c r="I22" s="51"/>
      <c r="J22" s="51"/>
      <c r="K22" s="2775"/>
    </row>
    <row r="23" spans="1:14" s="2102" customFormat="1" ht="13.5" customHeight="1">
      <c r="A23" s="2806" t="s">
        <v>1858</v>
      </c>
      <c r="B23" s="2988" t="s">
        <v>2834</v>
      </c>
      <c r="C23" s="2808">
        <f ca="1">ROUND((C18+C19+C20)*F23,0)</f>
        <v>354</v>
      </c>
      <c r="D23" s="468"/>
      <c r="E23" s="468"/>
      <c r="F23" s="2812">
        <f>'数据-取费表'!B37</f>
        <v>0.01</v>
      </c>
      <c r="G23" s="2768" t="s">
        <v>2431</v>
      </c>
      <c r="H23" s="2769"/>
      <c r="I23" s="2769"/>
      <c r="J23" s="2769"/>
      <c r="K23" s="2770"/>
      <c r="L23" s="2104"/>
      <c r="M23" s="2104"/>
      <c r="N23" s="2104"/>
    </row>
    <row r="24" spans="1:14" s="2102" customFormat="1" ht="13.5" customHeight="1">
      <c r="A24" s="2806" t="s">
        <v>1859</v>
      </c>
      <c r="B24" s="2988" t="s">
        <v>2837</v>
      </c>
      <c r="C24" s="2808">
        <f ca="1">ROUND(C6*F24,0)</f>
        <v>972</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0</v>
      </c>
      <c r="D26" s="467">
        <f ca="1">C27</f>
        <v>0</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5094</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41834</v>
      </c>
      <c r="D30" s="477">
        <f ca="1">C32</f>
        <v>2.9000000000000001E-2</v>
      </c>
      <c r="E30" s="469" t="s">
        <v>495</v>
      </c>
      <c r="F30" s="471"/>
      <c r="G30" s="2776" t="s">
        <v>2974</v>
      </c>
      <c r="H30" s="2769"/>
      <c r="I30" s="2769"/>
      <c r="J30" s="2769"/>
      <c r="K30" s="2770"/>
    </row>
    <row r="31" spans="1:14" s="2106" customFormat="1" ht="13.5" customHeight="1">
      <c r="A31" s="803" t="s">
        <v>1856</v>
      </c>
      <c r="B31" s="2814"/>
      <c r="C31" s="450">
        <f ca="1">C18+C19+C20+C23+C24+C26+C29</f>
        <v>41834</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2833</v>
      </c>
      <c r="B33" s="2985" t="s">
        <v>2831</v>
      </c>
      <c r="C33" s="478">
        <f ca="1">C35</f>
        <v>1102</v>
      </c>
      <c r="D33" s="467">
        <f ca="1">C34</f>
        <v>3.09E-2</v>
      </c>
      <c r="E33" s="469" t="s">
        <v>495</v>
      </c>
      <c r="F33" s="479">
        <f ca="1">IF(B1="",'数据-取费表'!Q16,INDIRECT("'数据-取费表'!q"&amp;$K$1))</f>
        <v>0.03</v>
      </c>
      <c r="G33" s="2772"/>
      <c r="H33" s="2773"/>
      <c r="I33" s="2773"/>
      <c r="J33" s="2773"/>
      <c r="K33" s="2774"/>
    </row>
    <row r="34" spans="1:11" s="2109" customFormat="1" ht="13.5" customHeight="1">
      <c r="A34" s="375" t="s">
        <v>1856</v>
      </c>
      <c r="B34" s="2819" t="s">
        <v>501</v>
      </c>
      <c r="C34" s="472">
        <f ca="1">ROUND((1+C25)*F33,4)</f>
        <v>3.09E-2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1102</v>
      </c>
      <c r="D35" s="1615"/>
      <c r="E35" s="2820"/>
      <c r="F35" s="1616"/>
      <c r="G35" s="2778"/>
      <c r="H35" s="2779"/>
      <c r="I35" s="2779"/>
      <c r="J35" s="2779"/>
      <c r="K35" s="2780"/>
    </row>
    <row r="36" spans="1:11" s="2071" customFormat="1" ht="13.5" customHeight="1" thickBot="1">
      <c r="A36" s="284" t="s">
        <v>1844</v>
      </c>
      <c r="B36" s="2782"/>
      <c r="C36" s="2821">
        <f ca="1">ROUND((C6-C30-C33)/(1+D30+D33),0)</f>
        <v>51241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9" sqref="C129:F134"/>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30470</v>
      </c>
      <c r="D13" s="451"/>
      <c r="E13" s="365"/>
      <c r="F13" s="452"/>
      <c r="G13" s="444"/>
      <c r="H13" s="447"/>
      <c r="I13" s="447"/>
      <c r="J13" s="447"/>
      <c r="K13" s="448"/>
    </row>
    <row r="14" spans="1:41" s="2102" customFormat="1" ht="13.5" customHeight="1">
      <c r="A14" s="1619" t="s">
        <v>1849</v>
      </c>
      <c r="B14" s="449" t="s">
        <v>480</v>
      </c>
      <c r="C14" s="53">
        <f ca="1">ROUND(C13*F14,0)</f>
        <v>914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1228</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2345</v>
      </c>
      <c r="D16" s="451">
        <f ca="1">IF(B1="",'数据-汇总表'!E3,INDIRECT("'数据-取费表'!K"&amp;$K$1)+INDIRECT("'数据-取费表'!S"&amp;$K$1))</f>
        <v>117266.29000000001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457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35414</v>
      </c>
      <c r="D18" s="461"/>
      <c r="E18" s="462"/>
      <c r="F18" s="462"/>
      <c r="G18" s="1323" t="s">
        <v>2432</v>
      </c>
      <c r="H18" s="447"/>
      <c r="I18" s="447"/>
      <c r="J18" s="447"/>
      <c r="K18" s="448"/>
    </row>
    <row r="19" spans="1:14" s="2105" customFormat="1" ht="13.5" customHeight="1">
      <c r="A19" s="1620" t="s">
        <v>1854</v>
      </c>
      <c r="B19" s="459" t="s">
        <v>493</v>
      </c>
      <c r="C19" s="460">
        <f ca="1">ROUND(C18*F19,0)</f>
        <v>354</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1699</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1699</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1073</v>
      </c>
      <c r="D24" s="489">
        <f ca="1">C26</f>
        <v>2.9999999999999997E-4</v>
      </c>
      <c r="E24" s="469" t="s">
        <v>507</v>
      </c>
      <c r="F24" s="479">
        <f ca="1">IF(B1="",'数据-取费表'!Q16,INDIRECT("'数据-取费表'!q"&amp;$K$1))</f>
        <v>0.03</v>
      </c>
      <c r="G24" s="444"/>
      <c r="H24" s="447"/>
      <c r="I24" s="447"/>
      <c r="J24" s="447"/>
      <c r="K24" s="448"/>
    </row>
    <row r="25" spans="1:14" s="2106" customFormat="1" ht="13.5" customHeight="1">
      <c r="A25" s="1619" t="s">
        <v>1848</v>
      </c>
      <c r="B25" s="1324" t="s">
        <v>2436</v>
      </c>
      <c r="C25" s="490">
        <f ca="1">ROUND((C18+C19)*F24,0)</f>
        <v>1073</v>
      </c>
      <c r="D25" s="472"/>
      <c r="E25" s="473"/>
      <c r="F25" s="480"/>
      <c r="G25" s="1322" t="s">
        <v>2433</v>
      </c>
      <c r="H25" s="457"/>
      <c r="I25" s="457"/>
      <c r="J25" s="457"/>
      <c r="K25" s="458"/>
    </row>
    <row r="26" spans="1:14" s="2106" customFormat="1" ht="13.5" customHeight="1">
      <c r="A26" s="1619" t="s">
        <v>1849</v>
      </c>
      <c r="B26" s="1324" t="s">
        <v>509</v>
      </c>
      <c r="C26" s="491">
        <f ca="1">ROUND(F20*F24,4)</f>
        <v>2.9999999999999997E-4</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41140</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5" t="str">
        <f>项目基本情况!B1</f>
        <v>北京市大兴区西红门镇3号地出让国有建设用地使用权市场价格预评估</v>
      </c>
      <c r="C37" s="3185"/>
      <c r="D37" s="3185"/>
      <c r="E37" s="3185"/>
      <c r="F37" s="3185"/>
      <c r="G37" s="3185"/>
      <c r="H37" s="3185"/>
      <c r="I37" s="3185"/>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59" t="s">
        <v>522</v>
      </c>
      <c r="D6" s="3360"/>
      <c r="E6" s="3359" t="s">
        <v>523</v>
      </c>
      <c r="F6" s="3360"/>
      <c r="G6" s="3359" t="s">
        <v>524</v>
      </c>
      <c r="H6" s="3360"/>
      <c r="I6" s="3359" t="s">
        <v>525</v>
      </c>
      <c r="J6" s="3360"/>
      <c r="K6" s="514" t="s">
        <v>526</v>
      </c>
      <c r="L6" s="2119"/>
      <c r="M6" s="2118"/>
      <c r="N6" s="2118"/>
      <c r="O6" s="2120"/>
      <c r="P6" s="3361" t="s">
        <v>527</v>
      </c>
      <c r="Q6" s="3362"/>
      <c r="R6" s="3367" t="s">
        <v>523</v>
      </c>
      <c r="S6" s="3368"/>
      <c r="T6" s="3367" t="s">
        <v>524</v>
      </c>
      <c r="U6" s="3368"/>
      <c r="V6" s="3354" t="s">
        <v>525</v>
      </c>
      <c r="W6" s="3354"/>
      <c r="X6" s="1554"/>
      <c r="Y6" s="3367" t="s">
        <v>527</v>
      </c>
      <c r="Z6" s="3368"/>
      <c r="AA6" s="3356" t="s">
        <v>523</v>
      </c>
      <c r="AB6" s="3357" t="s">
        <v>524</v>
      </c>
      <c r="AC6" s="3356" t="s">
        <v>525</v>
      </c>
    </row>
    <row r="7" spans="1:30" ht="20.25">
      <c r="A7" s="515"/>
      <c r="B7" s="516"/>
      <c r="C7" s="3375" t="s">
        <v>2931</v>
      </c>
      <c r="D7" s="3376"/>
      <c r="E7" s="3375" t="s">
        <v>2932</v>
      </c>
      <c r="F7" s="3376"/>
      <c r="G7" s="3375" t="s">
        <v>2933</v>
      </c>
      <c r="H7" s="3376"/>
      <c r="I7" s="3375" t="s">
        <v>2934</v>
      </c>
      <c r="J7" s="3376"/>
      <c r="K7" s="514"/>
      <c r="L7" s="2119"/>
      <c r="M7" s="2118"/>
      <c r="N7" s="2118"/>
      <c r="O7" s="2120"/>
      <c r="P7" s="3363"/>
      <c r="Q7" s="3364"/>
      <c r="R7" s="3369"/>
      <c r="S7" s="3370"/>
      <c r="T7" s="3369"/>
      <c r="U7" s="3370"/>
      <c r="V7" s="3354"/>
      <c r="W7" s="3354"/>
      <c r="X7" s="1554"/>
      <c r="Y7" s="3369"/>
      <c r="Z7" s="3370"/>
      <c r="AA7" s="3357"/>
      <c r="AB7" s="3357"/>
      <c r="AC7" s="3357"/>
    </row>
    <row r="8" spans="1:30" ht="21" thickBot="1">
      <c r="A8" s="515"/>
      <c r="B8" s="516"/>
      <c r="C8" s="3377" t="s">
        <v>2935</v>
      </c>
      <c r="D8" s="3378"/>
      <c r="E8" s="3377" t="s">
        <v>2935</v>
      </c>
      <c r="F8" s="3378"/>
      <c r="G8" s="3373" t="s">
        <v>2935</v>
      </c>
      <c r="H8" s="3374"/>
      <c r="I8" s="3373" t="s">
        <v>2935</v>
      </c>
      <c r="J8" s="3374"/>
      <c r="K8" s="514" t="s">
        <v>528</v>
      </c>
      <c r="L8" s="2119"/>
      <c r="M8" s="2118"/>
      <c r="N8" s="2118"/>
      <c r="O8" s="2120"/>
      <c r="P8" s="3365"/>
      <c r="Q8" s="3366"/>
      <c r="R8" s="3369"/>
      <c r="S8" s="3370"/>
      <c r="T8" s="3371"/>
      <c r="U8" s="3372"/>
      <c r="V8" s="3354"/>
      <c r="W8" s="3354"/>
      <c r="X8" s="1554"/>
      <c r="Y8" s="3371"/>
      <c r="Z8" s="3372"/>
      <c r="AA8" s="3358"/>
      <c r="AB8" s="3358"/>
      <c r="AC8" s="3358"/>
    </row>
    <row r="9" spans="1:30" s="1216" customFormat="1" ht="21" thickBot="1">
      <c r="A9" s="2868"/>
      <c r="B9" s="2875" t="s">
        <v>529</v>
      </c>
      <c r="C9" s="2867">
        <f>'数据-取费表'!B2</f>
        <v>43577</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84" t="s">
        <v>530</v>
      </c>
      <c r="Q9" s="3386"/>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3" t="s">
        <v>535</v>
      </c>
      <c r="Q11" s="1147" t="str">
        <f t="shared" ref="Q11:Q17" si="6">B11</f>
        <v>用途</v>
      </c>
      <c r="R11" s="1555" t="s">
        <v>8</v>
      </c>
      <c r="S11" s="1556">
        <f t="shared" si="0"/>
        <v>100</v>
      </c>
      <c r="T11" s="1555" t="s">
        <v>8</v>
      </c>
      <c r="U11" s="1556">
        <f t="shared" si="1"/>
        <v>100</v>
      </c>
      <c r="V11" s="1555" t="s">
        <v>8</v>
      </c>
      <c r="W11" s="1556">
        <f t="shared" si="2"/>
        <v>100</v>
      </c>
      <c r="X11" s="1557"/>
      <c r="Y11" s="3299"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53"/>
      <c r="Q12" s="1147" t="str">
        <f t="shared" si="6"/>
        <v>土地使用年限（年）</v>
      </c>
      <c r="R12" s="1555" t="s">
        <v>8</v>
      </c>
      <c r="S12" s="1556">
        <f t="shared" si="0"/>
        <v>100</v>
      </c>
      <c r="T12" s="1555" t="s">
        <v>8</v>
      </c>
      <c r="U12" s="1556">
        <f t="shared" si="1"/>
        <v>100</v>
      </c>
      <c r="V12" s="1555" t="s">
        <v>8</v>
      </c>
      <c r="W12" s="1556">
        <f t="shared" si="2"/>
        <v>100</v>
      </c>
      <c r="X12" s="1557"/>
      <c r="Y12" s="3299"/>
      <c r="Z12" s="1146" t="str">
        <f t="shared" si="7"/>
        <v>土地使用年限（年）</v>
      </c>
      <c r="AA12" s="1558">
        <f t="shared" si="3"/>
        <v>1</v>
      </c>
      <c r="AB12" s="1558">
        <f t="shared" si="4"/>
        <v>1</v>
      </c>
      <c r="AC12" s="1558">
        <f t="shared" si="5"/>
        <v>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53"/>
      <c r="Q13" s="1147" t="str">
        <f t="shared" si="6"/>
        <v>容积率</v>
      </c>
      <c r="R13" s="1555" t="s">
        <v>8</v>
      </c>
      <c r="S13" s="1556" t="e">
        <f t="shared" si="0"/>
        <v>#N/A</v>
      </c>
      <c r="T13" s="1555" t="s">
        <v>8</v>
      </c>
      <c r="U13" s="1556" t="e">
        <f t="shared" si="1"/>
        <v>#N/A</v>
      </c>
      <c r="V13" s="1555" t="s">
        <v>8</v>
      </c>
      <c r="W13" s="1556" t="e">
        <f t="shared" si="2"/>
        <v>#N/A</v>
      </c>
      <c r="X13" s="1557"/>
      <c r="Y13" s="3299"/>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3"/>
      <c r="Q14" s="1147" t="str">
        <f t="shared" si="6"/>
        <v>配建</v>
      </c>
      <c r="R14" s="1555" t="s">
        <v>8</v>
      </c>
      <c r="S14" s="1556">
        <f t="shared" si="0"/>
        <v>100</v>
      </c>
      <c r="T14" s="1555" t="s">
        <v>8</v>
      </c>
      <c r="U14" s="1556">
        <f t="shared" si="1"/>
        <v>100</v>
      </c>
      <c r="V14" s="1555" t="s">
        <v>8</v>
      </c>
      <c r="W14" s="1556">
        <f t="shared" si="2"/>
        <v>100</v>
      </c>
      <c r="X14" s="1557"/>
      <c r="Y14" s="329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3"/>
      <c r="Q15" s="1147">
        <f t="shared" si="6"/>
        <v>111</v>
      </c>
      <c r="R15" s="1555" t="s">
        <v>8</v>
      </c>
      <c r="S15" s="1556">
        <f t="shared" si="0"/>
        <v>100</v>
      </c>
      <c r="T15" s="1555" t="s">
        <v>8</v>
      </c>
      <c r="U15" s="1556">
        <f t="shared" si="1"/>
        <v>100</v>
      </c>
      <c r="V15" s="1555" t="s">
        <v>8</v>
      </c>
      <c r="W15" s="1556">
        <f t="shared" si="2"/>
        <v>100</v>
      </c>
      <c r="X15" s="1557"/>
      <c r="Y15" s="329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3"/>
      <c r="Q16" s="1147">
        <f t="shared" si="6"/>
        <v>111</v>
      </c>
      <c r="R16" s="1555" t="s">
        <v>8</v>
      </c>
      <c r="S16" s="1556">
        <f t="shared" si="0"/>
        <v>100</v>
      </c>
      <c r="T16" s="1555" t="s">
        <v>8</v>
      </c>
      <c r="U16" s="1556">
        <f t="shared" si="1"/>
        <v>100</v>
      </c>
      <c r="V16" s="1555" t="s">
        <v>8</v>
      </c>
      <c r="W16" s="1556">
        <f t="shared" si="2"/>
        <v>100</v>
      </c>
      <c r="X16" s="1557"/>
      <c r="Y16" s="3299"/>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87" t="s">
        <v>540</v>
      </c>
      <c r="Q17" s="1559" t="str">
        <f t="shared" si="6"/>
        <v>居住社区成熟度</v>
      </c>
      <c r="R17" s="1560" t="s">
        <v>8</v>
      </c>
      <c r="S17" s="1561">
        <f t="shared" si="0"/>
        <v>100</v>
      </c>
      <c r="T17" s="1560" t="s">
        <v>8</v>
      </c>
      <c r="U17" s="1561">
        <f t="shared" si="1"/>
        <v>100</v>
      </c>
      <c r="V17" s="1560" t="s">
        <v>8</v>
      </c>
      <c r="W17" s="1561">
        <f t="shared" si="2"/>
        <v>100</v>
      </c>
      <c r="X17" s="1554"/>
      <c r="Y17" s="3387"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88"/>
      <c r="Q18" s="1559"/>
      <c r="R18" s="1560"/>
      <c r="S18" s="1561"/>
      <c r="T18" s="1560"/>
      <c r="U18" s="1561"/>
      <c r="V18" s="1560"/>
      <c r="W18" s="1561"/>
      <c r="X18" s="1554"/>
      <c r="Y18" s="3388"/>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88"/>
      <c r="Q19" s="1559" t="str">
        <f>B19</f>
        <v>商业繁华度</v>
      </c>
      <c r="R19" s="1560" t="s">
        <v>8</v>
      </c>
      <c r="S19" s="1561">
        <f>F19</f>
        <v>100</v>
      </c>
      <c r="T19" s="1560" t="s">
        <v>8</v>
      </c>
      <c r="U19" s="1561">
        <f>H19</f>
        <v>100</v>
      </c>
      <c r="V19" s="1560" t="s">
        <v>8</v>
      </c>
      <c r="W19" s="1561">
        <f>J19</f>
        <v>100</v>
      </c>
      <c r="X19" s="1554"/>
      <c r="Y19" s="3388"/>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88"/>
      <c r="Q20" s="1559"/>
      <c r="R20" s="1560"/>
      <c r="S20" s="1561"/>
      <c r="T20" s="1560"/>
      <c r="U20" s="1561"/>
      <c r="V20" s="1560"/>
      <c r="W20" s="1561"/>
      <c r="X20" s="1554"/>
      <c r="Y20" s="3388"/>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8"/>
      <c r="Q21" s="1559" t="str">
        <f>B21</f>
        <v>办公集聚程度</v>
      </c>
      <c r="R21" s="1560" t="s">
        <v>8</v>
      </c>
      <c r="S21" s="1561">
        <f>F21</f>
        <v>100</v>
      </c>
      <c r="T21" s="1560" t="s">
        <v>8</v>
      </c>
      <c r="U21" s="1561">
        <f>H21</f>
        <v>100</v>
      </c>
      <c r="V21" s="1560" t="s">
        <v>8</v>
      </c>
      <c r="W21" s="1561">
        <f>J21</f>
        <v>100</v>
      </c>
      <c r="X21" s="1554"/>
      <c r="Y21" s="3388"/>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88"/>
      <c r="Q22" s="1559"/>
      <c r="R22" s="1560"/>
      <c r="S22" s="1561"/>
      <c r="T22" s="1560"/>
      <c r="U22" s="1561"/>
      <c r="V22" s="1560"/>
      <c r="W22" s="1561"/>
      <c r="X22" s="1554"/>
      <c r="Y22" s="3388"/>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88"/>
      <c r="Q23" s="1559" t="str">
        <f>B23</f>
        <v>交通便捷度</v>
      </c>
      <c r="R23" s="1560" t="s">
        <v>8</v>
      </c>
      <c r="S23" s="1561">
        <f>F23</f>
        <v>100</v>
      </c>
      <c r="T23" s="1560" t="s">
        <v>8</v>
      </c>
      <c r="U23" s="1561">
        <f>H23</f>
        <v>100</v>
      </c>
      <c r="V23" s="1560" t="s">
        <v>8</v>
      </c>
      <c r="W23" s="1561">
        <f>J23</f>
        <v>100</v>
      </c>
      <c r="X23" s="1554"/>
      <c r="Y23" s="3388"/>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88"/>
      <c r="Q24" s="1559"/>
      <c r="R24" s="1560"/>
      <c r="S24" s="1561"/>
      <c r="T24" s="1560"/>
      <c r="U24" s="1561"/>
      <c r="V24" s="1560"/>
      <c r="W24" s="1561"/>
      <c r="X24" s="1554"/>
      <c r="Y24" s="338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88"/>
      <c r="Q25" s="1559" t="str">
        <f t="shared" ref="Q25:Q39" si="8">B25</f>
        <v>区域土地利用方向</v>
      </c>
      <c r="R25" s="1560" t="s">
        <v>8</v>
      </c>
      <c r="S25" s="1561">
        <f>F25</f>
        <v>100</v>
      </c>
      <c r="T25" s="1560" t="s">
        <v>8</v>
      </c>
      <c r="U25" s="1561">
        <f>H25</f>
        <v>100</v>
      </c>
      <c r="V25" s="1560" t="s">
        <v>8</v>
      </c>
      <c r="W25" s="1561">
        <f>J25</f>
        <v>100</v>
      </c>
      <c r="X25" s="1554"/>
      <c r="Y25" s="3388"/>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88"/>
      <c r="Q26" s="1559"/>
      <c r="R26" s="1560"/>
      <c r="S26" s="1561"/>
      <c r="T26" s="1560"/>
      <c r="U26" s="1561"/>
      <c r="V26" s="1560"/>
      <c r="W26" s="1561"/>
      <c r="X26" s="1554"/>
      <c r="Y26" s="3388"/>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88"/>
      <c r="Q27" s="1559" t="str">
        <f t="shared" si="8"/>
        <v>自然及人文环境状况</v>
      </c>
      <c r="R27" s="1560" t="s">
        <v>8</v>
      </c>
      <c r="S27" s="1561">
        <f>F27</f>
        <v>100</v>
      </c>
      <c r="T27" s="1560" t="s">
        <v>8</v>
      </c>
      <c r="U27" s="1561">
        <f>H27</f>
        <v>100</v>
      </c>
      <c r="V27" s="1560" t="s">
        <v>8</v>
      </c>
      <c r="W27" s="1561">
        <f>J27</f>
        <v>100</v>
      </c>
      <c r="X27" s="1554"/>
      <c r="Y27" s="3388"/>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88"/>
      <c r="Q28" s="1559"/>
      <c r="R28" s="1560"/>
      <c r="S28" s="1561"/>
      <c r="T28" s="1560"/>
      <c r="U28" s="1561"/>
      <c r="V28" s="1560"/>
      <c r="W28" s="1561"/>
      <c r="X28" s="1554"/>
      <c r="Y28" s="3388"/>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88"/>
      <c r="Q29" s="1147" t="str">
        <f t="shared" si="8"/>
        <v>公共配套设施</v>
      </c>
      <c r="R29" s="1555" t="s">
        <v>8</v>
      </c>
      <c r="S29" s="1556">
        <f>F29</f>
        <v>100</v>
      </c>
      <c r="T29" s="1555" t="s">
        <v>8</v>
      </c>
      <c r="U29" s="1556">
        <f>H29</f>
        <v>100</v>
      </c>
      <c r="V29" s="1555" t="s">
        <v>8</v>
      </c>
      <c r="W29" s="1556">
        <f>J29</f>
        <v>100</v>
      </c>
      <c r="X29" s="1557"/>
      <c r="Y29" s="3388"/>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88"/>
      <c r="Q30" s="1147"/>
      <c r="R30" s="1555"/>
      <c r="S30" s="1556"/>
      <c r="T30" s="1555"/>
      <c r="U30" s="1556"/>
      <c r="V30" s="1555"/>
      <c r="W30" s="1556"/>
      <c r="X30" s="1557"/>
      <c r="Y30" s="3388"/>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88"/>
      <c r="Q31" s="2543" t="str">
        <f t="shared" ref="Q31" si="9">B31</f>
        <v>基础设施水平</v>
      </c>
      <c r="R31" s="1555" t="s">
        <v>8</v>
      </c>
      <c r="S31" s="1556">
        <f>F31</f>
        <v>100</v>
      </c>
      <c r="T31" s="1555" t="s">
        <v>8</v>
      </c>
      <c r="U31" s="1556">
        <f>H31</f>
        <v>100</v>
      </c>
      <c r="V31" s="1555" t="s">
        <v>8</v>
      </c>
      <c r="W31" s="1556">
        <f>J31</f>
        <v>100</v>
      </c>
      <c r="X31" s="1557"/>
      <c r="Y31" s="3388"/>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88"/>
      <c r="Q32" s="2543"/>
      <c r="R32" s="1555"/>
      <c r="S32" s="1556"/>
      <c r="T32" s="1555"/>
      <c r="U32" s="1556"/>
      <c r="V32" s="1555"/>
      <c r="W32" s="1556"/>
      <c r="X32" s="1557"/>
      <c r="Y32" s="3388"/>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8"/>
      <c r="Q34" s="1559" t="str">
        <f t="shared" si="8"/>
        <v>毗邻道路的类型与等级</v>
      </c>
      <c r="R34" s="1560" t="s">
        <v>8</v>
      </c>
      <c r="S34" s="1561">
        <f t="shared" si="10"/>
        <v>100</v>
      </c>
      <c r="T34" s="1560" t="s">
        <v>8</v>
      </c>
      <c r="U34" s="1561">
        <f t="shared" si="11"/>
        <v>100</v>
      </c>
      <c r="V34" s="1560" t="s">
        <v>8</v>
      </c>
      <c r="W34" s="1561">
        <f t="shared" si="12"/>
        <v>100</v>
      </c>
      <c r="X34" s="1554"/>
      <c r="Y34" s="3388"/>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88"/>
      <c r="Q35" s="1559"/>
      <c r="R35" s="1560"/>
      <c r="S35" s="1561"/>
      <c r="T35" s="1560"/>
      <c r="U35" s="1561"/>
      <c r="V35" s="1560"/>
      <c r="W35" s="1561"/>
      <c r="X35" s="1554"/>
      <c r="Y35" s="3388"/>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8"/>
      <c r="Q36" s="1559" t="str">
        <f t="shared" si="8"/>
        <v>土地级别</v>
      </c>
      <c r="R36" s="1560" t="s">
        <v>8</v>
      </c>
      <c r="S36" s="1561">
        <f t="shared" si="10"/>
        <v>100</v>
      </c>
      <c r="T36" s="1560" t="s">
        <v>8</v>
      </c>
      <c r="U36" s="1561">
        <f t="shared" si="11"/>
        <v>100</v>
      </c>
      <c r="V36" s="1560" t="s">
        <v>8</v>
      </c>
      <c r="W36" s="1561">
        <f t="shared" si="12"/>
        <v>100</v>
      </c>
      <c r="X36" s="1554"/>
      <c r="Y36" s="3388"/>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8"/>
      <c r="Q37" s="1559">
        <f t="shared" si="8"/>
        <v>111</v>
      </c>
      <c r="R37" s="1560" t="s">
        <v>8</v>
      </c>
      <c r="S37" s="1561">
        <f t="shared" si="10"/>
        <v>100</v>
      </c>
      <c r="T37" s="1560" t="s">
        <v>8</v>
      </c>
      <c r="U37" s="1561">
        <f t="shared" si="11"/>
        <v>100</v>
      </c>
      <c r="V37" s="1560" t="s">
        <v>8</v>
      </c>
      <c r="W37" s="1561">
        <f t="shared" si="12"/>
        <v>100</v>
      </c>
      <c r="X37" s="1554"/>
      <c r="Y37" s="3388"/>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9" t="s">
        <v>550</v>
      </c>
      <c r="Q38" s="1559">
        <f t="shared" si="8"/>
        <v>111</v>
      </c>
      <c r="R38" s="1560" t="s">
        <v>8</v>
      </c>
      <c r="S38" s="1561">
        <f t="shared" si="10"/>
        <v>100</v>
      </c>
      <c r="T38" s="1560" t="s">
        <v>8</v>
      </c>
      <c r="U38" s="1561">
        <f t="shared" si="11"/>
        <v>100</v>
      </c>
      <c r="V38" s="1560" t="s">
        <v>8</v>
      </c>
      <c r="W38" s="1561">
        <f t="shared" si="12"/>
        <v>100</v>
      </c>
      <c r="X38" s="1554"/>
      <c r="Y38" s="3390"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0"/>
      <c r="Q39" s="1559">
        <f t="shared" si="8"/>
        <v>111</v>
      </c>
      <c r="R39" s="1564" t="s">
        <v>8</v>
      </c>
      <c r="S39" s="1565">
        <f t="shared" si="10"/>
        <v>100</v>
      </c>
      <c r="T39" s="1564" t="s">
        <v>8</v>
      </c>
      <c r="U39" s="1565">
        <f t="shared" si="11"/>
        <v>100</v>
      </c>
      <c r="V39" s="1564" t="s">
        <v>8</v>
      </c>
      <c r="W39" s="1565">
        <f t="shared" si="12"/>
        <v>100</v>
      </c>
      <c r="X39" s="1566"/>
      <c r="Y39" s="3390"/>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90"/>
      <c r="Q40" s="1559" t="str">
        <f>B40</f>
        <v>宗地面积</v>
      </c>
      <c r="R40" s="1560" t="s">
        <v>8</v>
      </c>
      <c r="S40" s="1561" t="e">
        <f t="shared" si="10"/>
        <v>#N/A</v>
      </c>
      <c r="T40" s="1560" t="s">
        <v>8</v>
      </c>
      <c r="U40" s="1561" t="e">
        <f t="shared" si="11"/>
        <v>#N/A</v>
      </c>
      <c r="V40" s="1560" t="s">
        <v>8</v>
      </c>
      <c r="W40" s="1561" t="e">
        <f t="shared" si="12"/>
        <v>#N/A</v>
      </c>
      <c r="X40" s="1554"/>
      <c r="Y40" s="3390"/>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0"/>
      <c r="Q41" s="1559" t="str">
        <f t="shared" ref="Q41:Q47" si="14">B41</f>
        <v>宗地形状</v>
      </c>
      <c r="R41" s="1560" t="s">
        <v>8</v>
      </c>
      <c r="S41" s="1561">
        <f t="shared" si="10"/>
        <v>100</v>
      </c>
      <c r="T41" s="1560" t="s">
        <v>8</v>
      </c>
      <c r="U41" s="1561">
        <f t="shared" si="11"/>
        <v>100</v>
      </c>
      <c r="V41" s="1560" t="s">
        <v>8</v>
      </c>
      <c r="W41" s="1561">
        <f t="shared" si="12"/>
        <v>100</v>
      </c>
      <c r="X41" s="1554"/>
      <c r="Y41" s="3390"/>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0"/>
      <c r="Q42" s="1559" t="str">
        <f t="shared" si="14"/>
        <v>临街宽度及深度</v>
      </c>
      <c r="R42" s="1560" t="s">
        <v>8</v>
      </c>
      <c r="S42" s="1561">
        <f t="shared" si="10"/>
        <v>100</v>
      </c>
      <c r="T42" s="1560" t="s">
        <v>8</v>
      </c>
      <c r="U42" s="1561">
        <f t="shared" si="11"/>
        <v>100</v>
      </c>
      <c r="V42" s="1560" t="s">
        <v>8</v>
      </c>
      <c r="W42" s="1561">
        <f t="shared" si="12"/>
        <v>100</v>
      </c>
      <c r="X42" s="1554"/>
      <c r="Y42" s="3390"/>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0"/>
      <c r="Q43" s="1559" t="str">
        <f t="shared" si="14"/>
        <v>宗地开发程度</v>
      </c>
      <c r="R43" s="1555" t="s">
        <v>8</v>
      </c>
      <c r="S43" s="1556">
        <f t="shared" si="10"/>
        <v>100</v>
      </c>
      <c r="T43" s="1555" t="s">
        <v>8</v>
      </c>
      <c r="U43" s="1556">
        <f t="shared" si="11"/>
        <v>100</v>
      </c>
      <c r="V43" s="1555" t="s">
        <v>8</v>
      </c>
      <c r="W43" s="1556">
        <f t="shared" si="12"/>
        <v>100</v>
      </c>
      <c r="X43" s="1557"/>
      <c r="Y43" s="3390"/>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0" t="s">
        <v>550</v>
      </c>
      <c r="Q44" s="1559" t="str">
        <f t="shared" si="14"/>
        <v>工程地质条件</v>
      </c>
      <c r="R44" s="1560" t="s">
        <v>8</v>
      </c>
      <c r="S44" s="1561">
        <f t="shared" si="10"/>
        <v>100</v>
      </c>
      <c r="T44" s="1560" t="s">
        <v>8</v>
      </c>
      <c r="U44" s="1561">
        <f t="shared" si="11"/>
        <v>100</v>
      </c>
      <c r="V44" s="1560" t="s">
        <v>8</v>
      </c>
      <c r="W44" s="1561">
        <f t="shared" si="12"/>
        <v>100</v>
      </c>
      <c r="X44" s="1554"/>
      <c r="Y44" s="3390"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0"/>
      <c r="Q45" s="1559">
        <f t="shared" si="14"/>
        <v>111</v>
      </c>
      <c r="R45" s="1560" t="s">
        <v>8</v>
      </c>
      <c r="S45" s="1561">
        <f t="shared" si="10"/>
        <v>100</v>
      </c>
      <c r="T45" s="1560" t="s">
        <v>8</v>
      </c>
      <c r="U45" s="1561">
        <f t="shared" si="11"/>
        <v>100</v>
      </c>
      <c r="V45" s="1560" t="s">
        <v>8</v>
      </c>
      <c r="W45" s="1561">
        <f t="shared" si="12"/>
        <v>100</v>
      </c>
      <c r="X45" s="1554"/>
      <c r="Y45" s="3390"/>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0"/>
      <c r="Q46" s="1559">
        <f t="shared" si="14"/>
        <v>111</v>
      </c>
      <c r="R46" s="1560" t="s">
        <v>8</v>
      </c>
      <c r="S46" s="1561">
        <f t="shared" si="10"/>
        <v>100</v>
      </c>
      <c r="T46" s="1560" t="s">
        <v>8</v>
      </c>
      <c r="U46" s="1561">
        <f t="shared" si="11"/>
        <v>100</v>
      </c>
      <c r="V46" s="1560" t="s">
        <v>8</v>
      </c>
      <c r="W46" s="1561">
        <f t="shared" si="12"/>
        <v>100</v>
      </c>
      <c r="X46" s="1554"/>
      <c r="Y46" s="3390"/>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0"/>
      <c r="Q47" s="1559">
        <f t="shared" si="14"/>
        <v>111</v>
      </c>
      <c r="R47" s="1564" t="s">
        <v>8</v>
      </c>
      <c r="S47" s="1565">
        <f t="shared" si="10"/>
        <v>100</v>
      </c>
      <c r="T47" s="1564" t="s">
        <v>8</v>
      </c>
      <c r="U47" s="1565">
        <f t="shared" si="11"/>
        <v>100</v>
      </c>
      <c r="V47" s="1564" t="s">
        <v>8</v>
      </c>
      <c r="W47" s="1565">
        <f t="shared" si="12"/>
        <v>100</v>
      </c>
      <c r="X47" s="1566"/>
      <c r="Y47" s="3390"/>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353" t="str">
        <f>A48</f>
        <v>成交单价</v>
      </c>
      <c r="Q48" s="3353"/>
      <c r="R48" s="3354">
        <f>E48</f>
        <v>0</v>
      </c>
      <c r="S48" s="3354"/>
      <c r="T48" s="3354">
        <f>G48</f>
        <v>0</v>
      </c>
      <c r="U48" s="3354"/>
      <c r="V48" s="3354">
        <f>I48</f>
        <v>0</v>
      </c>
      <c r="W48" s="3354"/>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353" t="str">
        <f>A49</f>
        <v>比较价格（元/平方米）</v>
      </c>
      <c r="Q49" s="3353"/>
      <c r="R49" s="3355" t="e">
        <f>ROUND(PRODUCT(R48,AA9:AA47),0)</f>
        <v>#DIV/0!</v>
      </c>
      <c r="S49" s="3355"/>
      <c r="T49" s="3355" t="e">
        <f>ROUND(PRODUCT(T48,AB9:AB47),0)</f>
        <v>#DIV/0!</v>
      </c>
      <c r="U49" s="3355"/>
      <c r="V49" s="3355" t="e">
        <f>ROUND(PRODUCT(V48,AC9:AC47),0)</f>
        <v>#DIV/0!</v>
      </c>
      <c r="W49" s="3355"/>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350" t="str">
        <f>A50</f>
        <v>估价对象XX用房的比较价格（楼面单价，元/平方米）</v>
      </c>
      <c r="Q50" s="3351"/>
      <c r="R50" s="3352" t="e">
        <f>ROUND(AVERAGE(R49:V49),0)</f>
        <v>#DIV/0!</v>
      </c>
      <c r="S50" s="3352"/>
      <c r="T50" s="3352"/>
      <c r="U50" s="3352"/>
      <c r="V50" s="3352"/>
      <c r="W50" s="335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79" t="s">
        <v>2281</v>
      </c>
      <c r="H57" s="3380"/>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87711.97</v>
      </c>
      <c r="F58" s="636" t="e">
        <f t="shared" ref="F58:F67" si="15">ROUND(B58*E58/10000,0)</f>
        <v>#DIV/0!</v>
      </c>
      <c r="G58" s="3381"/>
      <c r="H58" s="338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383"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38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38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38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43861.49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2019-4-1</v>
      </c>
      <c r="D70" s="2755">
        <f>EDATE(C70,-3)</f>
        <v>43466</v>
      </c>
      <c r="E70" s="2755">
        <f t="shared" ref="E70:N70" si="18">EDATE(D70,-3)</f>
        <v>43374</v>
      </c>
      <c r="F70" s="2755">
        <f t="shared" si="18"/>
        <v>43282</v>
      </c>
      <c r="G70" s="2755">
        <f t="shared" si="18"/>
        <v>43191</v>
      </c>
      <c r="H70" s="2755">
        <f t="shared" si="18"/>
        <v>43101</v>
      </c>
      <c r="I70" s="2755">
        <f t="shared" si="18"/>
        <v>43009</v>
      </c>
      <c r="J70" s="2755">
        <f t="shared" si="18"/>
        <v>42917</v>
      </c>
      <c r="K70" s="2755">
        <f t="shared" si="18"/>
        <v>42826</v>
      </c>
      <c r="L70" s="2755">
        <f t="shared" si="18"/>
        <v>42736</v>
      </c>
      <c r="M70" s="2755">
        <f t="shared" si="18"/>
        <v>42644</v>
      </c>
      <c r="N70" s="2755">
        <f t="shared" si="18"/>
        <v>42552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59" t="s">
        <v>522</v>
      </c>
      <c r="D6" s="3360"/>
      <c r="E6" s="3393" t="s">
        <v>523</v>
      </c>
      <c r="F6" s="3394"/>
      <c r="G6" s="3359" t="s">
        <v>524</v>
      </c>
      <c r="H6" s="3360"/>
      <c r="I6" s="3359" t="s">
        <v>525</v>
      </c>
      <c r="J6" s="3360"/>
      <c r="K6" s="514" t="s">
        <v>526</v>
      </c>
      <c r="L6" s="2119"/>
      <c r="M6" s="2120"/>
      <c r="N6" s="2120"/>
      <c r="O6" s="2120"/>
      <c r="P6" s="3361" t="s">
        <v>527</v>
      </c>
      <c r="Q6" s="3362"/>
      <c r="R6" s="3367" t="s">
        <v>523</v>
      </c>
      <c r="S6" s="3368"/>
      <c r="T6" s="3367" t="s">
        <v>524</v>
      </c>
      <c r="U6" s="3368"/>
      <c r="V6" s="3354" t="s">
        <v>525</v>
      </c>
      <c r="W6" s="3354"/>
      <c r="X6" s="1554"/>
      <c r="Y6" s="3367" t="s">
        <v>527</v>
      </c>
      <c r="Z6" s="3368"/>
      <c r="AA6" s="3356" t="s">
        <v>523</v>
      </c>
      <c r="AB6" s="3357" t="s">
        <v>524</v>
      </c>
      <c r="AC6" s="3356" t="s">
        <v>525</v>
      </c>
    </row>
    <row r="7" spans="1:29" ht="15">
      <c r="A7" s="515"/>
      <c r="B7" s="516"/>
      <c r="C7" s="3375" t="s">
        <v>2931</v>
      </c>
      <c r="D7" s="3376"/>
      <c r="E7" s="3395" t="s">
        <v>2932</v>
      </c>
      <c r="F7" s="3396"/>
      <c r="G7" s="3375" t="s">
        <v>2933</v>
      </c>
      <c r="H7" s="3376"/>
      <c r="I7" s="3375" t="s">
        <v>2934</v>
      </c>
      <c r="J7" s="3376"/>
      <c r="K7" s="514"/>
      <c r="L7" s="2119"/>
      <c r="M7" s="2120"/>
      <c r="N7" s="2120"/>
      <c r="O7" s="2120"/>
      <c r="P7" s="3363"/>
      <c r="Q7" s="3364"/>
      <c r="R7" s="3369"/>
      <c r="S7" s="3370"/>
      <c r="T7" s="3369"/>
      <c r="U7" s="3370"/>
      <c r="V7" s="3354"/>
      <c r="W7" s="3354"/>
      <c r="X7" s="1554"/>
      <c r="Y7" s="3369"/>
      <c r="Z7" s="3370"/>
      <c r="AA7" s="3357"/>
      <c r="AB7" s="3357"/>
      <c r="AC7" s="3357"/>
    </row>
    <row r="8" spans="1:29" ht="15.75" thickBot="1">
      <c r="A8" s="517"/>
      <c r="B8" s="518"/>
      <c r="C8" s="3373" t="s">
        <v>2935</v>
      </c>
      <c r="D8" s="3374"/>
      <c r="E8" s="3391" t="s">
        <v>2935</v>
      </c>
      <c r="F8" s="3392"/>
      <c r="G8" s="3373" t="s">
        <v>2935</v>
      </c>
      <c r="H8" s="3374"/>
      <c r="I8" s="3373" t="s">
        <v>2935</v>
      </c>
      <c r="J8" s="3374"/>
      <c r="K8" s="514" t="s">
        <v>528</v>
      </c>
      <c r="L8" s="2119"/>
      <c r="M8" s="2120"/>
      <c r="N8" s="2120"/>
      <c r="O8" s="2120"/>
      <c r="P8" s="3365"/>
      <c r="Q8" s="3366"/>
      <c r="R8" s="3369"/>
      <c r="S8" s="3370"/>
      <c r="T8" s="3371"/>
      <c r="U8" s="3372"/>
      <c r="V8" s="3354"/>
      <c r="W8" s="3354"/>
      <c r="X8" s="1554"/>
      <c r="Y8" s="3371"/>
      <c r="Z8" s="3372"/>
      <c r="AA8" s="3358"/>
      <c r="AB8" s="3358"/>
      <c r="AC8" s="3358"/>
    </row>
    <row r="9" spans="1:29" s="1216" customFormat="1" ht="15.75" thickBot="1">
      <c r="A9" s="2868"/>
      <c r="B9" s="2875" t="s">
        <v>529</v>
      </c>
      <c r="C9" s="519">
        <f>'数据-取费表'!B2</f>
        <v>43577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4" t="s">
        <v>530</v>
      </c>
      <c r="Q9" s="3386"/>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3" t="s">
        <v>535</v>
      </c>
      <c r="Q11" s="1147" t="str">
        <f t="shared" ref="Q11:Q17" si="6">B11</f>
        <v>用途</v>
      </c>
      <c r="R11" s="1555" t="s">
        <v>8</v>
      </c>
      <c r="S11" s="1556">
        <f t="shared" si="0"/>
        <v>100</v>
      </c>
      <c r="T11" s="1555" t="s">
        <v>8</v>
      </c>
      <c r="U11" s="1556">
        <f t="shared" si="1"/>
        <v>100</v>
      </c>
      <c r="V11" s="1555" t="s">
        <v>8</v>
      </c>
      <c r="W11" s="1556">
        <f t="shared" si="2"/>
        <v>100</v>
      </c>
      <c r="X11" s="1557"/>
      <c r="Y11" s="3299"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53"/>
      <c r="Q12" s="1147" t="str">
        <f t="shared" si="6"/>
        <v>土地使用年限（年）</v>
      </c>
      <c r="R12" s="1555" t="s">
        <v>8</v>
      </c>
      <c r="S12" s="1556">
        <f t="shared" si="0"/>
        <v>100</v>
      </c>
      <c r="T12" s="1555" t="s">
        <v>8</v>
      </c>
      <c r="U12" s="1556">
        <f t="shared" si="1"/>
        <v>100</v>
      </c>
      <c r="V12" s="1555" t="s">
        <v>8</v>
      </c>
      <c r="W12" s="1556">
        <f t="shared" si="2"/>
        <v>100</v>
      </c>
      <c r="X12" s="1557"/>
      <c r="Y12" s="3299"/>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3"/>
      <c r="Q13" s="1147" t="str">
        <f t="shared" si="6"/>
        <v>容积率</v>
      </c>
      <c r="R13" s="1555" t="s">
        <v>8</v>
      </c>
      <c r="S13" s="1556" t="e">
        <f t="shared" si="0"/>
        <v>#N/A</v>
      </c>
      <c r="T13" s="1555" t="s">
        <v>8</v>
      </c>
      <c r="U13" s="1556" t="e">
        <f t="shared" si="1"/>
        <v>#N/A</v>
      </c>
      <c r="V13" s="1555" t="s">
        <v>8</v>
      </c>
      <c r="W13" s="1556" t="e">
        <f t="shared" si="2"/>
        <v>#N/A</v>
      </c>
      <c r="X13" s="1557"/>
      <c r="Y13" s="329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3"/>
      <c r="Q14" s="1147">
        <f t="shared" si="6"/>
        <v>111</v>
      </c>
      <c r="R14" s="1555" t="s">
        <v>8</v>
      </c>
      <c r="S14" s="1556">
        <f t="shared" si="0"/>
        <v>100</v>
      </c>
      <c r="T14" s="1555" t="s">
        <v>8</v>
      </c>
      <c r="U14" s="1556">
        <f t="shared" si="1"/>
        <v>100</v>
      </c>
      <c r="V14" s="1555" t="s">
        <v>8</v>
      </c>
      <c r="W14" s="1556">
        <f t="shared" si="2"/>
        <v>100</v>
      </c>
      <c r="X14" s="1557"/>
      <c r="Y14" s="329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3"/>
      <c r="Q15" s="1147">
        <f t="shared" si="6"/>
        <v>111</v>
      </c>
      <c r="R15" s="1555" t="s">
        <v>8</v>
      </c>
      <c r="S15" s="1556">
        <f t="shared" si="0"/>
        <v>100</v>
      </c>
      <c r="T15" s="1555" t="s">
        <v>8</v>
      </c>
      <c r="U15" s="1556">
        <f t="shared" si="1"/>
        <v>100</v>
      </c>
      <c r="V15" s="1555" t="s">
        <v>8</v>
      </c>
      <c r="W15" s="1556">
        <f t="shared" si="2"/>
        <v>100</v>
      </c>
      <c r="X15" s="1557"/>
      <c r="Y15" s="329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3"/>
      <c r="Q16" s="1147">
        <f t="shared" si="6"/>
        <v>111</v>
      </c>
      <c r="R16" s="1555" t="s">
        <v>8</v>
      </c>
      <c r="S16" s="1556">
        <f t="shared" si="0"/>
        <v>100</v>
      </c>
      <c r="T16" s="1555" t="s">
        <v>8</v>
      </c>
      <c r="U16" s="1556">
        <f t="shared" si="1"/>
        <v>100</v>
      </c>
      <c r="V16" s="1555" t="s">
        <v>8</v>
      </c>
      <c r="W16" s="1556">
        <f t="shared" si="2"/>
        <v>100</v>
      </c>
      <c r="X16" s="1557"/>
      <c r="Y16" s="3299"/>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7" t="s">
        <v>540</v>
      </c>
      <c r="Q17" s="1559" t="str">
        <f t="shared" si="6"/>
        <v>产业集聚程度</v>
      </c>
      <c r="R17" s="1560" t="s">
        <v>8</v>
      </c>
      <c r="S17" s="1561">
        <f t="shared" si="0"/>
        <v>100</v>
      </c>
      <c r="T17" s="1560" t="s">
        <v>8</v>
      </c>
      <c r="U17" s="1561">
        <f t="shared" si="1"/>
        <v>100</v>
      </c>
      <c r="V17" s="1560" t="s">
        <v>8</v>
      </c>
      <c r="W17" s="1561">
        <f t="shared" si="2"/>
        <v>100</v>
      </c>
      <c r="X17" s="1554"/>
      <c r="Y17" s="338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8"/>
      <c r="Q18" s="1559"/>
      <c r="R18" s="1560"/>
      <c r="S18" s="1561"/>
      <c r="T18" s="1560"/>
      <c r="U18" s="1561"/>
      <c r="V18" s="1560"/>
      <c r="W18" s="1561"/>
      <c r="X18" s="1554"/>
      <c r="Y18" s="338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8"/>
      <c r="Q19" s="1559" t="str">
        <f>B19</f>
        <v>交通便捷度</v>
      </c>
      <c r="R19" s="1560" t="s">
        <v>8</v>
      </c>
      <c r="S19" s="1561">
        <f>F19</f>
        <v>100</v>
      </c>
      <c r="T19" s="1560" t="s">
        <v>8</v>
      </c>
      <c r="U19" s="1561">
        <f>H19</f>
        <v>100</v>
      </c>
      <c r="V19" s="1560" t="s">
        <v>8</v>
      </c>
      <c r="W19" s="1561">
        <f>J19</f>
        <v>100</v>
      </c>
      <c r="X19" s="1554"/>
      <c r="Y19" s="338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8"/>
      <c r="Q21" s="1559" t="str">
        <f t="shared" ref="Q21:Q35" si="8">B21</f>
        <v>区域土地利用方向</v>
      </c>
      <c r="R21" s="1560" t="s">
        <v>8</v>
      </c>
      <c r="S21" s="1561">
        <f>F21</f>
        <v>100</v>
      </c>
      <c r="T21" s="1560" t="s">
        <v>8</v>
      </c>
      <c r="U21" s="1561">
        <f>H21</f>
        <v>100</v>
      </c>
      <c r="V21" s="1560" t="s">
        <v>8</v>
      </c>
      <c r="W21" s="1561">
        <f>J21</f>
        <v>100</v>
      </c>
      <c r="X21" s="1554"/>
      <c r="Y21" s="338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8"/>
      <c r="Q22" s="1559"/>
      <c r="R22" s="1560"/>
      <c r="S22" s="1561"/>
      <c r="T22" s="1560"/>
      <c r="U22" s="1561"/>
      <c r="V22" s="1560"/>
      <c r="W22" s="1561"/>
      <c r="X22" s="1554"/>
      <c r="Y22" s="338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8"/>
      <c r="Q23" s="1559" t="str">
        <f t="shared" si="8"/>
        <v>环境状况</v>
      </c>
      <c r="R23" s="1560" t="s">
        <v>8</v>
      </c>
      <c r="S23" s="1561">
        <f>F23</f>
        <v>100</v>
      </c>
      <c r="T23" s="1560" t="s">
        <v>8</v>
      </c>
      <c r="U23" s="1561">
        <f>H23</f>
        <v>100</v>
      </c>
      <c r="V23" s="1560" t="s">
        <v>8</v>
      </c>
      <c r="W23" s="1561">
        <f>J23</f>
        <v>100</v>
      </c>
      <c r="X23" s="1554"/>
      <c r="Y23" s="338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8"/>
      <c r="Q24" s="1559"/>
      <c r="R24" s="1560"/>
      <c r="S24" s="1561"/>
      <c r="T24" s="1560"/>
      <c r="U24" s="1561"/>
      <c r="V24" s="1560"/>
      <c r="W24" s="1561"/>
      <c r="X24" s="1554"/>
      <c r="Y24" s="3388"/>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8"/>
      <c r="Q25" s="1147" t="str">
        <f t="shared" si="8"/>
        <v>公共配套设施</v>
      </c>
      <c r="R25" s="1555" t="s">
        <v>8</v>
      </c>
      <c r="S25" s="1556">
        <f>F25</f>
        <v>100</v>
      </c>
      <c r="T25" s="1555" t="s">
        <v>8</v>
      </c>
      <c r="U25" s="1556">
        <f>H25</f>
        <v>100</v>
      </c>
      <c r="V25" s="1555" t="s">
        <v>8</v>
      </c>
      <c r="W25" s="1556">
        <f>J25</f>
        <v>100</v>
      </c>
      <c r="X25" s="1557"/>
      <c r="Y25" s="338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8"/>
      <c r="Q26" s="1147"/>
      <c r="R26" s="1555"/>
      <c r="S26" s="1556"/>
      <c r="T26" s="1555"/>
      <c r="U26" s="1556"/>
      <c r="V26" s="1555"/>
      <c r="W26" s="1556"/>
      <c r="X26" s="1557"/>
      <c r="Y26" s="3388"/>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8"/>
      <c r="Q27" s="2543" t="str">
        <f t="shared" ref="Q27" si="9">B27</f>
        <v>基础设施水平</v>
      </c>
      <c r="R27" s="1555" t="s">
        <v>8</v>
      </c>
      <c r="S27" s="1556">
        <f>F27</f>
        <v>100</v>
      </c>
      <c r="T27" s="1555" t="s">
        <v>8</v>
      </c>
      <c r="U27" s="1556">
        <f>H27</f>
        <v>100</v>
      </c>
      <c r="V27" s="1555" t="s">
        <v>8</v>
      </c>
      <c r="W27" s="1556">
        <f>J27</f>
        <v>100</v>
      </c>
      <c r="X27" s="1557"/>
      <c r="Y27" s="338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8"/>
      <c r="Q28" s="2543"/>
      <c r="R28" s="1555"/>
      <c r="S28" s="1556"/>
      <c r="T28" s="1555"/>
      <c r="U28" s="1556"/>
      <c r="V28" s="1555"/>
      <c r="W28" s="1556"/>
      <c r="X28" s="1557"/>
      <c r="Y28" s="338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8"/>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8"/>
      <c r="Q30" s="1559" t="str">
        <f t="shared" si="8"/>
        <v>毗邻道路的类型与等级</v>
      </c>
      <c r="R30" s="1560" t="s">
        <v>8</v>
      </c>
      <c r="S30" s="1561">
        <f t="shared" si="10"/>
        <v>100</v>
      </c>
      <c r="T30" s="1560" t="s">
        <v>8</v>
      </c>
      <c r="U30" s="1561">
        <f t="shared" si="11"/>
        <v>100</v>
      </c>
      <c r="V30" s="1560" t="s">
        <v>8</v>
      </c>
      <c r="W30" s="1561">
        <f t="shared" si="12"/>
        <v>100</v>
      </c>
      <c r="X30" s="1554"/>
      <c r="Y30" s="338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8"/>
      <c r="Q31" s="1559"/>
      <c r="R31" s="1560"/>
      <c r="S31" s="1561"/>
      <c r="T31" s="1560"/>
      <c r="U31" s="1561"/>
      <c r="V31" s="1560"/>
      <c r="W31" s="1561"/>
      <c r="X31" s="1554"/>
      <c r="Y31" s="338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8"/>
      <c r="Q32" s="1559" t="str">
        <f t="shared" si="8"/>
        <v>土地级别</v>
      </c>
      <c r="R32" s="1560" t="s">
        <v>8</v>
      </c>
      <c r="S32" s="1561">
        <f t="shared" si="10"/>
        <v>100</v>
      </c>
      <c r="T32" s="1560" t="s">
        <v>8</v>
      </c>
      <c r="U32" s="1561">
        <f t="shared" si="11"/>
        <v>100</v>
      </c>
      <c r="V32" s="1560" t="s">
        <v>8</v>
      </c>
      <c r="W32" s="1561">
        <f t="shared" si="12"/>
        <v>100</v>
      </c>
      <c r="X32" s="1554"/>
      <c r="Y32" s="338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8"/>
      <c r="Q33" s="1559">
        <f t="shared" si="8"/>
        <v>111</v>
      </c>
      <c r="R33" s="1560" t="s">
        <v>8</v>
      </c>
      <c r="S33" s="1561">
        <f t="shared" si="10"/>
        <v>100</v>
      </c>
      <c r="T33" s="1560" t="s">
        <v>8</v>
      </c>
      <c r="U33" s="1561">
        <f t="shared" si="11"/>
        <v>100</v>
      </c>
      <c r="V33" s="1560" t="s">
        <v>8</v>
      </c>
      <c r="W33" s="1561">
        <f t="shared" si="12"/>
        <v>100</v>
      </c>
      <c r="X33" s="1554"/>
      <c r="Y33" s="338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9" t="s">
        <v>550</v>
      </c>
      <c r="Q34" s="1559">
        <f t="shared" si="8"/>
        <v>111</v>
      </c>
      <c r="R34" s="1560" t="s">
        <v>8</v>
      </c>
      <c r="S34" s="1561">
        <f t="shared" si="10"/>
        <v>100</v>
      </c>
      <c r="T34" s="1560" t="s">
        <v>8</v>
      </c>
      <c r="U34" s="1561">
        <f t="shared" si="11"/>
        <v>100</v>
      </c>
      <c r="V34" s="1560" t="s">
        <v>8</v>
      </c>
      <c r="W34" s="1561">
        <f t="shared" si="12"/>
        <v>100</v>
      </c>
      <c r="X34" s="1554"/>
      <c r="Y34" s="3390"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0"/>
      <c r="Q35" s="1559">
        <f t="shared" si="8"/>
        <v>111</v>
      </c>
      <c r="R35" s="1564" t="s">
        <v>8</v>
      </c>
      <c r="S35" s="1565">
        <f t="shared" si="10"/>
        <v>100</v>
      </c>
      <c r="T35" s="1564" t="s">
        <v>8</v>
      </c>
      <c r="U35" s="1565">
        <f t="shared" si="11"/>
        <v>100</v>
      </c>
      <c r="V35" s="1564" t="s">
        <v>8</v>
      </c>
      <c r="W35" s="1565">
        <f t="shared" si="12"/>
        <v>100</v>
      </c>
      <c r="X35" s="1566"/>
      <c r="Y35" s="3390"/>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0"/>
      <c r="Q36" s="1559" t="str">
        <f>B36</f>
        <v>宗地面积</v>
      </c>
      <c r="R36" s="1560" t="s">
        <v>8</v>
      </c>
      <c r="S36" s="1561" t="e">
        <f t="shared" si="10"/>
        <v>#N/A</v>
      </c>
      <c r="T36" s="1560" t="s">
        <v>8</v>
      </c>
      <c r="U36" s="1561" t="e">
        <f t="shared" si="11"/>
        <v>#N/A</v>
      </c>
      <c r="V36" s="1560" t="s">
        <v>8</v>
      </c>
      <c r="W36" s="1561" t="e">
        <f t="shared" si="12"/>
        <v>#N/A</v>
      </c>
      <c r="X36" s="1554"/>
      <c r="Y36" s="339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0"/>
      <c r="Q37" s="1559" t="str">
        <f t="shared" ref="Q37:Q42" si="14">B37</f>
        <v>宗地形状</v>
      </c>
      <c r="R37" s="1560" t="s">
        <v>8</v>
      </c>
      <c r="S37" s="1561">
        <f t="shared" si="10"/>
        <v>100</v>
      </c>
      <c r="T37" s="1560" t="s">
        <v>8</v>
      </c>
      <c r="U37" s="1561">
        <f t="shared" si="11"/>
        <v>100</v>
      </c>
      <c r="V37" s="1560" t="s">
        <v>8</v>
      </c>
      <c r="W37" s="1561">
        <f t="shared" si="12"/>
        <v>100</v>
      </c>
      <c r="X37" s="1554"/>
      <c r="Y37" s="3390"/>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0"/>
      <c r="Q38" s="1559" t="str">
        <f t="shared" si="14"/>
        <v>宗地开发程度</v>
      </c>
      <c r="R38" s="1555" t="s">
        <v>8</v>
      </c>
      <c r="S38" s="1556">
        <f t="shared" si="10"/>
        <v>100</v>
      </c>
      <c r="T38" s="1555" t="s">
        <v>8</v>
      </c>
      <c r="U38" s="1556">
        <f t="shared" si="11"/>
        <v>100</v>
      </c>
      <c r="V38" s="1555" t="s">
        <v>8</v>
      </c>
      <c r="W38" s="1556">
        <f t="shared" si="12"/>
        <v>100</v>
      </c>
      <c r="X38" s="1557"/>
      <c r="Y38" s="339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t="s">
        <v>601</v>
      </c>
      <c r="Q39" s="1559" t="str">
        <f t="shared" si="14"/>
        <v>工程地质条件</v>
      </c>
      <c r="R39" s="1560" t="s">
        <v>8</v>
      </c>
      <c r="S39" s="1561">
        <f t="shared" si="10"/>
        <v>100</v>
      </c>
      <c r="T39" s="1560" t="s">
        <v>8</v>
      </c>
      <c r="U39" s="1561">
        <f t="shared" si="11"/>
        <v>100</v>
      </c>
      <c r="V39" s="1560" t="s">
        <v>8</v>
      </c>
      <c r="W39" s="1561">
        <f t="shared" si="12"/>
        <v>100</v>
      </c>
      <c r="X39" s="1554"/>
      <c r="Y39" s="339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0"/>
      <c r="Q40" s="1559">
        <f t="shared" si="14"/>
        <v>111</v>
      </c>
      <c r="R40" s="1560" t="s">
        <v>8</v>
      </c>
      <c r="S40" s="1561">
        <f t="shared" si="10"/>
        <v>100</v>
      </c>
      <c r="T40" s="1560" t="s">
        <v>8</v>
      </c>
      <c r="U40" s="1561">
        <f t="shared" si="11"/>
        <v>100</v>
      </c>
      <c r="V40" s="1560" t="s">
        <v>8</v>
      </c>
      <c r="W40" s="1561">
        <f t="shared" si="12"/>
        <v>100</v>
      </c>
      <c r="X40" s="1554"/>
      <c r="Y40" s="339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0"/>
      <c r="Q41" s="1559">
        <f t="shared" si="14"/>
        <v>111</v>
      </c>
      <c r="R41" s="1560" t="s">
        <v>8</v>
      </c>
      <c r="S41" s="1561">
        <f t="shared" si="10"/>
        <v>100</v>
      </c>
      <c r="T41" s="1560" t="s">
        <v>8</v>
      </c>
      <c r="U41" s="1561">
        <f t="shared" si="11"/>
        <v>100</v>
      </c>
      <c r="V41" s="1560" t="s">
        <v>8</v>
      </c>
      <c r="W41" s="1561">
        <f t="shared" si="12"/>
        <v>100</v>
      </c>
      <c r="X41" s="1554"/>
      <c r="Y41" s="339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0"/>
      <c r="Q42" s="1559">
        <f t="shared" si="14"/>
        <v>111</v>
      </c>
      <c r="R42" s="1564" t="s">
        <v>8</v>
      </c>
      <c r="S42" s="1565">
        <f t="shared" si="10"/>
        <v>100</v>
      </c>
      <c r="T42" s="1564" t="s">
        <v>8</v>
      </c>
      <c r="U42" s="1565">
        <f t="shared" si="11"/>
        <v>100</v>
      </c>
      <c r="V42" s="1564" t="s">
        <v>8</v>
      </c>
      <c r="W42" s="1565">
        <f t="shared" si="12"/>
        <v>100</v>
      </c>
      <c r="X42" s="1566"/>
      <c r="Y42" s="3390"/>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53" t="str">
        <f>A43</f>
        <v>成交单价</v>
      </c>
      <c r="Q43" s="3353"/>
      <c r="R43" s="3354">
        <f>E43</f>
        <v>0</v>
      </c>
      <c r="S43" s="3354"/>
      <c r="T43" s="3354">
        <f>G43</f>
        <v>0</v>
      </c>
      <c r="U43" s="3354"/>
      <c r="V43" s="3354">
        <f>I43</f>
        <v>0</v>
      </c>
      <c r="W43" s="3354"/>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53" t="str">
        <f>A44</f>
        <v>比较价格（元/平方米）</v>
      </c>
      <c r="Q44" s="3353"/>
      <c r="R44" s="3355" t="e">
        <f>ROUND(PRODUCT(R43,AA9:AA42),0)</f>
        <v>#DIV/0!</v>
      </c>
      <c r="S44" s="3355"/>
      <c r="T44" s="3355" t="e">
        <f>ROUND(PRODUCT(T43,AB9:AB42),0)</f>
        <v>#DIV/0!</v>
      </c>
      <c r="U44" s="3355"/>
      <c r="V44" s="3355" t="e">
        <f>ROUND(PRODUCT(V43,AC9:AC42),0)</f>
        <v>#DIV/0!</v>
      </c>
      <c r="W44" s="3355"/>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50" t="str">
        <f>A45</f>
        <v>估价对象XX用房的比较价格（楼面单价，元/平方米）</v>
      </c>
      <c r="Q45" s="3351"/>
      <c r="R45" s="3352" t="e">
        <f>ROUND(AVERAGE(R44:V44),0)</f>
        <v>#DIV/0!</v>
      </c>
      <c r="S45" s="3352"/>
      <c r="T45" s="3352"/>
      <c r="U45" s="3352"/>
      <c r="V45" s="3352"/>
      <c r="W45" s="335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7" t="s">
        <v>2284</v>
      </c>
      <c r="H52" s="3398"/>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87711.97</v>
      </c>
      <c r="F53" s="1936" t="e">
        <f t="shared" ref="F53:F62" si="15">ROUND(B53*E53/10000,0)</f>
        <v>#DIV/0!</v>
      </c>
      <c r="G53" s="3399"/>
      <c r="H53" s="340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1"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43861.49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2019-4-1</v>
      </c>
      <c r="D65" s="2755">
        <f>EDATE(C65,-3)</f>
        <v>43466</v>
      </c>
      <c r="E65" s="2755">
        <f t="shared" ref="E65:N65" si="18">EDATE(D65,-3)</f>
        <v>43374</v>
      </c>
      <c r="F65" s="2755">
        <f t="shared" si="18"/>
        <v>43282</v>
      </c>
      <c r="G65" s="2755">
        <f t="shared" si="18"/>
        <v>43191</v>
      </c>
      <c r="H65" s="2755">
        <f t="shared" si="18"/>
        <v>43101</v>
      </c>
      <c r="I65" s="2755">
        <f t="shared" si="18"/>
        <v>43009</v>
      </c>
      <c r="J65" s="2755">
        <f t="shared" si="18"/>
        <v>42917</v>
      </c>
      <c r="K65" s="2755">
        <f t="shared" si="18"/>
        <v>42826</v>
      </c>
      <c r="L65" s="2755">
        <f t="shared" si="18"/>
        <v>42736</v>
      </c>
      <c r="M65" s="2755">
        <f t="shared" si="18"/>
        <v>42644</v>
      </c>
      <c r="N65" s="2755">
        <f t="shared" si="18"/>
        <v>42552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3"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4"/>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3" t="s">
        <v>2783</v>
      </c>
      <c r="X8" s="3404"/>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4"/>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2"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4"/>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4"/>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2"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3"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2"/>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5"/>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02"/>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5"/>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6"/>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3" t="s">
        <v>1838</v>
      </c>
      <c r="B16" s="1424" t="s">
        <v>950</v>
      </c>
      <c r="C16" s="1052" t="e">
        <f>ROUND(IF(F17="与级别开发程度一致",0,(G17-E17)/C17),0)</f>
        <v>#DIV/0!</v>
      </c>
      <c r="D16" s="3410" t="s">
        <v>954</v>
      </c>
      <c r="E16" s="3411"/>
      <c r="F16" s="3410" t="s">
        <v>951</v>
      </c>
      <c r="G16" s="3411"/>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7"/>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43577</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0"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8" t="s">
        <v>1633</v>
      </c>
      <c r="B90" s="3418"/>
      <c r="C90" s="3418"/>
      <c r="D90" s="3418"/>
      <c r="E90" s="3418"/>
      <c r="F90" s="3418"/>
      <c r="G90" s="3418"/>
      <c r="H90" s="3418"/>
      <c r="I90" s="3418"/>
      <c r="J90" s="3418"/>
      <c r="K90" s="2415"/>
      <c r="L90" s="2415"/>
      <c r="M90" s="2415"/>
      <c r="N90" s="2415"/>
    </row>
    <row r="91" spans="1:40">
      <c r="A91" s="3419" t="s">
        <v>1443</v>
      </c>
      <c r="B91" s="3419" t="s">
        <v>1634</v>
      </c>
      <c r="C91" s="1136" t="s">
        <v>1635</v>
      </c>
      <c r="D91" s="1137"/>
      <c r="E91" s="1137"/>
      <c r="F91" s="1137"/>
      <c r="G91" s="1137"/>
      <c r="H91" s="1137"/>
      <c r="I91" s="1137"/>
      <c r="J91" s="1138"/>
      <c r="K91" s="1130"/>
      <c r="L91" s="1130"/>
      <c r="M91" s="1130"/>
      <c r="N91" s="1130"/>
    </row>
    <row r="92" spans="1:40">
      <c r="A92" s="3419"/>
      <c r="B92" s="341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5"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5"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0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0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0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0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0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0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06"/>
      <c r="B108" s="340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7"/>
      <c r="B109" s="340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2" t="s">
        <v>1639</v>
      </c>
      <c r="B110" s="3412"/>
      <c r="C110" s="3412"/>
      <c r="D110" s="3412"/>
      <c r="E110" s="3412"/>
      <c r="F110" s="3412"/>
      <c r="G110" s="3412"/>
      <c r="H110" s="3412"/>
      <c r="I110" s="3412"/>
      <c r="J110" s="3412"/>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9" t="s">
        <v>1007</v>
      </c>
      <c r="B18" s="1150" t="s">
        <v>1446</v>
      </c>
      <c r="C18" s="1127" t="s">
        <v>1447</v>
      </c>
      <c r="D18" s="1128"/>
      <c r="E18" s="1150">
        <v>1</v>
      </c>
      <c r="F18" s="1129" t="s">
        <v>1448</v>
      </c>
      <c r="G18" s="1130"/>
      <c r="H18" s="1101"/>
      <c r="I18" s="1101"/>
    </row>
    <row r="19" spans="1:9" s="1585" customFormat="1" ht="19.5" customHeight="1">
      <c r="A19" s="3419"/>
      <c r="B19" s="3419" t="s">
        <v>1449</v>
      </c>
      <c r="C19" s="1127" t="s">
        <v>1450</v>
      </c>
      <c r="D19" s="1128"/>
      <c r="E19" s="1150">
        <v>0.9</v>
      </c>
      <c r="F19" s="1129" t="s">
        <v>1451</v>
      </c>
      <c r="G19" s="1130"/>
      <c r="H19" s="1101"/>
      <c r="I19" s="1101"/>
    </row>
    <row r="20" spans="1:9" s="1585" customFormat="1" ht="19.5" customHeight="1">
      <c r="A20" s="3419"/>
      <c r="B20" s="3419"/>
      <c r="C20" s="1127" t="s">
        <v>1452</v>
      </c>
      <c r="D20" s="1128"/>
      <c r="E20" s="1150">
        <v>1.1000000000000001</v>
      </c>
      <c r="F20" s="1129" t="s">
        <v>1453</v>
      </c>
      <c r="G20" s="1130"/>
      <c r="H20" s="1101"/>
      <c r="I20" s="1101"/>
    </row>
    <row r="21" spans="1:9" s="1585" customFormat="1" ht="19.5" customHeight="1">
      <c r="A21" s="3419"/>
      <c r="B21" s="3419"/>
      <c r="C21" s="1127" t="s">
        <v>1454</v>
      </c>
      <c r="D21" s="1128"/>
      <c r="E21" s="1150">
        <v>0.8</v>
      </c>
      <c r="F21" s="1129" t="s">
        <v>1455</v>
      </c>
      <c r="G21" s="1130"/>
      <c r="H21" s="1101"/>
      <c r="I21" s="1101"/>
    </row>
    <row r="22" spans="1:9" s="1585" customFormat="1" ht="19.5" customHeight="1">
      <c r="A22" s="3419"/>
      <c r="B22" s="3419"/>
      <c r="C22" s="1127" t="s">
        <v>1456</v>
      </c>
      <c r="D22" s="1128"/>
      <c r="E22" s="1150">
        <v>0.5</v>
      </c>
      <c r="F22" s="1129"/>
      <c r="G22" s="1130"/>
      <c r="H22" s="1101"/>
      <c r="I22" s="1101"/>
    </row>
    <row r="23" spans="1:9" s="1585" customFormat="1" ht="19.5" customHeight="1">
      <c r="A23" s="3419" t="s">
        <v>1029</v>
      </c>
      <c r="B23" s="1150" t="s">
        <v>1446</v>
      </c>
      <c r="C23" s="1127" t="s">
        <v>1457</v>
      </c>
      <c r="D23" s="1128"/>
      <c r="E23" s="1150">
        <v>1</v>
      </c>
      <c r="F23" s="1129" t="s">
        <v>1458</v>
      </c>
      <c r="G23" s="1130"/>
      <c r="H23" s="1101"/>
      <c r="I23" s="1101"/>
    </row>
    <row r="24" spans="1:9" s="1585" customFormat="1" ht="19.5" customHeight="1">
      <c r="A24" s="3419"/>
      <c r="B24" s="3419" t="s">
        <v>1449</v>
      </c>
      <c r="C24" s="1127" t="s">
        <v>1459</v>
      </c>
      <c r="D24" s="1128"/>
      <c r="E24" s="1150">
        <v>0.5</v>
      </c>
      <c r="F24" s="1129"/>
      <c r="G24" s="1130"/>
      <c r="H24" s="1101"/>
      <c r="I24" s="1101"/>
    </row>
    <row r="25" spans="1:9" s="1585" customFormat="1" ht="19.5" customHeight="1">
      <c r="A25" s="3419"/>
      <c r="B25" s="3419"/>
      <c r="C25" s="1127" t="s">
        <v>1460</v>
      </c>
      <c r="D25" s="1128"/>
      <c r="E25" s="1150">
        <v>1.1000000000000001</v>
      </c>
      <c r="F25" s="1129"/>
      <c r="G25" s="1130"/>
      <c r="H25" s="1101"/>
      <c r="I25" s="1101"/>
    </row>
    <row r="26" spans="1:9" s="1585" customFormat="1" ht="19.5" customHeight="1">
      <c r="A26" s="3419"/>
      <c r="B26" s="3419"/>
      <c r="C26" s="1127" t="s">
        <v>1461</v>
      </c>
      <c r="D26" s="1128"/>
      <c r="E26" s="1150">
        <v>1.1000000000000001</v>
      </c>
      <c r="F26" s="1129"/>
      <c r="G26" s="1130"/>
      <c r="H26" s="1101"/>
      <c r="I26" s="1101"/>
    </row>
    <row r="27" spans="1:9" s="1585" customFormat="1" ht="19.5" customHeight="1">
      <c r="A27" s="3419"/>
      <c r="B27" s="3419"/>
      <c r="C27" s="1127" t="s">
        <v>1462</v>
      </c>
      <c r="D27" s="1128"/>
      <c r="E27" s="1150">
        <v>0.9</v>
      </c>
      <c r="F27" s="1129" t="s">
        <v>1463</v>
      </c>
      <c r="G27" s="1130"/>
      <c r="H27" s="1101"/>
      <c r="I27" s="1101"/>
    </row>
    <row r="28" spans="1:9" s="1585" customFormat="1" ht="19.5" customHeight="1">
      <c r="A28" s="3419"/>
      <c r="B28" s="3419"/>
      <c r="C28" s="1127" t="s">
        <v>1464</v>
      </c>
      <c r="D28" s="1128"/>
      <c r="E28" s="1150">
        <v>0.9</v>
      </c>
      <c r="F28" s="1129" t="s">
        <v>1465</v>
      </c>
      <c r="G28" s="1130"/>
      <c r="H28" s="1101"/>
      <c r="I28" s="1101"/>
    </row>
    <row r="29" spans="1:9" s="1585" customFormat="1" ht="19.5" customHeight="1">
      <c r="A29" s="3419"/>
      <c r="B29" s="3419"/>
      <c r="C29" s="1127" t="s">
        <v>1466</v>
      </c>
      <c r="D29" s="1128"/>
      <c r="E29" s="1150">
        <v>0.9</v>
      </c>
      <c r="F29" s="1129" t="s">
        <v>1467</v>
      </c>
      <c r="G29" s="1130"/>
      <c r="H29" s="1101"/>
      <c r="I29" s="1101"/>
    </row>
    <row r="30" spans="1:9" s="1585" customFormat="1" ht="19.5" customHeight="1">
      <c r="A30" s="3419"/>
      <c r="B30" s="3419"/>
      <c r="C30" s="1127" t="s">
        <v>1468</v>
      </c>
      <c r="D30" s="1128"/>
      <c r="E30" s="1150">
        <v>0.9</v>
      </c>
      <c r="F30" s="1129" t="s">
        <v>1469</v>
      </c>
      <c r="G30" s="1130"/>
      <c r="H30" s="1101"/>
      <c r="I30" s="1101"/>
    </row>
    <row r="31" spans="1:9" s="1585" customFormat="1" ht="19.5" customHeight="1">
      <c r="A31" s="3419"/>
      <c r="B31" s="3419"/>
      <c r="C31" s="1127" t="s">
        <v>1470</v>
      </c>
      <c r="D31" s="1128"/>
      <c r="E31" s="1150">
        <v>0.8</v>
      </c>
      <c r="F31" s="1129" t="s">
        <v>1471</v>
      </c>
      <c r="G31" s="1130"/>
      <c r="H31" s="1101"/>
      <c r="I31" s="1101"/>
    </row>
    <row r="32" spans="1:9" s="1585" customFormat="1" ht="19.5" customHeight="1">
      <c r="A32" s="3419"/>
      <c r="B32" s="3419"/>
      <c r="C32" s="1127" t="s">
        <v>1472</v>
      </c>
      <c r="D32" s="1128"/>
      <c r="E32" s="1150">
        <v>0.8</v>
      </c>
      <c r="F32" s="1129" t="s">
        <v>1473</v>
      </c>
      <c r="G32" s="1130"/>
      <c r="H32" s="1101"/>
      <c r="I32" s="1101"/>
    </row>
    <row r="33" spans="1:9" s="1585" customFormat="1" ht="19.5" customHeight="1">
      <c r="A33" s="3419" t="s">
        <v>1474</v>
      </c>
      <c r="B33" s="1150" t="s">
        <v>1446</v>
      </c>
      <c r="C33" s="1127" t="s">
        <v>1475</v>
      </c>
      <c r="D33" s="1128"/>
      <c r="E33" s="1150">
        <v>1</v>
      </c>
      <c r="F33" s="1129" t="s">
        <v>1476</v>
      </c>
      <c r="G33" s="1130"/>
      <c r="H33" s="1101"/>
      <c r="I33" s="1101"/>
    </row>
    <row r="34" spans="1:9" s="1585" customFormat="1" ht="19.5" customHeight="1">
      <c r="A34" s="3419"/>
      <c r="B34" s="1150" t="s">
        <v>1449</v>
      </c>
      <c r="C34" s="1127" t="s">
        <v>1477</v>
      </c>
      <c r="D34" s="1128"/>
      <c r="E34" s="1150">
        <v>1.5</v>
      </c>
      <c r="F34" s="1129" t="s">
        <v>1478</v>
      </c>
      <c r="G34" s="1130"/>
      <c r="H34" s="1101"/>
      <c r="I34" s="1101"/>
    </row>
    <row r="35" spans="1:9" s="1585" customFormat="1" ht="19.5" customHeight="1">
      <c r="A35" s="3419" t="s">
        <v>1432</v>
      </c>
      <c r="B35" s="1150" t="s">
        <v>1446</v>
      </c>
      <c r="C35" s="1127" t="s">
        <v>1479</v>
      </c>
      <c r="D35" s="1128"/>
      <c r="E35" s="1150">
        <v>1</v>
      </c>
      <c r="F35" s="1129" t="s">
        <v>1480</v>
      </c>
      <c r="G35" s="1130"/>
      <c r="H35" s="1101"/>
      <c r="I35" s="1101"/>
    </row>
    <row r="36" spans="1:9" s="1585" customFormat="1" ht="19.5" customHeight="1">
      <c r="A36" s="3419"/>
      <c r="B36" s="3419" t="s">
        <v>1449</v>
      </c>
      <c r="C36" s="1127" t="s">
        <v>1481</v>
      </c>
      <c r="D36" s="1128"/>
      <c r="E36" s="1150">
        <v>1</v>
      </c>
      <c r="F36" s="1129" t="s">
        <v>1482</v>
      </c>
      <c r="G36" s="1130"/>
      <c r="H36" s="1101"/>
      <c r="I36" s="1101"/>
    </row>
    <row r="37" spans="1:9" s="1585" customFormat="1" ht="19.5" customHeight="1">
      <c r="A37" s="3419"/>
      <c r="B37" s="3419"/>
      <c r="C37" s="1127" t="s">
        <v>1483</v>
      </c>
      <c r="D37" s="1128"/>
      <c r="E37" s="1150">
        <v>1.5</v>
      </c>
      <c r="F37" s="1129" t="s">
        <v>1484</v>
      </c>
      <c r="G37" s="1130"/>
      <c r="H37" s="1101"/>
      <c r="I37" s="1101"/>
    </row>
    <row r="38" spans="1:9" s="1585" customFormat="1" ht="19.5" customHeight="1">
      <c r="A38" s="3419"/>
      <c r="B38" s="3419"/>
      <c r="C38" s="1127" t="s">
        <v>1485</v>
      </c>
      <c r="D38" s="1128"/>
      <c r="E38" s="1150">
        <v>1</v>
      </c>
      <c r="F38" s="1129" t="s">
        <v>1486</v>
      </c>
      <c r="G38" s="1130"/>
      <c r="H38" s="1101"/>
      <c r="I38" s="1101"/>
    </row>
    <row r="39" spans="1:9" s="1585" customFormat="1" ht="19.5" customHeight="1">
      <c r="A39" s="3419"/>
      <c r="B39" s="341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9" t="s">
        <v>1501</v>
      </c>
      <c r="C61" s="1064" t="s">
        <v>1502</v>
      </c>
      <c r="D61" s="1064" t="s">
        <v>1503</v>
      </c>
      <c r="E61" s="1135">
        <v>0.5</v>
      </c>
      <c r="F61" s="1150">
        <v>80</v>
      </c>
      <c r="H61" s="1101">
        <f>SUMIF(C59:C119,基准地价!C8,E59:E119)</f>
        <v>0</v>
      </c>
    </row>
    <row r="62" spans="1:8" s="1101" customFormat="1" ht="24">
      <c r="A62" s="1150">
        <v>2</v>
      </c>
      <c r="B62" s="3419"/>
      <c r="C62" s="1064" t="s">
        <v>1504</v>
      </c>
      <c r="D62" s="1064" t="s">
        <v>1505</v>
      </c>
      <c r="E62" s="1135">
        <v>0.5</v>
      </c>
      <c r="F62" s="1150">
        <v>80</v>
      </c>
    </row>
    <row r="63" spans="1:8" s="1101" customFormat="1" ht="36">
      <c r="A63" s="1150">
        <v>3</v>
      </c>
      <c r="B63" s="3419"/>
      <c r="C63" s="1064" t="s">
        <v>1506</v>
      </c>
      <c r="D63" s="1064" t="s">
        <v>1507</v>
      </c>
      <c r="E63" s="1135">
        <v>0.5</v>
      </c>
      <c r="F63" s="1150">
        <v>80</v>
      </c>
    </row>
    <row r="64" spans="1:8" s="1101" customFormat="1" ht="36">
      <c r="A64" s="1150">
        <v>4</v>
      </c>
      <c r="B64" s="3419"/>
      <c r="C64" s="1064" t="s">
        <v>1508</v>
      </c>
      <c r="D64" s="1064" t="s">
        <v>1509</v>
      </c>
      <c r="E64" s="1135">
        <v>0.4</v>
      </c>
      <c r="F64" s="1150">
        <v>60</v>
      </c>
    </row>
    <row r="65" spans="1:6" s="1101" customFormat="1" ht="36">
      <c r="A65" s="1150">
        <v>5</v>
      </c>
      <c r="B65" s="3419"/>
      <c r="C65" s="1064" t="s">
        <v>1510</v>
      </c>
      <c r="D65" s="1064" t="s">
        <v>1511</v>
      </c>
      <c r="E65" s="1135">
        <v>0.2</v>
      </c>
      <c r="F65" s="1150">
        <v>30</v>
      </c>
    </row>
    <row r="66" spans="1:6" s="1101" customFormat="1" ht="36">
      <c r="A66" s="1150">
        <v>6</v>
      </c>
      <c r="B66" s="3419"/>
      <c r="C66" s="1064" t="s">
        <v>1512</v>
      </c>
      <c r="D66" s="1064" t="s">
        <v>1513</v>
      </c>
      <c r="E66" s="1135">
        <v>0.3</v>
      </c>
      <c r="F66" s="1150">
        <v>50</v>
      </c>
    </row>
    <row r="67" spans="1:6" s="1101" customFormat="1" ht="36">
      <c r="A67" s="1150">
        <v>7</v>
      </c>
      <c r="B67" s="3419"/>
      <c r="C67" s="1064" t="s">
        <v>1514</v>
      </c>
      <c r="D67" s="1064" t="s">
        <v>1515</v>
      </c>
      <c r="E67" s="1135">
        <v>0.2</v>
      </c>
      <c r="F67" s="1150">
        <v>30</v>
      </c>
    </row>
    <row r="68" spans="1:6" s="1101" customFormat="1" ht="36">
      <c r="A68" s="1150">
        <v>8</v>
      </c>
      <c r="B68" s="3419"/>
      <c r="C68" s="1064" t="s">
        <v>1516</v>
      </c>
      <c r="D68" s="1064" t="s">
        <v>1517</v>
      </c>
      <c r="E68" s="1135">
        <v>0.2</v>
      </c>
      <c r="F68" s="1150">
        <v>30</v>
      </c>
    </row>
    <row r="69" spans="1:6" s="1101" customFormat="1" ht="36">
      <c r="A69" s="1150">
        <v>9</v>
      </c>
      <c r="B69" s="3419"/>
      <c r="C69" s="1064" t="s">
        <v>1518</v>
      </c>
      <c r="D69" s="1064" t="s">
        <v>1519</v>
      </c>
      <c r="E69" s="1135">
        <v>0.2</v>
      </c>
      <c r="F69" s="1150">
        <v>30</v>
      </c>
    </row>
    <row r="70" spans="1:6" s="1101" customFormat="1" ht="48">
      <c r="A70" s="1150">
        <v>10</v>
      </c>
      <c r="B70" s="3419"/>
      <c r="C70" s="1064" t="s">
        <v>1520</v>
      </c>
      <c r="D70" s="1064" t="s">
        <v>1521</v>
      </c>
      <c r="E70" s="1135">
        <v>0.2</v>
      </c>
      <c r="F70" s="1150">
        <v>30</v>
      </c>
    </row>
    <row r="71" spans="1:6" s="1101" customFormat="1" ht="48">
      <c r="A71" s="1150">
        <v>11</v>
      </c>
      <c r="B71" s="3419"/>
      <c r="C71" s="1064" t="s">
        <v>1522</v>
      </c>
      <c r="D71" s="1064" t="s">
        <v>1523</v>
      </c>
      <c r="E71" s="1135">
        <v>0.2</v>
      </c>
      <c r="F71" s="1150">
        <v>30</v>
      </c>
    </row>
    <row r="72" spans="1:6" s="1101" customFormat="1" ht="36">
      <c r="A72" s="1150">
        <v>12</v>
      </c>
      <c r="B72" s="3419"/>
      <c r="C72" s="1064" t="s">
        <v>1524</v>
      </c>
      <c r="D72" s="1064" t="s">
        <v>1525</v>
      </c>
      <c r="E72" s="1135">
        <v>0.5</v>
      </c>
      <c r="F72" s="1150">
        <v>80</v>
      </c>
    </row>
    <row r="73" spans="1:6" s="1101" customFormat="1" ht="24">
      <c r="A73" s="1150">
        <v>13</v>
      </c>
      <c r="B73" s="3419"/>
      <c r="C73" s="1064" t="s">
        <v>1526</v>
      </c>
      <c r="D73" s="1064" t="s">
        <v>1527</v>
      </c>
      <c r="E73" s="1135">
        <v>0.4</v>
      </c>
      <c r="F73" s="1150">
        <v>60</v>
      </c>
    </row>
    <row r="74" spans="1:6" s="1101" customFormat="1" ht="24">
      <c r="A74" s="1150">
        <v>14</v>
      </c>
      <c r="B74" s="3419"/>
      <c r="C74" s="1064" t="s">
        <v>1528</v>
      </c>
      <c r="D74" s="1064" t="s">
        <v>1529</v>
      </c>
      <c r="E74" s="1135">
        <v>0.2</v>
      </c>
      <c r="F74" s="1150">
        <v>30</v>
      </c>
    </row>
    <row r="75" spans="1:6" s="1101" customFormat="1" ht="24">
      <c r="A75" s="1150">
        <v>15</v>
      </c>
      <c r="B75" s="3419"/>
      <c r="C75" s="1064" t="s">
        <v>1530</v>
      </c>
      <c r="D75" s="1064" t="s">
        <v>1531</v>
      </c>
      <c r="E75" s="1135">
        <v>0.2</v>
      </c>
      <c r="F75" s="1150">
        <v>30</v>
      </c>
    </row>
    <row r="76" spans="1:6" s="1101" customFormat="1" ht="24">
      <c r="A76" s="1150">
        <v>16</v>
      </c>
      <c r="B76" s="3419" t="s">
        <v>1532</v>
      </c>
      <c r="C76" s="1064" t="s">
        <v>1533</v>
      </c>
      <c r="D76" s="1064" t="s">
        <v>1534</v>
      </c>
      <c r="E76" s="1135">
        <v>0.5</v>
      </c>
      <c r="F76" s="1150">
        <v>80</v>
      </c>
    </row>
    <row r="77" spans="1:6" s="1101" customFormat="1" ht="24">
      <c r="A77" s="1150">
        <v>17</v>
      </c>
      <c r="B77" s="3419"/>
      <c r="C77" s="1064" t="s">
        <v>1535</v>
      </c>
      <c r="D77" s="1064" t="s">
        <v>1536</v>
      </c>
      <c r="E77" s="1135">
        <v>0.5</v>
      </c>
      <c r="F77" s="1150">
        <v>80</v>
      </c>
    </row>
    <row r="78" spans="1:6" s="1101" customFormat="1" ht="24">
      <c r="A78" s="1150">
        <v>18</v>
      </c>
      <c r="B78" s="3419"/>
      <c r="C78" s="1064" t="s">
        <v>1537</v>
      </c>
      <c r="D78" s="1064" t="s">
        <v>1538</v>
      </c>
      <c r="E78" s="1135">
        <v>0.2</v>
      </c>
      <c r="F78" s="1150">
        <v>30</v>
      </c>
    </row>
    <row r="79" spans="1:6" s="1101" customFormat="1" ht="24">
      <c r="A79" s="1150">
        <v>19</v>
      </c>
      <c r="B79" s="3419"/>
      <c r="C79" s="1064" t="s">
        <v>1539</v>
      </c>
      <c r="D79" s="1064" t="s">
        <v>1540</v>
      </c>
      <c r="E79" s="1135">
        <v>0.5</v>
      </c>
      <c r="F79" s="1150">
        <v>80</v>
      </c>
    </row>
    <row r="80" spans="1:6" s="1101" customFormat="1" ht="36">
      <c r="A80" s="1150">
        <v>20</v>
      </c>
      <c r="B80" s="3419"/>
      <c r="C80" s="1064" t="s">
        <v>1541</v>
      </c>
      <c r="D80" s="1064" t="s">
        <v>1542</v>
      </c>
      <c r="E80" s="1135">
        <v>0.2</v>
      </c>
      <c r="F80" s="1150">
        <v>30</v>
      </c>
    </row>
    <row r="81" spans="1:6" s="1101" customFormat="1" ht="36">
      <c r="A81" s="1150">
        <v>21</v>
      </c>
      <c r="B81" s="3419"/>
      <c r="C81" s="1064" t="s">
        <v>1543</v>
      </c>
      <c r="D81" s="1064" t="s">
        <v>1544</v>
      </c>
      <c r="E81" s="1135">
        <v>0.2</v>
      </c>
      <c r="F81" s="1150">
        <v>30</v>
      </c>
    </row>
    <row r="82" spans="1:6" s="1101" customFormat="1" ht="48">
      <c r="A82" s="1150">
        <v>22</v>
      </c>
      <c r="B82" s="3419"/>
      <c r="C82" s="1064" t="s">
        <v>1545</v>
      </c>
      <c r="D82" s="1064" t="s">
        <v>1546</v>
      </c>
      <c r="E82" s="1135">
        <v>0.2</v>
      </c>
      <c r="F82" s="1150">
        <v>30</v>
      </c>
    </row>
    <row r="83" spans="1:6" s="1101" customFormat="1" ht="48">
      <c r="A83" s="1150">
        <v>23</v>
      </c>
      <c r="B83" s="3419"/>
      <c r="C83" s="1064" t="s">
        <v>1547</v>
      </c>
      <c r="D83" s="1064" t="s">
        <v>1548</v>
      </c>
      <c r="E83" s="1135">
        <v>0.2</v>
      </c>
      <c r="F83" s="1150">
        <v>30</v>
      </c>
    </row>
    <row r="84" spans="1:6" s="1101" customFormat="1" ht="36">
      <c r="A84" s="1150">
        <v>24</v>
      </c>
      <c r="B84" s="3419"/>
      <c r="C84" s="1064" t="s">
        <v>1549</v>
      </c>
      <c r="D84" s="1064" t="s">
        <v>1550</v>
      </c>
      <c r="E84" s="1135">
        <v>0.2</v>
      </c>
      <c r="F84" s="1150">
        <v>30</v>
      </c>
    </row>
    <row r="85" spans="1:6" s="1101" customFormat="1" ht="36">
      <c r="A85" s="1150">
        <v>25</v>
      </c>
      <c r="B85" s="3419"/>
      <c r="C85" s="1064" t="s">
        <v>1551</v>
      </c>
      <c r="D85" s="1064" t="s">
        <v>1552</v>
      </c>
      <c r="E85" s="1135">
        <v>0.5</v>
      </c>
      <c r="F85" s="1150">
        <v>80</v>
      </c>
    </row>
    <row r="86" spans="1:6" s="1101" customFormat="1" ht="36">
      <c r="A86" s="1150">
        <v>26</v>
      </c>
      <c r="B86" s="3419"/>
      <c r="C86" s="1064" t="s">
        <v>1553</v>
      </c>
      <c r="D86" s="1064" t="s">
        <v>1554</v>
      </c>
      <c r="E86" s="1135">
        <v>0.2</v>
      </c>
      <c r="F86" s="1150">
        <v>30</v>
      </c>
    </row>
    <row r="87" spans="1:6" s="1101" customFormat="1" ht="36">
      <c r="A87" s="1150">
        <v>27</v>
      </c>
      <c r="B87" s="3419"/>
      <c r="C87" s="1064" t="s">
        <v>1555</v>
      </c>
      <c r="D87" s="1064" t="s">
        <v>1556</v>
      </c>
      <c r="E87" s="1135">
        <v>0.2</v>
      </c>
      <c r="F87" s="1150">
        <v>30</v>
      </c>
    </row>
    <row r="88" spans="1:6" s="1101" customFormat="1" ht="36">
      <c r="A88" s="1150">
        <v>28</v>
      </c>
      <c r="B88" s="3419"/>
      <c r="C88" s="1064" t="s">
        <v>1557</v>
      </c>
      <c r="D88" s="1064" t="s">
        <v>1558</v>
      </c>
      <c r="E88" s="1135">
        <v>0.2</v>
      </c>
      <c r="F88" s="1150">
        <v>30</v>
      </c>
    </row>
    <row r="89" spans="1:6" s="1101" customFormat="1" ht="24">
      <c r="A89" s="1150">
        <v>29</v>
      </c>
      <c r="B89" s="3419"/>
      <c r="C89" s="1064" t="s">
        <v>1559</v>
      </c>
      <c r="D89" s="1064" t="s">
        <v>1560</v>
      </c>
      <c r="E89" s="1135">
        <v>0.2</v>
      </c>
      <c r="F89" s="1150">
        <v>30</v>
      </c>
    </row>
    <row r="90" spans="1:6" s="1101" customFormat="1" ht="24">
      <c r="A90" s="1150">
        <v>30</v>
      </c>
      <c r="B90" s="3419"/>
      <c r="C90" s="1064" t="s">
        <v>1561</v>
      </c>
      <c r="D90" s="1064" t="s">
        <v>1562</v>
      </c>
      <c r="E90" s="1135">
        <v>0.2</v>
      </c>
      <c r="F90" s="1150">
        <v>30</v>
      </c>
    </row>
    <row r="91" spans="1:6" s="1101" customFormat="1" ht="36">
      <c r="A91" s="1150">
        <v>31</v>
      </c>
      <c r="B91" s="3419"/>
      <c r="C91" s="1064" t="s">
        <v>1563</v>
      </c>
      <c r="D91" s="1064" t="s">
        <v>1564</v>
      </c>
      <c r="E91" s="1135">
        <v>0.2</v>
      </c>
      <c r="F91" s="1150">
        <v>30</v>
      </c>
    </row>
    <row r="92" spans="1:6" s="1101" customFormat="1" ht="24">
      <c r="A92" s="1150">
        <v>32</v>
      </c>
      <c r="B92" s="3419" t="s">
        <v>1565</v>
      </c>
      <c r="C92" s="1150" t="s">
        <v>1566</v>
      </c>
      <c r="D92" s="1064" t="s">
        <v>1567</v>
      </c>
      <c r="E92" s="1135">
        <v>0.2</v>
      </c>
      <c r="F92" s="1150">
        <v>30</v>
      </c>
    </row>
    <row r="93" spans="1:6" s="1101" customFormat="1" ht="36">
      <c r="A93" s="1150">
        <v>33</v>
      </c>
      <c r="B93" s="3419"/>
      <c r="C93" s="1150" t="s">
        <v>1568</v>
      </c>
      <c r="D93" s="1064" t="s">
        <v>1569</v>
      </c>
      <c r="E93" s="1135">
        <v>0.2</v>
      </c>
      <c r="F93" s="1150">
        <v>30</v>
      </c>
    </row>
    <row r="94" spans="1:6" s="1101" customFormat="1" ht="48">
      <c r="A94" s="1150">
        <v>34</v>
      </c>
      <c r="B94" s="3419"/>
      <c r="C94" s="1150" t="s">
        <v>1570</v>
      </c>
      <c r="D94" s="1064" t="s">
        <v>1571</v>
      </c>
      <c r="E94" s="1135">
        <v>0.2</v>
      </c>
      <c r="F94" s="1150">
        <v>30</v>
      </c>
    </row>
    <row r="95" spans="1:6" s="1101" customFormat="1" ht="36">
      <c r="A95" s="1150">
        <v>35</v>
      </c>
      <c r="B95" s="3419"/>
      <c r="C95" s="1150" t="s">
        <v>1572</v>
      </c>
      <c r="D95" s="1064" t="s">
        <v>1573</v>
      </c>
      <c r="E95" s="1135">
        <v>0.2</v>
      </c>
      <c r="F95" s="1150">
        <v>30</v>
      </c>
    </row>
    <row r="96" spans="1:6" s="1101" customFormat="1" ht="48">
      <c r="A96" s="1150">
        <v>36</v>
      </c>
      <c r="B96" s="3419"/>
      <c r="C96" s="1064" t="s">
        <v>1574</v>
      </c>
      <c r="D96" s="1064" t="s">
        <v>1575</v>
      </c>
      <c r="E96" s="1135">
        <v>0.2</v>
      </c>
      <c r="F96" s="1150">
        <v>30</v>
      </c>
    </row>
    <row r="97" spans="1:6" s="1101" customFormat="1" ht="36">
      <c r="A97" s="1150">
        <v>37</v>
      </c>
      <c r="B97" s="3419"/>
      <c r="C97" s="1150" t="s">
        <v>1576</v>
      </c>
      <c r="D97" s="1064" t="s">
        <v>1577</v>
      </c>
      <c r="E97" s="1135">
        <v>0.2</v>
      </c>
      <c r="F97" s="1150">
        <v>30</v>
      </c>
    </row>
    <row r="98" spans="1:6" s="1101" customFormat="1" ht="36">
      <c r="A98" s="1150">
        <v>38</v>
      </c>
      <c r="B98" s="3419"/>
      <c r="C98" s="1150" t="s">
        <v>1578</v>
      </c>
      <c r="D98" s="1064" t="s">
        <v>1579</v>
      </c>
      <c r="E98" s="1135">
        <v>0.2</v>
      </c>
      <c r="F98" s="1150">
        <v>30</v>
      </c>
    </row>
    <row r="99" spans="1:6" s="1101" customFormat="1" ht="36">
      <c r="A99" s="1150">
        <v>39</v>
      </c>
      <c r="B99" s="3419" t="s">
        <v>1580</v>
      </c>
      <c r="C99" s="1150" t="s">
        <v>1581</v>
      </c>
      <c r="D99" s="1064" t="s">
        <v>1582</v>
      </c>
      <c r="E99" s="1135">
        <v>0.3</v>
      </c>
      <c r="F99" s="1150">
        <v>50</v>
      </c>
    </row>
    <row r="100" spans="1:6" s="1101" customFormat="1" ht="24">
      <c r="A100" s="1150">
        <v>40</v>
      </c>
      <c r="B100" s="3419"/>
      <c r="C100" s="1150" t="s">
        <v>1583</v>
      </c>
      <c r="D100" s="1064" t="s">
        <v>1584</v>
      </c>
      <c r="E100" s="1135">
        <v>0.2</v>
      </c>
      <c r="F100" s="1150">
        <v>30</v>
      </c>
    </row>
    <row r="101" spans="1:6" s="1101" customFormat="1" ht="36">
      <c r="A101" s="1150">
        <v>41</v>
      </c>
      <c r="B101" s="341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9" t="s">
        <v>1595</v>
      </c>
      <c r="C105" s="1150" t="s">
        <v>1596</v>
      </c>
      <c r="D105" s="1064" t="s">
        <v>1597</v>
      </c>
      <c r="E105" s="1135">
        <v>0.2</v>
      </c>
      <c r="F105" s="1150">
        <v>30</v>
      </c>
    </row>
    <row r="106" spans="1:6" s="1101" customFormat="1" ht="36">
      <c r="A106" s="1150">
        <v>46</v>
      </c>
      <c r="B106" s="3419"/>
      <c r="C106" s="1150" t="s">
        <v>1598</v>
      </c>
      <c r="D106" s="1064" t="s">
        <v>1599</v>
      </c>
      <c r="E106" s="1135">
        <v>0.2</v>
      </c>
      <c r="F106" s="1150">
        <v>30</v>
      </c>
    </row>
    <row r="107" spans="1:6" s="1101" customFormat="1" ht="36">
      <c r="A107" s="1150">
        <v>47</v>
      </c>
      <c r="B107" s="3419" t="s">
        <v>1600</v>
      </c>
      <c r="C107" s="1150" t="s">
        <v>1601</v>
      </c>
      <c r="D107" s="1064" t="s">
        <v>1602</v>
      </c>
      <c r="E107" s="1135">
        <v>0.3</v>
      </c>
      <c r="F107" s="1150">
        <v>50</v>
      </c>
    </row>
    <row r="108" spans="1:6" s="1101" customFormat="1" ht="36">
      <c r="A108" s="1150">
        <v>48</v>
      </c>
      <c r="B108" s="341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9" t="s">
        <v>1611</v>
      </c>
      <c r="C111" s="1150" t="s">
        <v>1612</v>
      </c>
      <c r="D111" s="1064" t="s">
        <v>1613</v>
      </c>
      <c r="E111" s="1135">
        <v>0.2</v>
      </c>
      <c r="F111" s="1150">
        <v>30</v>
      </c>
    </row>
    <row r="112" spans="1:6" s="1101" customFormat="1" ht="24">
      <c r="A112" s="1150">
        <v>52</v>
      </c>
      <c r="B112" s="3419"/>
      <c r="C112" s="1150" t="s">
        <v>1614</v>
      </c>
      <c r="D112" s="1064" t="s">
        <v>1615</v>
      </c>
      <c r="E112" s="1135">
        <v>0.2</v>
      </c>
      <c r="F112" s="1150">
        <v>30</v>
      </c>
    </row>
    <row r="113" spans="1:14" s="1101" customFormat="1" ht="24">
      <c r="A113" s="1150">
        <v>53</v>
      </c>
      <c r="B113" s="341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9" t="s">
        <v>1624</v>
      </c>
      <c r="C116" s="1150" t="s">
        <v>1625</v>
      </c>
      <c r="D116" s="1064" t="s">
        <v>1626</v>
      </c>
      <c r="E116" s="1135">
        <v>0.2</v>
      </c>
      <c r="F116" s="1150">
        <v>30</v>
      </c>
    </row>
    <row r="117" spans="1:14" ht="36">
      <c r="A117" s="1150">
        <v>57</v>
      </c>
      <c r="B117" s="341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8" t="s">
        <v>1633</v>
      </c>
      <c r="B121" s="3418"/>
      <c r="C121" s="3418"/>
      <c r="D121" s="3418"/>
      <c r="E121" s="3418"/>
      <c r="F121" s="3418"/>
      <c r="G121" s="3418"/>
      <c r="H121" s="3418"/>
      <c r="I121" s="3418"/>
      <c r="J121" s="341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3" t="s">
        <v>1039</v>
      </c>
      <c r="B1" s="3423"/>
      <c r="C1" s="3423"/>
      <c r="D1" s="3423"/>
      <c r="E1" s="3423"/>
      <c r="F1" s="342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4" t="s">
        <v>1052</v>
      </c>
      <c r="B2" s="3424"/>
      <c r="C2" s="3424"/>
      <c r="D2" s="3424"/>
      <c r="E2" s="3424"/>
      <c r="F2" s="342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27" t="s">
        <v>2079</v>
      </c>
      <c r="B1" s="3427"/>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5" t="s">
        <v>2576</v>
      </c>
      <c r="C1" s="3435"/>
      <c r="D1" s="3435"/>
      <c r="E1" s="3435"/>
      <c r="F1" s="3435"/>
      <c r="G1" s="3434" t="s">
        <v>2577</v>
      </c>
      <c r="H1" s="3434"/>
      <c r="I1" s="3434"/>
      <c r="J1" s="3434"/>
      <c r="K1" s="3434"/>
      <c r="L1" s="3434"/>
      <c r="N1" s="3434" t="s">
        <v>2578</v>
      </c>
      <c r="O1" s="3434"/>
      <c r="P1" s="3434"/>
      <c r="Q1" s="3434"/>
      <c r="R1" s="2619"/>
      <c r="S1" s="3434" t="s">
        <v>2579</v>
      </c>
      <c r="T1" s="3434"/>
      <c r="U1" s="3434"/>
      <c r="V1" s="3434"/>
      <c r="X1" s="3433" t="s">
        <v>2639</v>
      </c>
      <c r="Y1" s="3434"/>
      <c r="Z1" s="3434"/>
      <c r="AA1" s="3434"/>
      <c r="AB1" s="3434"/>
      <c r="AD1" s="3433" t="s">
        <v>2643</v>
      </c>
      <c r="AE1" s="3434"/>
      <c r="AF1" s="3434"/>
      <c r="AG1" s="3434"/>
      <c r="AH1" s="3434"/>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29">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2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2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3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2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2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2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3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2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2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2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2"/>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1">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2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2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2"/>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1">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2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2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2"/>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3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3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1">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2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2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32"/>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1">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2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2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2">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1">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2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2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2">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1">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2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2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2">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1">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2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2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2">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1">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2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2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2">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1">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2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2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2">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1">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2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2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2">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1">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2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2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2">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1">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29">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29">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32">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1">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29">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29">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32">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0" t="s">
        <v>2463</v>
      </c>
      <c r="C8" s="1811">
        <f ca="1">ROUND(F8*F10*F9*(1-F11)/10000,0)</f>
        <v>0</v>
      </c>
      <c r="D8" s="1808" t="s">
        <v>2534</v>
      </c>
      <c r="E8" s="61" t="s">
        <v>637</v>
      </c>
      <c r="F8" s="785">
        <f ca="1">INDIRECT("'数据-取费表'!u"&amp;$G$1)</f>
        <v>0</v>
      </c>
      <c r="G8" s="1579"/>
      <c r="H8" s="2469" t="s">
        <v>1824</v>
      </c>
      <c r="I8" s="3440" t="s">
        <v>2463</v>
      </c>
      <c r="J8" s="783">
        <f ca="1">ROUND(M8*M10*M9*(1-M11)/10000,0)</f>
        <v>0</v>
      </c>
      <c r="K8" s="341" t="s">
        <v>2534</v>
      </c>
      <c r="L8" s="784" t="s">
        <v>1738</v>
      </c>
      <c r="M8" s="785">
        <f ca="1">INDIRECT("'数据-取费表'!z"&amp;$G$1)</f>
        <v>0</v>
      </c>
    </row>
    <row r="9" spans="1:25" ht="18" customHeight="1">
      <c r="A9" s="2465"/>
      <c r="B9" s="3441"/>
      <c r="C9" s="1812"/>
      <c r="D9" s="1809"/>
      <c r="E9" s="61" t="s">
        <v>638</v>
      </c>
      <c r="F9" s="785">
        <f ca="1">IF(INDIRECT("'数据-取费表'!ah"&amp;$G$1)="",INDIRECT("'数据-取费表'!k"&amp;$G$1),INDIRECT("'数据-取费表'!ah"&amp;$G$1))</f>
        <v>0</v>
      </c>
      <c r="G9" s="1579"/>
      <c r="H9" s="2454"/>
      <c r="I9" s="3441"/>
      <c r="J9" s="788"/>
      <c r="K9" s="789"/>
      <c r="L9" s="784" t="s">
        <v>1739</v>
      </c>
      <c r="M9" s="785">
        <f ca="1">F9</f>
        <v>0</v>
      </c>
    </row>
    <row r="10" spans="1:25" ht="18" customHeight="1">
      <c r="A10" s="2458"/>
      <c r="B10" s="3442"/>
      <c r="C10" s="1812"/>
      <c r="D10" s="1809"/>
      <c r="E10" s="61" t="s">
        <v>639</v>
      </c>
      <c r="F10" s="785">
        <f ca="1">INDIRECT("'数据-取费表'!ai"&amp;$G$1)</f>
        <v>0</v>
      </c>
      <c r="G10" s="1579"/>
      <c r="H10" s="2454"/>
      <c r="I10" s="3442"/>
      <c r="J10" s="788"/>
      <c r="K10" s="789"/>
      <c r="L10" s="784" t="s">
        <v>1740</v>
      </c>
      <c r="M10" s="785">
        <f ca="1">INDIRECT("'数据-取费表'!ai"&amp;$G$1)</f>
        <v>0</v>
      </c>
    </row>
    <row r="11" spans="1:25" ht="18" customHeight="1">
      <c r="A11" s="786"/>
      <c r="B11" s="3443"/>
      <c r="C11" s="1812"/>
      <c r="D11" s="1809"/>
      <c r="E11" s="61" t="s">
        <v>640</v>
      </c>
      <c r="F11" s="794">
        <f ca="1">INDIRECT("'数据-取费表'!w"&amp;$G$1)</f>
        <v>0</v>
      </c>
      <c r="G11" s="1579"/>
      <c r="H11" s="2470"/>
      <c r="I11" s="3442"/>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39"/>
      <c r="J36" s="2065"/>
      <c r="K36" s="2066"/>
      <c r="L36" s="2065"/>
      <c r="M36" s="2065"/>
    </row>
    <row r="37" spans="1:18" ht="18" customHeight="1">
      <c r="A37" s="815"/>
      <c r="B37" s="793"/>
      <c r="C37" s="69"/>
      <c r="D37" s="816"/>
      <c r="E37" s="784" t="s">
        <v>674</v>
      </c>
      <c r="F37" s="785">
        <f ca="1">INDIRECT("'数据-取费表'!r"&amp;$G$1)</f>
        <v>0</v>
      </c>
      <c r="G37" s="2048"/>
      <c r="H37" s="2051"/>
      <c r="I37" s="343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-2</v>
      </c>
      <c r="K54" s="3444"/>
      <c r="L54" s="3445"/>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受贵公司委托，我公司对北京市大兴区西红门镇3号地出让国有建设用地使用权市场价格进行了预评估。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43861.49平方米。根据《建设工程规划许可证》[]、《出让合同》[]，估价对象规划建筑面积为117266.29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2019年4月22日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根据《国有土地使用证》[]，估价对象（分摊）出让国有建设用地使用权面积为43861.49平方米。根据《建设工程规划许可证》[]、《出让合同》[]，估价对象规划建筑面积为117266.29平方米。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4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33" sqref="F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923</v>
      </c>
      <c r="D1" s="3078" t="s">
        <v>952</v>
      </c>
      <c r="E1" s="2352" t="s">
        <v>2374</v>
      </c>
      <c r="F1" s="2353">
        <f ca="1">J53</f>
        <v>40</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97246</v>
      </c>
      <c r="C2" s="2043"/>
      <c r="D2" s="2041"/>
      <c r="E2" s="2042"/>
      <c r="F2" s="2042"/>
      <c r="G2" s="1577"/>
      <c r="H2" s="2043"/>
      <c r="I2" s="2043"/>
      <c r="J2" s="2043"/>
      <c r="K2" s="2044"/>
      <c r="L2" s="2043"/>
      <c r="M2" s="2043"/>
    </row>
    <row r="3" spans="1:33" ht="18" customHeight="1" thickBot="1">
      <c r="A3" s="833" t="s">
        <v>1727</v>
      </c>
      <c r="B3" s="834">
        <f ca="1">IF(ISERROR(B2*10000/F43),0,ROUND(B2*10000/F43,0))</f>
        <v>11087</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3011</v>
      </c>
      <c r="D5" s="2461" t="s">
        <v>2461</v>
      </c>
      <c r="E5" s="2455"/>
      <c r="F5" s="2456"/>
      <c r="G5" s="1579"/>
      <c r="H5" s="781">
        <v>1</v>
      </c>
      <c r="I5" s="782" t="s">
        <v>2458</v>
      </c>
      <c r="J5" s="55">
        <f ca="1">J6+J10+J12</f>
        <v>0</v>
      </c>
      <c r="K5" s="2461" t="s">
        <v>2461</v>
      </c>
      <c r="L5" s="2455"/>
      <c r="M5" s="2456"/>
    </row>
    <row r="6" spans="1:33" ht="18" customHeight="1">
      <c r="A6" s="1816" t="s">
        <v>1824</v>
      </c>
      <c r="B6" s="3440" t="s">
        <v>2463</v>
      </c>
      <c r="C6" s="783">
        <f ca="1">ROUND(F6*F8*F7*(1-F9)/10000,0)</f>
        <v>3000</v>
      </c>
      <c r="D6" s="2462" t="s">
        <v>2462</v>
      </c>
      <c r="E6" s="784" t="s">
        <v>1738</v>
      </c>
      <c r="F6" s="785">
        <f ca="1">INDIRECT("'数据-取费表'!u"&amp;$G$1)</f>
        <v>30</v>
      </c>
      <c r="G6" s="1579"/>
      <c r="H6" s="2469" t="s">
        <v>2468</v>
      </c>
      <c r="I6" s="3440" t="s">
        <v>2463</v>
      </c>
      <c r="J6" s="783">
        <f ca="1">ROUND(M6*M8*M7*(1-M9)/10000,0)</f>
        <v>0</v>
      </c>
      <c r="K6" s="341" t="s">
        <v>1737</v>
      </c>
      <c r="L6" s="784" t="s">
        <v>1738</v>
      </c>
      <c r="M6" s="785">
        <f ca="1">INDIRECT("'数据-取费表'!z"&amp;$G$1)</f>
        <v>0</v>
      </c>
    </row>
    <row r="7" spans="1:33" ht="18" customHeight="1">
      <c r="A7" s="2465"/>
      <c r="B7" s="3441"/>
      <c r="C7" s="788"/>
      <c r="D7" s="789"/>
      <c r="E7" s="784" t="s">
        <v>1739</v>
      </c>
      <c r="F7" s="785">
        <f ca="1">IF(INDIRECT("'数据-取费表'!ah"&amp;$G$1)="",INDIRECT("'数据-取费表'!k"&amp;$G$1),INDIRECT("'数据-取费表'!ah"&amp;$G$1))</f>
        <v>87711.97</v>
      </c>
      <c r="G7" s="1579"/>
      <c r="H7" s="2454"/>
      <c r="I7" s="3441"/>
      <c r="J7" s="788"/>
      <c r="K7" s="789"/>
      <c r="L7" s="784" t="s">
        <v>1739</v>
      </c>
      <c r="M7" s="785">
        <f ca="1">F7</f>
        <v>87711.97</v>
      </c>
    </row>
    <row r="8" spans="1:33" ht="18" customHeight="1">
      <c r="A8" s="2458"/>
      <c r="B8" s="3442"/>
      <c r="C8" s="788"/>
      <c r="D8" s="789"/>
      <c r="E8" s="784" t="s">
        <v>1740</v>
      </c>
      <c r="F8" s="785">
        <f ca="1">INDIRECT("'数据-取费表'!ai"&amp;$G$1)</f>
        <v>12</v>
      </c>
      <c r="G8" s="1579"/>
      <c r="H8" s="2454"/>
      <c r="I8" s="3442"/>
      <c r="J8" s="788"/>
      <c r="K8" s="789"/>
      <c r="L8" s="784" t="s">
        <v>1740</v>
      </c>
      <c r="M8" s="785">
        <f ca="1">INDIRECT("'数据-取费表'!ai"&amp;$G$1)</f>
        <v>12</v>
      </c>
    </row>
    <row r="9" spans="1:33" ht="18" customHeight="1">
      <c r="A9" s="786"/>
      <c r="B9" s="3443"/>
      <c r="C9" s="788"/>
      <c r="D9" s="789"/>
      <c r="E9" s="784" t="s">
        <v>1741</v>
      </c>
      <c r="F9" s="794">
        <f ca="1">INDIRECT("'数据-取费表'!w"&amp;$G$1)</f>
        <v>0.05</v>
      </c>
      <c r="G9" s="1579"/>
      <c r="H9" s="2470"/>
      <c r="I9" s="3442"/>
      <c r="J9" s="788"/>
      <c r="K9" s="789"/>
      <c r="L9" s="795" t="s">
        <v>1741</v>
      </c>
      <c r="M9" s="796">
        <f ca="1">INDIRECT("'数据-取费表'!ab"&amp;$G$1)</f>
        <v>0</v>
      </c>
    </row>
    <row r="10" spans="1:33" ht="18" customHeight="1">
      <c r="A10" s="1816" t="s">
        <v>2466</v>
      </c>
      <c r="B10" s="2459" t="s">
        <v>2459</v>
      </c>
      <c r="C10" s="799">
        <f ca="1">ROUND(IF(F10="押一",C6/12*F11,IF(F10="押二",C6/12*2*F11,IF(F10="押三",C6/12*3*F11,C11*F11))),0)</f>
        <v>11</v>
      </c>
      <c r="D10" s="2466" t="s">
        <v>2976</v>
      </c>
      <c r="E10" s="2463" t="s">
        <v>2464</v>
      </c>
      <c r="F10" s="2586" t="s">
        <v>3143</v>
      </c>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41140</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30470</v>
      </c>
      <c r="D14" s="1965" t="s">
        <v>1745</v>
      </c>
      <c r="E14" s="1966"/>
      <c r="F14" s="805"/>
      <c r="G14" s="1579"/>
      <c r="H14" s="1635" t="s">
        <v>1830</v>
      </c>
      <c r="I14" s="2217" t="s">
        <v>2826</v>
      </c>
      <c r="J14" s="53">
        <f ca="1">C29</f>
        <v>41140</v>
      </c>
      <c r="K14" s="26"/>
      <c r="L14" s="801"/>
      <c r="M14" s="802"/>
    </row>
    <row r="15" spans="1:33" s="2050" customFormat="1" ht="18" customHeight="1" thickBot="1">
      <c r="A15" s="1634" t="s">
        <v>1885</v>
      </c>
      <c r="B15" s="784" t="s">
        <v>647</v>
      </c>
      <c r="C15" s="53">
        <f ca="1">ROUND(C14*F15,0)</f>
        <v>914</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1228</v>
      </c>
      <c r="D16" s="784" t="s">
        <v>1746</v>
      </c>
      <c r="E16" s="784" t="s">
        <v>1747</v>
      </c>
      <c r="F16" s="809">
        <f ca="1">IF(INDIRECT("'数据-取费表'!c"&amp;$G$1)="住宅",'数据-取费表'!B34,0)</f>
        <v>0.05</v>
      </c>
      <c r="G16" s="1579"/>
      <c r="H16" s="1815" t="s">
        <v>1748</v>
      </c>
      <c r="I16" s="1813" t="s">
        <v>1749</v>
      </c>
      <c r="J16" s="792">
        <f ca="1">ROUND(J17+J22+J23+J24,0)</f>
        <v>552</v>
      </c>
      <c r="K16" s="1807" t="s">
        <v>1750</v>
      </c>
      <c r="L16" s="2451"/>
      <c r="M16" s="2456"/>
    </row>
    <row r="17" spans="1:33" s="2050" customFormat="1" ht="18" customHeight="1">
      <c r="A17" s="1634" t="s">
        <v>1887</v>
      </c>
      <c r="B17" s="784" t="s">
        <v>653</v>
      </c>
      <c r="C17" s="53">
        <f ca="1">ROUND(F17*(F43+INDIRECT("'数据-取费表'!S"&amp;$G$1))/10000,0)</f>
        <v>2345</v>
      </c>
      <c r="D17" s="784" t="s">
        <v>1751</v>
      </c>
      <c r="E17" s="784" t="s">
        <v>1752</v>
      </c>
      <c r="F17" s="56">
        <f>'数据-取费表'!B35</f>
        <v>200</v>
      </c>
      <c r="G17" s="1580"/>
      <c r="H17" s="1635" t="s">
        <v>1830</v>
      </c>
      <c r="I17" s="784" t="s">
        <v>656</v>
      </c>
      <c r="J17" s="53">
        <f ca="1">ROUND(IF(项目基本情况!B11="自然人",J5*M17,J18+J19+J20),0)</f>
        <v>346</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457</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35414</v>
      </c>
      <c r="D19" s="261" t="s">
        <v>1757</v>
      </c>
      <c r="E19" s="1968"/>
      <c r="F19" s="56"/>
      <c r="G19" s="1579"/>
      <c r="H19" s="1634" t="s">
        <v>1885</v>
      </c>
      <c r="I19" s="784" t="s">
        <v>1758</v>
      </c>
      <c r="J19" s="53">
        <f ca="1">IF(K19="按租金收入计税",ROUND(J5*M19,1),ROUND(C29*F33*0.7,1))</f>
        <v>345.6</v>
      </c>
      <c r="K19" s="811" t="s">
        <v>665</v>
      </c>
      <c r="L19" s="784" t="s">
        <v>1747</v>
      </c>
      <c r="M19" s="809">
        <f>IF(K19="按租金收入计税",'数据-取费表'!B51,'数据-取费表'!B50)</f>
        <v>1.2E-2</v>
      </c>
    </row>
    <row r="20" spans="1:33" s="2050" customFormat="1" ht="18" customHeight="1">
      <c r="A20" s="1635" t="s">
        <v>1889</v>
      </c>
      <c r="B20" s="784" t="s">
        <v>666</v>
      </c>
      <c r="C20" s="53">
        <f ca="1">ROUND(C19*F20,0)</f>
        <v>354</v>
      </c>
      <c r="D20" s="812" t="s">
        <v>1759</v>
      </c>
      <c r="E20" s="784" t="s">
        <v>1747</v>
      </c>
      <c r="F20" s="809">
        <f>'数据-取费表'!B37</f>
        <v>0.01</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0.01</v>
      </c>
      <c r="G21" s="1580"/>
      <c r="H21" s="2471"/>
      <c r="I21" s="793"/>
      <c r="J21" s="69"/>
      <c r="K21" s="816"/>
      <c r="L21" s="784" t="s">
        <v>1766</v>
      </c>
      <c r="M21" s="785">
        <f ca="1">INDIRECT("'数据-取费表'!r"&amp;$G$1)</f>
        <v>43861.490000000005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206</v>
      </c>
      <c r="K22" s="2449" t="s">
        <v>1769</v>
      </c>
      <c r="L22" s="784" t="s">
        <v>1747</v>
      </c>
      <c r="M22" s="817">
        <f ca="1">INDIRECT("'数据-取费表'!Ak"&amp;$G$1)</f>
        <v>5.0000000000000001E-3</v>
      </c>
    </row>
    <row r="23" spans="1:33" s="2050" customFormat="1" ht="18" customHeight="1">
      <c r="A23" s="1634" t="s">
        <v>1831</v>
      </c>
      <c r="B23" s="784" t="s">
        <v>2535</v>
      </c>
      <c r="C23" s="53">
        <f ca="1">ROUND(IF('数据-取费表'!B22&lt;=1,(C19+C20)*F24*F23/2,(C19+C20)*(POWER((1+F24),F23/2)-1)),0)</f>
        <v>1699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5.0000000000000001E-3</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-552</v>
      </c>
      <c r="K25" s="2513" t="s">
        <v>1777</v>
      </c>
      <c r="L25" s="2514"/>
      <c r="M25" s="2515"/>
    </row>
    <row r="26" spans="1:33" ht="18" customHeight="1">
      <c r="A26" s="1634" t="s">
        <v>1831</v>
      </c>
      <c r="B26" s="784" t="s">
        <v>2438</v>
      </c>
      <c r="C26" s="53">
        <f ca="1">ROUND((C19+C20)*F26,0)</f>
        <v>1073</v>
      </c>
      <c r="D26" s="812" t="s">
        <v>1778</v>
      </c>
      <c r="E26" s="795" t="s">
        <v>1779</v>
      </c>
      <c r="F26" s="794">
        <f ca="1">INDIRECT("'数据-取费表'!q"&amp;$G$1)</f>
        <v>0.03</v>
      </c>
      <c r="G26" s="1579"/>
      <c r="H26" s="2467" t="s">
        <v>1780</v>
      </c>
      <c r="I26" s="2218" t="s">
        <v>2827</v>
      </c>
      <c r="J26" s="783">
        <f ca="1">IF(J5&lt;&gt;0,ROUND(J25*(1-((1+M28)/(1+M26))^M27)/(M26-M28),0),0)</f>
        <v>0</v>
      </c>
      <c r="K26" s="814" t="s">
        <v>1781</v>
      </c>
      <c r="L26" s="784" t="s">
        <v>2419</v>
      </c>
      <c r="M26" s="794">
        <f ca="1">INDIRECT("'数据-取费表'!I"&amp;$G$1)</f>
        <v>0.03</v>
      </c>
    </row>
    <row r="27" spans="1:33" ht="18" customHeight="1">
      <c r="A27" s="1634" t="s">
        <v>1832</v>
      </c>
      <c r="B27" s="784" t="s">
        <v>686</v>
      </c>
      <c r="C27" s="53">
        <f ca="1">ROUND(F21*F26,4)</f>
        <v>2.9999999999999997E-4</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41140</v>
      </c>
      <c r="D29" s="2510"/>
      <c r="E29" s="2511"/>
      <c r="F29" s="2512"/>
      <c r="G29" s="1580"/>
      <c r="H29" s="823" t="s">
        <v>1787</v>
      </c>
      <c r="I29" s="824" t="s">
        <v>1788</v>
      </c>
      <c r="J29" s="825">
        <f ca="1">ROUND(J26/(1+F40)^F41,0)</f>
        <v>0</v>
      </c>
      <c r="K29" s="826" t="s">
        <v>1789</v>
      </c>
      <c r="L29" s="827"/>
      <c r="M29" s="828">
        <f ca="1">INDIRECT("'数据-取费表'!k"&amp;$G$1)</f>
        <v>87711.97</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262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3144</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43861.490000000005</v>
      </c>
      <c r="G35" s="2048"/>
      <c r="H35" s="2051"/>
      <c r="I35" s="837" t="s">
        <v>1814</v>
      </c>
      <c r="J35" s="838">
        <f ca="1">ROUND(C13*J36,0)</f>
        <v>2057</v>
      </c>
      <c r="K35" s="2064"/>
      <c r="L35" s="2063"/>
      <c r="M35" s="2063"/>
    </row>
    <row r="36" spans="1:18" ht="18" customHeight="1">
      <c r="A36" s="1635" t="s">
        <v>1889</v>
      </c>
      <c r="B36" s="784" t="s">
        <v>1802</v>
      </c>
      <c r="C36" s="53">
        <f ca="1">ROUND(C29*F36,1)</f>
        <v>205.7</v>
      </c>
      <c r="D36" s="1963" t="s">
        <v>1803</v>
      </c>
      <c r="E36" s="784" t="s">
        <v>1796</v>
      </c>
      <c r="F36" s="817">
        <f ca="1">INDIRECT("'数据-取费表'!Ak"&amp;$G$1)</f>
        <v>5.0000000000000001E-3</v>
      </c>
      <c r="G36" s="2048"/>
      <c r="H36" s="2063"/>
      <c r="I36" s="839" t="s">
        <v>1815</v>
      </c>
      <c r="J36" s="840">
        <f ca="1">INDIRECT("'数据-取费表'!j"&amp;$G$1)</f>
        <v>0.05</v>
      </c>
      <c r="K36" s="2068"/>
      <c r="L36" s="2063"/>
      <c r="M36" s="2063"/>
    </row>
    <row r="37" spans="1:18" ht="18" customHeight="1">
      <c r="A37" s="1635" t="s">
        <v>1890</v>
      </c>
      <c r="B37" s="784" t="s">
        <v>679</v>
      </c>
      <c r="C37" s="53">
        <f ca="1">ROUND(C13*F37,1)</f>
        <v>41.1</v>
      </c>
      <c r="D37" s="1963" t="s">
        <v>1804</v>
      </c>
      <c r="E37" s="784" t="s">
        <v>1796</v>
      </c>
      <c r="F37" s="818">
        <f ca="1">INDIRECT("'数据-取费表'!Al"&amp;$G$1)</f>
        <v>1E-3</v>
      </c>
      <c r="G37" s="2048"/>
      <c r="H37" s="2063"/>
      <c r="I37" s="841" t="s">
        <v>1816</v>
      </c>
      <c r="J37" s="842"/>
      <c r="K37" s="2068"/>
      <c r="L37" s="2063"/>
      <c r="M37" s="2063"/>
    </row>
    <row r="38" spans="1:18" ht="18" customHeight="1" thickBot="1">
      <c r="A38" s="2516" t="s">
        <v>1891</v>
      </c>
      <c r="B38" s="2511" t="s">
        <v>666</v>
      </c>
      <c r="C38" s="2509">
        <f ca="1">ROUND(C5*F38,1)</f>
        <v>15.1</v>
      </c>
      <c r="D38" s="2510" t="s">
        <v>1805</v>
      </c>
      <c r="E38" s="2511" t="s">
        <v>1796</v>
      </c>
      <c r="F38" s="2507">
        <f ca="1">INDIRECT("'数据-取费表'!Am"&amp;$G$1)</f>
        <v>5.0000000000000001E-3</v>
      </c>
      <c r="G38" s="2048"/>
      <c r="H38" s="2063"/>
      <c r="I38" s="843" t="s">
        <v>1817</v>
      </c>
      <c r="J38" s="844"/>
      <c r="K38" s="2069"/>
      <c r="L38" s="2063"/>
      <c r="M38" s="2063"/>
    </row>
    <row r="39" spans="1:18" ht="24.6" customHeight="1" thickTop="1">
      <c r="A39" s="1815" t="s">
        <v>1894</v>
      </c>
      <c r="B39" s="2963" t="s">
        <v>2822</v>
      </c>
      <c r="C39" s="792">
        <f ca="1">C5-C30</f>
        <v>2749</v>
      </c>
      <c r="D39" s="2513" t="s">
        <v>1806</v>
      </c>
      <c r="E39" s="2514"/>
      <c r="F39" s="2515"/>
      <c r="G39" s="2048"/>
      <c r="H39" s="2063"/>
      <c r="I39" s="837" t="s">
        <v>1818</v>
      </c>
      <c r="J39" s="845">
        <f ca="1">ROUND(J35/C39,3)</f>
        <v>0.748</v>
      </c>
      <c r="K39" s="2069"/>
      <c r="L39" s="2063"/>
      <c r="M39" s="2063"/>
    </row>
    <row r="40" spans="1:18" ht="18" customHeight="1">
      <c r="A40" s="781" t="s">
        <v>1895</v>
      </c>
      <c r="B40" s="2218" t="s">
        <v>2301</v>
      </c>
      <c r="C40" s="783">
        <f ca="1">ROUND(C39*(1-((1+F42)/(1+F40))^F41)/(F40-F42),0)</f>
        <v>97246</v>
      </c>
      <c r="D40" s="814" t="s">
        <v>1807</v>
      </c>
      <c r="E40" s="784" t="s">
        <v>2419</v>
      </c>
      <c r="F40" s="794">
        <f ca="1">INDIRECT("'数据-取费表'!I"&amp;$G$1)</f>
        <v>0.03</v>
      </c>
      <c r="G40" s="2048"/>
      <c r="H40" s="2048"/>
      <c r="I40" s="837" t="s">
        <v>1819</v>
      </c>
      <c r="J40" s="845">
        <f ca="1">1-J39</f>
        <v>0.252</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0.42299999999999999</v>
      </c>
      <c r="K42" s="2068"/>
      <c r="L42" s="1974"/>
      <c r="M42" s="1974"/>
    </row>
    <row r="43" spans="1:18" ht="18" customHeight="1" thickBot="1">
      <c r="A43" s="823" t="s">
        <v>1787</v>
      </c>
      <c r="B43" s="824" t="s">
        <v>1810</v>
      </c>
      <c r="C43" s="825">
        <f ca="1">ROUND(C40*10000/F43,0)</f>
        <v>11087</v>
      </c>
      <c r="D43" s="826" t="s">
        <v>1811</v>
      </c>
      <c r="E43" s="827" t="s">
        <v>1812</v>
      </c>
      <c r="F43" s="828">
        <f ca="1">INDIRECT("'数据-取费表'!k"&amp;$G$1)</f>
        <v>87711.97</v>
      </c>
      <c r="G43" s="2048"/>
      <c r="H43" s="1974"/>
      <c r="I43" s="847" t="s">
        <v>1822</v>
      </c>
      <c r="J43" s="848">
        <f ca="1">1-J42</f>
        <v>0.57699999999999996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-102955</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40</v>
      </c>
      <c r="M47" s="1590" t="str">
        <f>IF(ISNUMBER(FIND("住宅",C1)),"住宅","非住宅")</f>
        <v>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40</v>
      </c>
      <c r="O48" s="2363" t="s">
        <v>2379</v>
      </c>
      <c r="P48" s="2364" t="s">
        <v>2405</v>
      </c>
      <c r="Q48" s="2365">
        <f ca="1">C40+J29</f>
        <v>97246</v>
      </c>
      <c r="R48" s="2364" t="s">
        <v>2380</v>
      </c>
    </row>
    <row r="49" spans="1:18" s="2045" customFormat="1" ht="18" customHeight="1" thickBot="1">
      <c r="A49" s="786"/>
      <c r="B49" s="787"/>
      <c r="C49" s="788"/>
      <c r="D49" s="789"/>
      <c r="E49" s="784" t="s">
        <v>1739</v>
      </c>
      <c r="F49" s="785">
        <f ca="1">F7</f>
        <v>87711.97</v>
      </c>
      <c r="G49" s="2076"/>
      <c r="H49" s="2079"/>
      <c r="I49" s="3079" t="s">
        <v>2346</v>
      </c>
      <c r="J49" s="2348"/>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12</v>
      </c>
      <c r="G50" s="2081"/>
      <c r="H50" s="2079"/>
      <c r="I50" s="3079" t="s">
        <v>2347</v>
      </c>
      <c r="J50" s="3104">
        <f>SUMPRODUCT((I63:I65=J47)*(J62:L62=J48)*(J63:L65))</f>
        <v>0</v>
      </c>
      <c r="K50" s="3109" t="s">
        <v>2353</v>
      </c>
      <c r="L50" s="2349"/>
      <c r="O50" s="2366" t="s">
        <v>2383</v>
      </c>
      <c r="P50" s="2364" t="s">
        <v>2407</v>
      </c>
      <c r="Q50" s="2365">
        <f ca="1">C29</f>
        <v>41140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15995</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40</v>
      </c>
      <c r="K53" s="3446" t="s">
        <v>2968</v>
      </c>
      <c r="L53" s="3447"/>
      <c r="O53" s="2366" t="s">
        <v>2388</v>
      </c>
      <c r="P53" s="2364" t="s">
        <v>2389</v>
      </c>
      <c r="Q53" s="2365">
        <f ca="1">J53</f>
        <v>40</v>
      </c>
      <c r="R53" s="2364" t="s">
        <v>2390</v>
      </c>
    </row>
    <row r="54" spans="1:18" s="2045" customFormat="1" ht="18" customHeight="1" thickBot="1">
      <c r="A54" s="2502" t="s">
        <v>2467</v>
      </c>
      <c r="B54" s="2503" t="s">
        <v>2460</v>
      </c>
      <c r="C54" s="2504"/>
      <c r="D54" s="2466"/>
      <c r="E54" s="2463"/>
      <c r="F54" s="800"/>
      <c r="I54" s="20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2"/>
      <c r="O54" s="2363" t="s">
        <v>2391</v>
      </c>
      <c r="P54" s="2364" t="s">
        <v>2408</v>
      </c>
      <c r="Q54" s="2365">
        <f ca="1">Q48+Q49</f>
        <v>97246</v>
      </c>
      <c r="R54" s="2368" t="s">
        <v>2392</v>
      </c>
    </row>
    <row r="55" spans="1:18" s="2045" customFormat="1" ht="18" customHeight="1" thickTop="1" thickBot="1">
      <c r="A55" s="797">
        <v>2</v>
      </c>
      <c r="B55" s="798" t="s">
        <v>644</v>
      </c>
      <c r="C55" s="799">
        <f ca="1">C13</f>
        <v>41140</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41140</v>
      </c>
      <c r="D56" s="2604"/>
      <c r="E56" s="784"/>
      <c r="F56" s="809"/>
      <c r="I56" s="3117" t="s">
        <v>2357</v>
      </c>
      <c r="J56" s="3127"/>
      <c r="K56" s="3079" t="s">
        <v>2362</v>
      </c>
      <c r="L56" s="1894">
        <f ca="1">IF(L48&lt;J51,"——",L48-J51)</f>
        <v>40</v>
      </c>
      <c r="O56" s="2360" t="s">
        <v>2375</v>
      </c>
      <c r="P56" s="2361" t="s">
        <v>2376</v>
      </c>
      <c r="Q56" s="2362" t="s">
        <v>2377</v>
      </c>
      <c r="R56" s="2361" t="s">
        <v>2378</v>
      </c>
    </row>
    <row r="57" spans="1:18" s="2045" customFormat="1" ht="28.5" customHeight="1" thickBot="1">
      <c r="A57" s="797" t="s">
        <v>1748</v>
      </c>
      <c r="B57" s="798" t="s">
        <v>651</v>
      </c>
      <c r="C57" s="799">
        <f ca="1">ROUND(C58+C63+C64+C65,0)</f>
        <v>247</v>
      </c>
      <c r="D57" s="26" t="s">
        <v>1750</v>
      </c>
      <c r="E57" s="2605"/>
      <c r="F57" s="56"/>
      <c r="I57" s="3118" t="s">
        <v>2358</v>
      </c>
      <c r="J57" s="3119" t="str">
        <f ca="1">IF(OR(M47="住宅",J51&lt;L48,J56="是"),"——",J51-L48)</f>
        <v>——</v>
      </c>
      <c r="K57" s="3079" t="s">
        <v>2363</v>
      </c>
      <c r="L57" s="1894">
        <f ca="1">IF(L48&lt;J51,"——",IF(L55="比较法",L49,IF(L55="基准地价",L50,L51)))</f>
        <v>15995</v>
      </c>
      <c r="O57" s="2363" t="s">
        <v>2379</v>
      </c>
      <c r="P57" s="2364" t="s">
        <v>2409</v>
      </c>
      <c r="Q57" s="2365">
        <f ca="1">C40+J29</f>
        <v>97246</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按票据</v>
      </c>
      <c r="E60" s="784" t="s">
        <v>1747</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43861.490000000005</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205.7</v>
      </c>
      <c r="D63" s="2604" t="s">
        <v>1803</v>
      </c>
      <c r="E63" s="784" t="s">
        <v>1747</v>
      </c>
      <c r="F63" s="817">
        <f t="shared" ca="1" si="0"/>
        <v>5.0000000000000001E-3</v>
      </c>
      <c r="I63" s="3123" t="s">
        <v>2370</v>
      </c>
      <c r="J63" s="3124">
        <v>70</v>
      </c>
      <c r="K63" s="3124">
        <v>50</v>
      </c>
      <c r="L63" s="3124">
        <v>80</v>
      </c>
      <c r="M63" s="3126">
        <v>0.02</v>
      </c>
      <c r="O63" s="2363" t="s">
        <v>2391</v>
      </c>
      <c r="P63" s="2364" t="s">
        <v>2408</v>
      </c>
      <c r="Q63" s="2365">
        <f ca="1">Q57+Q58</f>
        <v>97246</v>
      </c>
      <c r="R63" s="2368" t="s">
        <v>2392</v>
      </c>
    </row>
    <row r="64" spans="1:18" s="2045" customFormat="1" ht="16.5" thickBot="1">
      <c r="A64" s="1635" t="s">
        <v>1890</v>
      </c>
      <c r="B64" s="784" t="s">
        <v>679</v>
      </c>
      <c r="C64" s="53">
        <f ca="1">ROUND(C55*F64,1)</f>
        <v>41.1</v>
      </c>
      <c r="D64" s="2604" t="s">
        <v>680</v>
      </c>
      <c r="E64" s="784" t="s">
        <v>1747</v>
      </c>
      <c r="F64" s="818">
        <f t="shared" ca="1" si="0"/>
        <v>1E-3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5.0000000000000001E-3</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-247</v>
      </c>
      <c r="D66" s="2603" t="s">
        <v>700</v>
      </c>
      <c r="E66" s="2602"/>
      <c r="F66" s="820"/>
      <c r="K66" s="2072"/>
      <c r="O66" s="2363" t="s">
        <v>2379</v>
      </c>
      <c r="P66" s="2364" t="s">
        <v>2409</v>
      </c>
      <c r="Q66" s="2365">
        <f ca="1">C40+J29</f>
        <v>97246</v>
      </c>
      <c r="R66" s="2364" t="s">
        <v>2380</v>
      </c>
    </row>
    <row r="67" spans="1:18" s="2045" customFormat="1" ht="20.25" thickBot="1">
      <c r="A67" s="781" t="s">
        <v>1780</v>
      </c>
      <c r="B67" s="2218" t="s">
        <v>2301</v>
      </c>
      <c r="C67" s="783">
        <f ca="1">ROUND(C66*(1-((1+F69)/(1+F67))^F68)/(F67-F69),0)</f>
        <v>-5709</v>
      </c>
      <c r="D67" s="814" t="s">
        <v>704</v>
      </c>
      <c r="E67" s="784" t="s">
        <v>705</v>
      </c>
      <c r="F67" s="794">
        <f ca="1">F40</f>
        <v>0.03</v>
      </c>
      <c r="K67" s="2072"/>
      <c r="O67" s="2363" t="s">
        <v>2381</v>
      </c>
      <c r="P67" s="2364" t="s">
        <v>2412</v>
      </c>
      <c r="Q67" s="2365">
        <f ca="1">L60</f>
        <v>0</v>
      </c>
      <c r="R67" s="2368" t="s">
        <v>2414</v>
      </c>
    </row>
    <row r="68" spans="1:18" ht="21.75" thickBot="1">
      <c r="A68" s="786"/>
      <c r="B68" s="787"/>
      <c r="C68" s="788"/>
      <c r="D68" s="821" t="s">
        <v>1808</v>
      </c>
      <c r="E68" s="784" t="s">
        <v>1784</v>
      </c>
      <c r="F68" s="822">
        <f ca="1">F41</f>
        <v>40</v>
      </c>
      <c r="O68" s="2366" t="s">
        <v>2383</v>
      </c>
      <c r="P68" s="2364" t="s">
        <v>2413</v>
      </c>
      <c r="Q68" s="2370">
        <f ca="1">L51</f>
        <v>15995</v>
      </c>
      <c r="R68" s="2371" t="s">
        <v>2416</v>
      </c>
    </row>
    <row r="69" spans="1:18" ht="20.25" thickBot="1">
      <c r="A69" s="790"/>
      <c r="B69" s="791"/>
      <c r="C69" s="792"/>
      <c r="D69" s="816"/>
      <c r="E69" s="784" t="s">
        <v>710</v>
      </c>
      <c r="F69" s="2336"/>
      <c r="O69" s="2366" t="s">
        <v>2384</v>
      </c>
      <c r="P69" s="2372" t="s">
        <v>2398</v>
      </c>
      <c r="Q69" s="2365">
        <f ca="1">ROUND(Q70-Q71*Q72,0)</f>
        <v>692</v>
      </c>
      <c r="R69" s="2368"/>
    </row>
    <row r="70" spans="1:18" ht="15.75" thickBot="1">
      <c r="A70" s="823" t="s">
        <v>1787</v>
      </c>
      <c r="B70" s="824" t="s">
        <v>1810</v>
      </c>
      <c r="C70" s="825">
        <f ca="1">ROUND(C67*10000/F70,0)</f>
        <v>-651</v>
      </c>
      <c r="D70" s="826" t="s">
        <v>1811</v>
      </c>
      <c r="E70" s="827" t="s">
        <v>1812</v>
      </c>
      <c r="F70" s="828">
        <f ca="1">F43</f>
        <v>87711.97</v>
      </c>
      <c r="O70" s="2366" t="s">
        <v>2399</v>
      </c>
      <c r="P70" s="2372" t="s">
        <v>2400</v>
      </c>
      <c r="Q70" s="2365">
        <f ca="1">C39</f>
        <v>2749</v>
      </c>
      <c r="R70" s="2364" t="s">
        <v>2380</v>
      </c>
    </row>
    <row r="71" spans="1:18" ht="15.75" thickBot="1">
      <c r="O71" s="2366" t="s">
        <v>2401</v>
      </c>
      <c r="P71" s="2372" t="s">
        <v>2402</v>
      </c>
      <c r="Q71" s="2365">
        <f ca="1">C13</f>
        <v>41140</v>
      </c>
      <c r="R71" s="2364" t="s">
        <v>2380</v>
      </c>
    </row>
    <row r="72" spans="1:18" ht="15.75" thickBot="1">
      <c r="O72" s="2366" t="s">
        <v>2403</v>
      </c>
      <c r="P72" s="2372" t="s">
        <v>2404</v>
      </c>
      <c r="Q72" s="2367">
        <f ca="1">J36</f>
        <v>0.05</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97246</v>
      </c>
      <c r="R76" s="2368" t="s">
        <v>2392</v>
      </c>
    </row>
  </sheetData>
  <sheetProtection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2471</v>
      </c>
      <c r="B1" s="3449"/>
      <c r="C1" s="3450"/>
      <c r="D1" s="3451">
        <f>SUM(I10,I15,I20,I21,I23)</f>
        <v>0</v>
      </c>
      <c r="E1" s="3451"/>
      <c r="F1" s="3451"/>
      <c r="G1" s="3451"/>
      <c r="H1" s="3451"/>
      <c r="I1" s="3452"/>
    </row>
    <row r="2" spans="1:9">
      <c r="A2" s="3453" t="s">
        <v>2472</v>
      </c>
      <c r="B2" s="3454" t="s">
        <v>2473</v>
      </c>
      <c r="C2" s="3454"/>
      <c r="D2" s="2472" t="s">
        <v>2474</v>
      </c>
      <c r="E2" s="2472" t="s">
        <v>2475</v>
      </c>
      <c r="F2" s="2472" t="s">
        <v>2476</v>
      </c>
      <c r="G2" s="2472" t="s">
        <v>2477</v>
      </c>
      <c r="H2" s="2472" t="s">
        <v>2478</v>
      </c>
      <c r="I2" s="2473" t="s">
        <v>2479</v>
      </c>
    </row>
    <row r="3" spans="1:9">
      <c r="A3" s="3453"/>
      <c r="B3" s="3454" t="s">
        <v>2480</v>
      </c>
      <c r="C3" s="3454"/>
      <c r="D3" s="2474"/>
      <c r="E3" s="2472"/>
      <c r="F3" s="2475"/>
      <c r="G3" s="2475"/>
      <c r="H3" s="2476"/>
      <c r="I3" s="2477">
        <f>ROUND(D3*E3*F3*G3*H3/10000,0)</f>
        <v>0</v>
      </c>
    </row>
    <row r="4" spans="1:9">
      <c r="A4" s="3453"/>
      <c r="B4" s="3454" t="s">
        <v>2481</v>
      </c>
      <c r="C4" s="3454"/>
      <c r="D4" s="2474"/>
      <c r="E4" s="2472"/>
      <c r="F4" s="2475"/>
      <c r="G4" s="2475"/>
      <c r="H4" s="2476"/>
      <c r="I4" s="2477">
        <f t="shared" ref="I4:I9" si="0">ROUND(D4*E4*F4*G4*H4/10000,0)</f>
        <v>0</v>
      </c>
    </row>
    <row r="5" spans="1:9">
      <c r="A5" s="3453"/>
      <c r="B5" s="3454" t="s">
        <v>2482</v>
      </c>
      <c r="C5" s="3454"/>
      <c r="D5" s="2474"/>
      <c r="E5" s="2472"/>
      <c r="F5" s="2475"/>
      <c r="G5" s="2475"/>
      <c r="H5" s="2476"/>
      <c r="I5" s="2477">
        <f t="shared" si="0"/>
        <v>0</v>
      </c>
    </row>
    <row r="6" spans="1:9">
      <c r="A6" s="3453"/>
      <c r="B6" s="3454" t="s">
        <v>2483</v>
      </c>
      <c r="C6" s="3454"/>
      <c r="D6" s="2474"/>
      <c r="E6" s="2472"/>
      <c r="F6" s="2475"/>
      <c r="G6" s="2475"/>
      <c r="H6" s="2476"/>
      <c r="I6" s="2477">
        <f t="shared" si="0"/>
        <v>0</v>
      </c>
    </row>
    <row r="7" spans="1:9">
      <c r="A7" s="3453"/>
      <c r="B7" s="3454" t="s">
        <v>2484</v>
      </c>
      <c r="C7" s="3454"/>
      <c r="D7" s="2474"/>
      <c r="E7" s="2472"/>
      <c r="F7" s="2475"/>
      <c r="G7" s="2475"/>
      <c r="H7" s="2476"/>
      <c r="I7" s="2477">
        <f t="shared" si="0"/>
        <v>0</v>
      </c>
    </row>
    <row r="8" spans="1:9">
      <c r="A8" s="3453"/>
      <c r="B8" s="3454" t="s">
        <v>2485</v>
      </c>
      <c r="C8" s="3454"/>
      <c r="D8" s="2474"/>
      <c r="E8" s="2472"/>
      <c r="F8" s="2475"/>
      <c r="G8" s="2475"/>
      <c r="H8" s="2476"/>
      <c r="I8" s="2477">
        <f t="shared" si="0"/>
        <v>0</v>
      </c>
    </row>
    <row r="9" spans="1:9">
      <c r="A9" s="3453"/>
      <c r="B9" s="3454" t="s">
        <v>2486</v>
      </c>
      <c r="C9" s="3454"/>
      <c r="D9" s="2474"/>
      <c r="E9" s="2472"/>
      <c r="F9" s="2475"/>
      <c r="G9" s="2475"/>
      <c r="H9" s="2476"/>
      <c r="I9" s="2477">
        <f t="shared" si="0"/>
        <v>0</v>
      </c>
    </row>
    <row r="10" spans="1:9">
      <c r="A10" s="3453"/>
      <c r="B10" s="3455" t="s">
        <v>2487</v>
      </c>
      <c r="C10" s="3455"/>
      <c r="D10" s="2478">
        <v>527</v>
      </c>
      <c r="E10" s="2478" t="e">
        <f>ROUND(D1*10000/D10/H9,0)</f>
        <v>#DIV/0!</v>
      </c>
      <c r="F10" s="2479"/>
      <c r="G10" s="2479"/>
      <c r="H10" s="2480"/>
      <c r="I10" s="2481">
        <f>SUM(I3:I9)</f>
        <v>0</v>
      </c>
    </row>
    <row r="11" spans="1:9" ht="14.25">
      <c r="A11" s="3453" t="s">
        <v>2488</v>
      </c>
      <c r="B11" s="3454" t="s">
        <v>2489</v>
      </c>
      <c r="C11" s="3454"/>
      <c r="D11" s="2474" t="s">
        <v>2490</v>
      </c>
      <c r="E11" s="2474" t="s">
        <v>2491</v>
      </c>
      <c r="F11" s="2475" t="s">
        <v>2492</v>
      </c>
      <c r="G11" s="2475" t="s">
        <v>2493</v>
      </c>
      <c r="H11" s="2482" t="s">
        <v>2494</v>
      </c>
      <c r="I11" s="2473" t="s">
        <v>2495</v>
      </c>
    </row>
    <row r="12" spans="1:9">
      <c r="A12" s="3453"/>
      <c r="B12" s="3454" t="s">
        <v>2496</v>
      </c>
      <c r="C12" s="3454"/>
      <c r="D12" s="2474"/>
      <c r="E12" s="2474"/>
      <c r="F12" s="2475"/>
      <c r="G12" s="2476"/>
      <c r="H12" s="2483"/>
      <c r="I12" s="2473">
        <f>ROUND(D12*E12*F12*G12/10000,0)</f>
        <v>0</v>
      </c>
    </row>
    <row r="13" spans="1:9">
      <c r="A13" s="3453"/>
      <c r="B13" s="3454" t="s">
        <v>2497</v>
      </c>
      <c r="C13" s="3454"/>
      <c r="D13" s="2474"/>
      <c r="E13" s="2474"/>
      <c r="F13" s="2475"/>
      <c r="G13" s="2476"/>
      <c r="H13" s="2483"/>
      <c r="I13" s="2473">
        <f>ROUND(D13*E13*F13*G13/10000,0)</f>
        <v>0</v>
      </c>
    </row>
    <row r="14" spans="1:9">
      <c r="A14" s="3453"/>
      <c r="B14" s="3454" t="s">
        <v>2498</v>
      </c>
      <c r="C14" s="3454"/>
      <c r="D14" s="2474"/>
      <c r="E14" s="2474"/>
      <c r="F14" s="2475"/>
      <c r="G14" s="2476"/>
      <c r="H14" s="2483"/>
      <c r="I14" s="2473">
        <f>ROUND(D14*E14*F14*G14/10000,0)</f>
        <v>0</v>
      </c>
    </row>
    <row r="15" spans="1:9">
      <c r="A15" s="3453"/>
      <c r="B15" s="3455" t="s">
        <v>2487</v>
      </c>
      <c r="C15" s="3455"/>
      <c r="D15" s="2478"/>
      <c r="E15" s="2478">
        <f>SUM(E12:E14)</f>
        <v>0</v>
      </c>
      <c r="F15" s="2479"/>
      <c r="G15" s="2476"/>
      <c r="H15" s="2483"/>
      <c r="I15" s="2484">
        <f>SUM(I12:I14)</f>
        <v>0</v>
      </c>
    </row>
    <row r="16" spans="1:9" ht="24">
      <c r="A16" s="3453" t="s">
        <v>2499</v>
      </c>
      <c r="B16" s="3454" t="s">
        <v>2500</v>
      </c>
      <c r="C16" s="3454"/>
      <c r="D16" s="2474" t="s">
        <v>2501</v>
      </c>
      <c r="E16" s="2485" t="s">
        <v>2502</v>
      </c>
      <c r="F16" s="2475" t="s">
        <v>2503</v>
      </c>
      <c r="G16" s="2476" t="s">
        <v>2493</v>
      </c>
      <c r="H16" s="2482" t="s">
        <v>2494</v>
      </c>
      <c r="I16" s="2473" t="s">
        <v>2495</v>
      </c>
    </row>
    <row r="17" spans="1:9" ht="14.25">
      <c r="A17" s="3453"/>
      <c r="B17" s="3454" t="s">
        <v>2504</v>
      </c>
      <c r="C17" s="3454"/>
      <c r="D17" s="2474"/>
      <c r="E17" s="2474"/>
      <c r="F17" s="2475"/>
      <c r="G17" s="2476"/>
      <c r="H17" s="2486"/>
      <c r="I17" s="2487">
        <f>ROUND(D17*E17*F17*G17/10000,0)</f>
        <v>0</v>
      </c>
    </row>
    <row r="18" spans="1:9" ht="14.25">
      <c r="A18" s="3453"/>
      <c r="B18" s="3454" t="s">
        <v>2505</v>
      </c>
      <c r="C18" s="3454"/>
      <c r="D18" s="2474"/>
      <c r="E18" s="2474"/>
      <c r="F18" s="2475"/>
      <c r="G18" s="2476"/>
      <c r="H18" s="2486"/>
      <c r="I18" s="2487">
        <f>ROUND(D18*E18*F18*G18/10000,0)</f>
        <v>0</v>
      </c>
    </row>
    <row r="19" spans="1:9" ht="14.25">
      <c r="A19" s="3453"/>
      <c r="B19" s="3454" t="s">
        <v>2506</v>
      </c>
      <c r="C19" s="3454"/>
      <c r="D19" s="2474"/>
      <c r="E19" s="2474"/>
      <c r="F19" s="2475"/>
      <c r="G19" s="2476"/>
      <c r="H19" s="2486"/>
      <c r="I19" s="2487">
        <f>ROUND(D19*E19*F19*G19/10000,0)</f>
        <v>0</v>
      </c>
    </row>
    <row r="20" spans="1:9">
      <c r="A20" s="3453"/>
      <c r="B20" s="3455" t="s">
        <v>2487</v>
      </c>
      <c r="C20" s="3455"/>
      <c r="D20" s="2478">
        <f>SUM(D17:D19)</f>
        <v>0</v>
      </c>
      <c r="E20" s="2478"/>
      <c r="F20" s="2479"/>
      <c r="G20" s="2476"/>
      <c r="H20" s="2483"/>
      <c r="I20" s="2484">
        <f>SUM(I17:I19)</f>
        <v>0</v>
      </c>
    </row>
    <row r="21" spans="1:9">
      <c r="A21" s="3453" t="s">
        <v>2507</v>
      </c>
      <c r="B21" s="3457"/>
      <c r="C21" s="3457"/>
      <c r="D21" s="3457"/>
      <c r="E21" s="3457"/>
      <c r="F21" s="3457"/>
      <c r="G21" s="3457"/>
      <c r="H21" s="2488">
        <v>0.1</v>
      </c>
      <c r="I21" s="2481">
        <f>ROUND(I10*H21,0)</f>
        <v>0</v>
      </c>
    </row>
    <row r="22" spans="1:9" ht="14.25">
      <c r="A22" s="3458" t="s">
        <v>2508</v>
      </c>
      <c r="B22" s="3459"/>
      <c r="C22" s="3460"/>
      <c r="D22" s="2489" t="s">
        <v>2509</v>
      </c>
      <c r="E22" s="2489" t="s">
        <v>2510</v>
      </c>
      <c r="F22" s="2490" t="s">
        <v>2511</v>
      </c>
      <c r="G22" s="2490" t="s">
        <v>2512</v>
      </c>
      <c r="H22" s="2482" t="s">
        <v>2513</v>
      </c>
      <c r="I22" s="2473" t="s">
        <v>2514</v>
      </c>
    </row>
    <row r="23" spans="1:9" ht="14.25" thickBot="1">
      <c r="A23" s="3461"/>
      <c r="B23" s="3462"/>
      <c r="C23" s="3463"/>
      <c r="D23" s="2491"/>
      <c r="E23" s="2491"/>
      <c r="F23" s="2491"/>
      <c r="G23" s="2492"/>
      <c r="H23" s="2493"/>
      <c r="I23" s="2494">
        <f>ROUND(E23*D23*F23*(1-G23)/10000,0)</f>
        <v>0</v>
      </c>
    </row>
    <row r="26" spans="1:9">
      <c r="A26" s="2495" t="s">
        <v>2515</v>
      </c>
      <c r="B26" s="2495"/>
      <c r="C26" s="2495"/>
      <c r="D26" s="2495"/>
      <c r="E26" s="3464">
        <f>C27-C30-C31-C32</f>
        <v>0</v>
      </c>
      <c r="F26" s="3464"/>
      <c r="G26" s="3464"/>
      <c r="H26" s="2996" t="s">
        <v>2843</v>
      </c>
    </row>
    <row r="27" spans="1:9">
      <c r="A27" s="2496">
        <v>1</v>
      </c>
      <c r="B27" s="2497" t="s">
        <v>2516</v>
      </c>
      <c r="C27" s="2497"/>
      <c r="D27" s="2497"/>
      <c r="E27" s="3465"/>
      <c r="F27" s="3465"/>
      <c r="G27" s="3465"/>
    </row>
    <row r="28" spans="1:9">
      <c r="A28" s="2498" t="s">
        <v>2517</v>
      </c>
      <c r="B28" s="2497" t="s">
        <v>2518</v>
      </c>
      <c r="C28" s="2497"/>
      <c r="D28" s="2497"/>
      <c r="E28" s="3465"/>
      <c r="F28" s="3465"/>
      <c r="G28" s="3465"/>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6"/>
      <c r="F32" s="3456"/>
      <c r="G32" s="3456"/>
    </row>
    <row r="33" spans="1:7" hidden="1">
      <c r="A33" s="3466" t="s">
        <v>2526</v>
      </c>
      <c r="B33" s="3467"/>
      <c r="C33" s="3467"/>
      <c r="D33" s="3468"/>
      <c r="E33" s="3464"/>
      <c r="F33" s="3464"/>
      <c r="G33" s="3464"/>
    </row>
    <row r="34" spans="1:7" hidden="1">
      <c r="A34" s="2500">
        <v>1</v>
      </c>
      <c r="B34" s="2497" t="s">
        <v>2527</v>
      </c>
      <c r="C34" s="2497"/>
      <c r="D34" s="2497"/>
      <c r="E34" s="3465"/>
      <c r="F34" s="3465"/>
      <c r="G34" s="3465"/>
    </row>
    <row r="35" spans="1:7" hidden="1">
      <c r="A35" s="2500">
        <v>2</v>
      </c>
      <c r="B35" s="2497" t="s">
        <v>2528</v>
      </c>
      <c r="C35" s="2497"/>
      <c r="D35" s="2497"/>
      <c r="E35" s="3465"/>
      <c r="F35" s="3465"/>
      <c r="G35" s="3465"/>
    </row>
    <row r="36" spans="1:7" hidden="1">
      <c r="A36" s="2500">
        <v>3</v>
      </c>
      <c r="B36" s="2497" t="s">
        <v>2529</v>
      </c>
      <c r="C36" s="2497"/>
      <c r="D36" s="2497"/>
      <c r="E36" s="3465"/>
      <c r="F36" s="3465"/>
      <c r="G36" s="3465"/>
    </row>
    <row r="37" spans="1:7" hidden="1">
      <c r="A37" s="2500">
        <v>4</v>
      </c>
      <c r="B37" s="2497" t="s">
        <v>2530</v>
      </c>
      <c r="C37" s="2497"/>
      <c r="D37" s="2497"/>
      <c r="E37" s="3465"/>
      <c r="F37" s="3465"/>
      <c r="G37" s="3465"/>
    </row>
    <row r="38" spans="1:7" hidden="1">
      <c r="A38" s="3466" t="s">
        <v>2531</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97904</v>
      </c>
      <c r="C2" s="2094"/>
      <c r="D2" s="2094"/>
      <c r="E2" s="2094"/>
      <c r="F2" s="2094"/>
      <c r="G2" s="2094"/>
    </row>
    <row r="3" spans="1:25" s="2045" customFormat="1" ht="18" customHeight="1">
      <c r="A3" s="1376" t="s">
        <v>1685</v>
      </c>
      <c r="B3" s="425">
        <f ca="1">ROUND(B2*10000/'数据-汇总表'!E3,0)</f>
        <v>8349</v>
      </c>
      <c r="C3" s="2094"/>
      <c r="D3" s="2094"/>
      <c r="E3" s="2094"/>
      <c r="F3" s="2094"/>
      <c r="G3" s="2094"/>
    </row>
    <row r="4" spans="1:25" s="2045" customFormat="1" ht="18" customHeight="1">
      <c r="A4" s="426" t="s">
        <v>468</v>
      </c>
      <c r="B4" s="427">
        <f ca="1">ROUND(B2*10000/'数据-汇总表'!D3,0)</f>
        <v>22321</v>
      </c>
      <c r="C4" s="2047"/>
      <c r="D4" s="2094"/>
      <c r="E4" s="2094"/>
      <c r="F4" s="2094"/>
      <c r="G4" s="2094"/>
    </row>
    <row r="5" spans="1:25" s="2045" customFormat="1" ht="18" customHeight="1" thickBot="1">
      <c r="A5" s="429"/>
      <c r="B5" s="430">
        <f ca="1">ROUND(B2/('数据-汇总表'!D3/666.67),0)</f>
        <v>1488</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109728</v>
      </c>
      <c r="D7" s="749"/>
      <c r="E7" s="750"/>
      <c r="F7" s="750"/>
      <c r="G7" s="2444" t="s">
        <v>3129</v>
      </c>
    </row>
    <row r="8" spans="1:25" s="2169" customFormat="1" ht="13.5" customHeight="1">
      <c r="A8" s="2434" t="s">
        <v>2440</v>
      </c>
      <c r="B8" s="2437" t="s">
        <v>2442</v>
      </c>
      <c r="C8" s="2438">
        <f>'土地比较法-住宅、综合'!B2</f>
        <v>109728</v>
      </c>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117266.29000000001</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1403</v>
      </c>
      <c r="D12" s="758">
        <f>'数据-汇总表'!E5</f>
        <v>87711.97</v>
      </c>
      <c r="E12" s="757">
        <f>'数据-取费表'!B27</f>
        <v>160</v>
      </c>
      <c r="F12" s="755"/>
      <c r="G12" s="759"/>
    </row>
    <row r="13" spans="1:25" s="2169" customFormat="1" ht="13.5" customHeight="1">
      <c r="A13" s="2441" t="s">
        <v>2447</v>
      </c>
      <c r="B13" s="756" t="s">
        <v>612</v>
      </c>
      <c r="C13" s="757">
        <f>ROUND(D13*E13/10000,0)</f>
        <v>0</v>
      </c>
      <c r="D13" s="758">
        <f>'数据-汇总表'!E6</f>
        <v>29554.320000000007</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3292</v>
      </c>
      <c r="D18" s="762"/>
      <c r="E18" s="763"/>
      <c r="F18" s="761">
        <f>'数据-取费表'!Q16</f>
        <v>0.03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113020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28255</v>
      </c>
      <c r="D20" s="760"/>
      <c r="E20" s="749"/>
      <c r="F20" s="1345">
        <v>0.25</v>
      </c>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141275</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97904</v>
      </c>
      <c r="D22" s="760"/>
      <c r="E22" s="749"/>
      <c r="F22" s="766">
        <f>'数据-取费表'!AP16</f>
        <v>0.69299999999999995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97904</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59" t="s">
        <v>522</v>
      </c>
      <c r="D4" s="3360"/>
      <c r="E4" s="3393" t="s">
        <v>523</v>
      </c>
      <c r="F4" s="3394"/>
      <c r="G4" s="3359" t="s">
        <v>524</v>
      </c>
      <c r="H4" s="3360"/>
      <c r="I4" s="3359" t="s">
        <v>525</v>
      </c>
      <c r="J4" s="3360"/>
      <c r="K4" s="853" t="s">
        <v>526</v>
      </c>
      <c r="L4" s="2119"/>
      <c r="M4" s="2120"/>
      <c r="N4" s="2120"/>
      <c r="O4" s="2120"/>
      <c r="P4" s="3361" t="s">
        <v>527</v>
      </c>
      <c r="Q4" s="3362"/>
      <c r="R4" s="3367" t="s">
        <v>523</v>
      </c>
      <c r="S4" s="3368"/>
      <c r="T4" s="3367" t="s">
        <v>524</v>
      </c>
      <c r="U4" s="3368"/>
      <c r="V4" s="3354" t="s">
        <v>525</v>
      </c>
      <c r="W4" s="3354"/>
      <c r="X4" s="1554"/>
      <c r="Y4" s="3367" t="s">
        <v>527</v>
      </c>
      <c r="Z4" s="3368"/>
      <c r="AA4" s="3356" t="s">
        <v>523</v>
      </c>
      <c r="AB4" s="3356" t="s">
        <v>524</v>
      </c>
      <c r="AC4" s="3356" t="s">
        <v>525</v>
      </c>
    </row>
    <row r="5" spans="1:29" ht="15">
      <c r="A5" s="515"/>
      <c r="B5" s="516"/>
      <c r="C5" s="3375" t="s">
        <v>2931</v>
      </c>
      <c r="D5" s="3376"/>
      <c r="E5" s="3395" t="s">
        <v>2932</v>
      </c>
      <c r="F5" s="3396"/>
      <c r="G5" s="3375" t="s">
        <v>2933</v>
      </c>
      <c r="H5" s="3376"/>
      <c r="I5" s="3375" t="s">
        <v>2934</v>
      </c>
      <c r="J5" s="3376"/>
      <c r="K5" s="854"/>
      <c r="L5" s="2119"/>
      <c r="M5" s="2120"/>
      <c r="N5" s="2120"/>
      <c r="O5" s="2120"/>
      <c r="P5" s="3363"/>
      <c r="Q5" s="3364"/>
      <c r="R5" s="3369"/>
      <c r="S5" s="3370"/>
      <c r="T5" s="3369"/>
      <c r="U5" s="3370"/>
      <c r="V5" s="3354"/>
      <c r="W5" s="3354"/>
      <c r="X5" s="1554"/>
      <c r="Y5" s="3369"/>
      <c r="Z5" s="3370"/>
      <c r="AA5" s="3357"/>
      <c r="AB5" s="3357"/>
      <c r="AC5" s="3357"/>
    </row>
    <row r="6" spans="1:29" ht="15.75" thickBot="1">
      <c r="A6" s="517"/>
      <c r="B6" s="518"/>
      <c r="C6" s="3373" t="s">
        <v>2935</v>
      </c>
      <c r="D6" s="3374"/>
      <c r="E6" s="3391" t="s">
        <v>2935</v>
      </c>
      <c r="F6" s="3392"/>
      <c r="G6" s="3373" t="s">
        <v>2935</v>
      </c>
      <c r="H6" s="3374"/>
      <c r="I6" s="3373" t="s">
        <v>2935</v>
      </c>
      <c r="J6" s="3374"/>
      <c r="K6" s="854" t="s">
        <v>528</v>
      </c>
      <c r="L6" s="2119"/>
      <c r="M6" s="2120"/>
      <c r="N6" s="2120"/>
      <c r="O6" s="2120"/>
      <c r="P6" s="3365"/>
      <c r="Q6" s="3366"/>
      <c r="R6" s="3369"/>
      <c r="S6" s="3370"/>
      <c r="T6" s="3371"/>
      <c r="U6" s="3372"/>
      <c r="V6" s="3354"/>
      <c r="W6" s="3354"/>
      <c r="X6" s="1554"/>
      <c r="Y6" s="3371"/>
      <c r="Z6" s="3372"/>
      <c r="AA6" s="3358"/>
      <c r="AB6" s="3358"/>
      <c r="AC6" s="3358"/>
    </row>
    <row r="7" spans="1:29" s="1216" customFormat="1" ht="15.75" thickBot="1">
      <c r="A7" s="2868"/>
      <c r="B7" s="2875" t="s">
        <v>529</v>
      </c>
      <c r="C7" s="519">
        <f>'数据-取费表'!B2</f>
        <v>43577</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4" t="s">
        <v>530</v>
      </c>
      <c r="Q7" s="3386"/>
      <c r="R7" s="1555" t="s">
        <v>13</v>
      </c>
      <c r="S7" s="1556">
        <f t="shared" ref="S7:S15" si="0">F7</f>
        <v>0</v>
      </c>
      <c r="T7" s="1555" t="s">
        <v>13</v>
      </c>
      <c r="U7" s="1556">
        <f t="shared" ref="U7:U15" si="1">H7</f>
        <v>0</v>
      </c>
      <c r="V7" s="1555" t="s">
        <v>13</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4" t="s">
        <v>533</v>
      </c>
      <c r="Q8" s="3385"/>
      <c r="R8" s="1555" t="s">
        <v>13</v>
      </c>
      <c r="S8" s="1556">
        <f t="shared" si="0"/>
        <v>0</v>
      </c>
      <c r="T8" s="1555" t="s">
        <v>13</v>
      </c>
      <c r="U8" s="1556">
        <f t="shared" si="1"/>
        <v>0</v>
      </c>
      <c r="V8" s="1555" t="s">
        <v>13</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3" t="s">
        <v>535</v>
      </c>
      <c r="Q9" s="1147" t="str">
        <f t="shared" ref="Q9:Q15" si="6">B9</f>
        <v>用途</v>
      </c>
      <c r="R9" s="1555" t="s">
        <v>8</v>
      </c>
      <c r="S9" s="1556">
        <f t="shared" si="0"/>
        <v>100</v>
      </c>
      <c r="T9" s="1555" t="s">
        <v>8</v>
      </c>
      <c r="U9" s="1556">
        <f t="shared" si="1"/>
        <v>100</v>
      </c>
      <c r="V9" s="1555" t="s">
        <v>8</v>
      </c>
      <c r="W9" s="1556">
        <f t="shared" si="2"/>
        <v>100</v>
      </c>
      <c r="X9" s="1557"/>
      <c r="Y9" s="329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3"/>
      <c r="Q10" s="1147" t="str">
        <f t="shared" si="6"/>
        <v>土地使用年限（年）</v>
      </c>
      <c r="R10" s="1555" t="s">
        <v>8</v>
      </c>
      <c r="S10" s="1556">
        <f t="shared" si="0"/>
        <v>100</v>
      </c>
      <c r="T10" s="1555" t="s">
        <v>8</v>
      </c>
      <c r="U10" s="1556">
        <f t="shared" si="1"/>
        <v>100</v>
      </c>
      <c r="V10" s="1555" t="s">
        <v>8</v>
      </c>
      <c r="W10" s="1556">
        <f t="shared" si="2"/>
        <v>100</v>
      </c>
      <c r="X10" s="1557"/>
      <c r="Y10" s="3299"/>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3"/>
      <c r="Q11" s="1147" t="str">
        <f t="shared" si="6"/>
        <v>容积率</v>
      </c>
      <c r="R11" s="1555" t="s">
        <v>11</v>
      </c>
      <c r="S11" s="1556" t="e">
        <f t="shared" si="0"/>
        <v>#N/A</v>
      </c>
      <c r="T11" s="1555" t="s">
        <v>11</v>
      </c>
      <c r="U11" s="1556" t="e">
        <f t="shared" si="1"/>
        <v>#N/A</v>
      </c>
      <c r="V11" s="1555" t="s">
        <v>11</v>
      </c>
      <c r="W11" s="1556" t="e">
        <f t="shared" si="2"/>
        <v>#N/A</v>
      </c>
      <c r="X11" s="1557"/>
      <c r="Y11" s="329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3"/>
      <c r="Q12" s="1147">
        <f t="shared" si="6"/>
        <v>111</v>
      </c>
      <c r="R12" s="1555" t="s">
        <v>11</v>
      </c>
      <c r="S12" s="1556">
        <f t="shared" si="0"/>
        <v>100</v>
      </c>
      <c r="T12" s="1555" t="s">
        <v>11</v>
      </c>
      <c r="U12" s="1556">
        <f t="shared" si="1"/>
        <v>100</v>
      </c>
      <c r="V12" s="1555" t="s">
        <v>11</v>
      </c>
      <c r="W12" s="1556">
        <f t="shared" si="2"/>
        <v>100</v>
      </c>
      <c r="X12" s="1557"/>
      <c r="Y12" s="329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3"/>
      <c r="Q13" s="1147">
        <f t="shared" si="6"/>
        <v>111</v>
      </c>
      <c r="R13" s="1555" t="s">
        <v>11</v>
      </c>
      <c r="S13" s="1556">
        <f t="shared" si="0"/>
        <v>100</v>
      </c>
      <c r="T13" s="1555" t="s">
        <v>11</v>
      </c>
      <c r="U13" s="1556">
        <f t="shared" si="1"/>
        <v>100</v>
      </c>
      <c r="V13" s="1555" t="s">
        <v>11</v>
      </c>
      <c r="W13" s="1556">
        <f t="shared" si="2"/>
        <v>100</v>
      </c>
      <c r="X13" s="1557"/>
      <c r="Y13" s="329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3"/>
      <c r="Q14" s="1147">
        <f t="shared" si="6"/>
        <v>111</v>
      </c>
      <c r="R14" s="1555" t="s">
        <v>11</v>
      </c>
      <c r="S14" s="1556">
        <f t="shared" si="0"/>
        <v>100</v>
      </c>
      <c r="T14" s="1555" t="s">
        <v>11</v>
      </c>
      <c r="U14" s="1556">
        <f t="shared" si="1"/>
        <v>100</v>
      </c>
      <c r="V14" s="1555" t="s">
        <v>11</v>
      </c>
      <c r="W14" s="1556">
        <f t="shared" si="2"/>
        <v>100</v>
      </c>
      <c r="X14" s="1557"/>
      <c r="Y14" s="3299"/>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7" t="s">
        <v>540</v>
      </c>
      <c r="Q15" s="1559" t="str">
        <f t="shared" si="6"/>
        <v>居住社区成熟度</v>
      </c>
      <c r="R15" s="1560" t="s">
        <v>11</v>
      </c>
      <c r="S15" s="1561">
        <f t="shared" si="0"/>
        <v>100</v>
      </c>
      <c r="T15" s="1560" t="s">
        <v>11</v>
      </c>
      <c r="U15" s="1561">
        <f t="shared" si="1"/>
        <v>100</v>
      </c>
      <c r="V15" s="1560" t="s">
        <v>11</v>
      </c>
      <c r="W15" s="1561">
        <f t="shared" si="2"/>
        <v>100</v>
      </c>
      <c r="X15" s="1554"/>
      <c r="Y15" s="3387"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8"/>
      <c r="Q17" s="1559" t="str">
        <f>B17</f>
        <v>交通便捷度</v>
      </c>
      <c r="R17" s="1560" t="s">
        <v>11</v>
      </c>
      <c r="S17" s="1561">
        <f>F17</f>
        <v>100</v>
      </c>
      <c r="T17" s="1560" t="s">
        <v>11</v>
      </c>
      <c r="U17" s="1561">
        <f>H17</f>
        <v>100</v>
      </c>
      <c r="V17" s="1560" t="s">
        <v>11</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8"/>
      <c r="Q19" s="1559" t="str">
        <f>B19</f>
        <v>公共配套设施</v>
      </c>
      <c r="R19" s="1560" t="s">
        <v>11</v>
      </c>
      <c r="S19" s="1561">
        <f>F19</f>
        <v>100</v>
      </c>
      <c r="T19" s="1560" t="s">
        <v>11</v>
      </c>
      <c r="U19" s="1561">
        <f>H19</f>
        <v>100</v>
      </c>
      <c r="V19" s="1560" t="s">
        <v>11</v>
      </c>
      <c r="W19" s="1561">
        <f>J19</f>
        <v>100</v>
      </c>
      <c r="X19" s="1554"/>
      <c r="Y19" s="338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8"/>
      <c r="Q21" s="2544" t="str">
        <f>B21</f>
        <v>基础设施水平</v>
      </c>
      <c r="R21" s="1560" t="s">
        <v>11</v>
      </c>
      <c r="S21" s="1561">
        <f>F21</f>
        <v>100</v>
      </c>
      <c r="T21" s="1560" t="s">
        <v>11</v>
      </c>
      <c r="U21" s="1561">
        <f>H21</f>
        <v>100</v>
      </c>
      <c r="V21" s="1560" t="s">
        <v>11</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8"/>
      <c r="Q23" s="1559" t="str">
        <f>B23</f>
        <v>自然及人文环境</v>
      </c>
      <c r="R23" s="1560" t="s">
        <v>11</v>
      </c>
      <c r="S23" s="1561">
        <f>F23</f>
        <v>100</v>
      </c>
      <c r="T23" s="1560" t="s">
        <v>11</v>
      </c>
      <c r="U23" s="1561">
        <f>H23</f>
        <v>100</v>
      </c>
      <c r="V23" s="1560" t="s">
        <v>11</v>
      </c>
      <c r="W23" s="1561">
        <f>J23</f>
        <v>100</v>
      </c>
      <c r="X23" s="1554"/>
      <c r="Y23" s="338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8"/>
      <c r="Q25" s="1559" t="str">
        <f t="shared" ref="Q25:Q46" si="11">B25</f>
        <v>楼层-1</v>
      </c>
      <c r="R25" s="1560" t="s">
        <v>11</v>
      </c>
      <c r="S25" s="1561">
        <f>F25</f>
        <v>100</v>
      </c>
      <c r="T25" s="1560" t="s">
        <v>11</v>
      </c>
      <c r="U25" s="1561">
        <f>H25</f>
        <v>100</v>
      </c>
      <c r="V25" s="1560" t="s">
        <v>11</v>
      </c>
      <c r="W25" s="1561">
        <f>J25</f>
        <v>100</v>
      </c>
      <c r="X25" s="1554"/>
      <c r="Y25" s="338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8"/>
      <c r="Q26" s="1559" t="str">
        <f t="shared" si="11"/>
        <v>朝向</v>
      </c>
      <c r="R26" s="1560" t="s">
        <v>11</v>
      </c>
      <c r="S26" s="1561">
        <f>F26</f>
        <v>100</v>
      </c>
      <c r="T26" s="1560" t="s">
        <v>11</v>
      </c>
      <c r="U26" s="1561">
        <f>H26</f>
        <v>100</v>
      </c>
      <c r="V26" s="1560" t="s">
        <v>11</v>
      </c>
      <c r="W26" s="1561">
        <f>J26</f>
        <v>100</v>
      </c>
      <c r="X26" s="1554"/>
      <c r="Y26" s="338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8"/>
      <c r="Q27" s="1147" t="str">
        <f t="shared" si="11"/>
        <v>道路级别</v>
      </c>
      <c r="R27" s="1555" t="s">
        <v>11</v>
      </c>
      <c r="S27" s="1556">
        <f>F27</f>
        <v>100</v>
      </c>
      <c r="T27" s="1555" t="s">
        <v>11</v>
      </c>
      <c r="U27" s="1556">
        <f>H27</f>
        <v>100</v>
      </c>
      <c r="V27" s="1555" t="s">
        <v>11</v>
      </c>
      <c r="W27" s="1556">
        <f>J27</f>
        <v>100</v>
      </c>
      <c r="X27" s="1557"/>
      <c r="Y27" s="338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8"/>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8"/>
      <c r="Q29" s="1559">
        <f t="shared" si="11"/>
        <v>111</v>
      </c>
      <c r="R29" s="1560" t="s">
        <v>11</v>
      </c>
      <c r="S29" s="1561">
        <f t="shared" si="12"/>
        <v>100</v>
      </c>
      <c r="T29" s="1560" t="s">
        <v>11</v>
      </c>
      <c r="U29" s="1561">
        <f t="shared" si="13"/>
        <v>100</v>
      </c>
      <c r="V29" s="1560" t="s">
        <v>11</v>
      </c>
      <c r="W29" s="1561">
        <f t="shared" si="14"/>
        <v>100</v>
      </c>
      <c r="X29" s="1554"/>
      <c r="Y29" s="338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8"/>
      <c r="Q30" s="1559">
        <f t="shared" si="11"/>
        <v>111</v>
      </c>
      <c r="R30" s="1560" t="s">
        <v>11</v>
      </c>
      <c r="S30" s="1561">
        <f t="shared" si="12"/>
        <v>100</v>
      </c>
      <c r="T30" s="1560" t="s">
        <v>11</v>
      </c>
      <c r="U30" s="1561">
        <f t="shared" si="13"/>
        <v>100</v>
      </c>
      <c r="V30" s="1560" t="s">
        <v>11</v>
      </c>
      <c r="W30" s="1561">
        <f t="shared" si="14"/>
        <v>100</v>
      </c>
      <c r="X30" s="1554"/>
      <c r="Y30" s="3388"/>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8"/>
      <c r="Q31" s="1559">
        <f t="shared" si="11"/>
        <v>111</v>
      </c>
      <c r="R31" s="1560" t="s">
        <v>11</v>
      </c>
      <c r="S31" s="1561">
        <f t="shared" si="12"/>
        <v>100</v>
      </c>
      <c r="T31" s="1560" t="s">
        <v>11</v>
      </c>
      <c r="U31" s="1561">
        <f t="shared" si="13"/>
        <v>100</v>
      </c>
      <c r="V31" s="1560" t="s">
        <v>11</v>
      </c>
      <c r="W31" s="1561">
        <f t="shared" si="14"/>
        <v>100</v>
      </c>
      <c r="X31" s="1554"/>
      <c r="Y31" s="3388"/>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9" t="s">
        <v>550</v>
      </c>
      <c r="Q32" s="1559" t="str">
        <f t="shared" si="11"/>
        <v>建筑类型</v>
      </c>
      <c r="R32" s="1560" t="s">
        <v>11</v>
      </c>
      <c r="S32" s="1561">
        <f t="shared" si="12"/>
        <v>100</v>
      </c>
      <c r="T32" s="1560" t="s">
        <v>11</v>
      </c>
      <c r="U32" s="1561">
        <f t="shared" si="13"/>
        <v>100</v>
      </c>
      <c r="V32" s="1560" t="s">
        <v>11</v>
      </c>
      <c r="W32" s="1561">
        <f t="shared" si="14"/>
        <v>100</v>
      </c>
      <c r="X32" s="1554"/>
      <c r="Y32" s="3390"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0"/>
      <c r="Q33" s="1591" t="str">
        <f t="shared" si="11"/>
        <v>项目建筑规模</v>
      </c>
      <c r="R33" s="1564" t="s">
        <v>11</v>
      </c>
      <c r="S33" s="1565" t="e">
        <f t="shared" si="12"/>
        <v>#N/A</v>
      </c>
      <c r="T33" s="1564" t="s">
        <v>11</v>
      </c>
      <c r="U33" s="1565" t="e">
        <f t="shared" si="13"/>
        <v>#N/A</v>
      </c>
      <c r="V33" s="1564" t="s">
        <v>11</v>
      </c>
      <c r="W33" s="1565" t="e">
        <f t="shared" si="14"/>
        <v>#N/A</v>
      </c>
      <c r="X33" s="1566"/>
      <c r="Y33" s="339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0"/>
      <c r="Q34" s="1559" t="str">
        <f t="shared" si="11"/>
        <v>建筑结构</v>
      </c>
      <c r="R34" s="1560" t="s">
        <v>11</v>
      </c>
      <c r="S34" s="1561">
        <f t="shared" si="12"/>
        <v>100</v>
      </c>
      <c r="T34" s="1560" t="s">
        <v>11</v>
      </c>
      <c r="U34" s="1561">
        <f t="shared" si="13"/>
        <v>100</v>
      </c>
      <c r="V34" s="1560" t="s">
        <v>11</v>
      </c>
      <c r="W34" s="1561">
        <f t="shared" si="14"/>
        <v>100</v>
      </c>
      <c r="X34" s="1554"/>
      <c r="Y34" s="3390"/>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0"/>
      <c r="Q35" s="1559" t="str">
        <f t="shared" si="11"/>
        <v>建筑品质</v>
      </c>
      <c r="R35" s="1560" t="s">
        <v>11</v>
      </c>
      <c r="S35" s="1561">
        <f t="shared" si="12"/>
        <v>100</v>
      </c>
      <c r="T35" s="1560" t="s">
        <v>11</v>
      </c>
      <c r="U35" s="1561">
        <f t="shared" si="13"/>
        <v>100</v>
      </c>
      <c r="V35" s="1560" t="s">
        <v>11</v>
      </c>
      <c r="W35" s="1561">
        <f t="shared" si="14"/>
        <v>100</v>
      </c>
      <c r="X35" s="1554"/>
      <c r="Y35" s="3390"/>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0"/>
      <c r="Q36" s="1559" t="str">
        <f t="shared" si="11"/>
        <v>公共部分装修</v>
      </c>
      <c r="R36" s="1560" t="s">
        <v>11</v>
      </c>
      <c r="S36" s="1561">
        <f t="shared" si="12"/>
        <v>100</v>
      </c>
      <c r="T36" s="1560" t="s">
        <v>11</v>
      </c>
      <c r="U36" s="1561">
        <f t="shared" si="13"/>
        <v>100</v>
      </c>
      <c r="V36" s="1560" t="s">
        <v>11</v>
      </c>
      <c r="W36" s="1561">
        <f t="shared" si="14"/>
        <v>100</v>
      </c>
      <c r="X36" s="1554"/>
      <c r="Y36" s="3390"/>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0"/>
      <c r="Q37" s="1147" t="str">
        <f t="shared" si="11"/>
        <v>成新度</v>
      </c>
      <c r="R37" s="1555" t="s">
        <v>11</v>
      </c>
      <c r="S37" s="1556" t="e">
        <f t="shared" si="12"/>
        <v>#N/A</v>
      </c>
      <c r="T37" s="1555" t="s">
        <v>11</v>
      </c>
      <c r="U37" s="1556" t="e">
        <f t="shared" si="13"/>
        <v>#N/A</v>
      </c>
      <c r="V37" s="1555" t="s">
        <v>11</v>
      </c>
      <c r="W37" s="1556" t="e">
        <f t="shared" si="14"/>
        <v>#N/A</v>
      </c>
      <c r="X37" s="1557"/>
      <c r="Y37" s="3390"/>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0" t="s">
        <v>550</v>
      </c>
      <c r="Q38" s="1559" t="str">
        <f t="shared" si="11"/>
        <v>物业管理</v>
      </c>
      <c r="R38" s="1560" t="s">
        <v>11</v>
      </c>
      <c r="S38" s="1561">
        <f t="shared" si="12"/>
        <v>100</v>
      </c>
      <c r="T38" s="1560" t="s">
        <v>11</v>
      </c>
      <c r="U38" s="1561">
        <f t="shared" si="13"/>
        <v>100</v>
      </c>
      <c r="V38" s="1560" t="s">
        <v>11</v>
      </c>
      <c r="W38" s="1561">
        <f t="shared" si="14"/>
        <v>100</v>
      </c>
      <c r="X38" s="1554"/>
      <c r="Y38" s="3390"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0"/>
      <c r="Q39" s="1559" t="str">
        <f t="shared" si="11"/>
        <v>市政基础设施</v>
      </c>
      <c r="R39" s="1560" t="s">
        <v>11</v>
      </c>
      <c r="S39" s="1561">
        <f t="shared" si="12"/>
        <v>100</v>
      </c>
      <c r="T39" s="1560" t="s">
        <v>11</v>
      </c>
      <c r="U39" s="1561">
        <f t="shared" si="13"/>
        <v>100</v>
      </c>
      <c r="V39" s="1560" t="s">
        <v>11</v>
      </c>
      <c r="W39" s="1561">
        <f t="shared" si="14"/>
        <v>100</v>
      </c>
      <c r="X39" s="1554"/>
      <c r="Y39" s="339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0"/>
      <c r="Q40" s="1559" t="str">
        <f t="shared" si="11"/>
        <v>房型</v>
      </c>
      <c r="R40" s="1560" t="s">
        <v>11</v>
      </c>
      <c r="S40" s="1561">
        <f t="shared" si="12"/>
        <v>100</v>
      </c>
      <c r="T40" s="1560" t="s">
        <v>11</v>
      </c>
      <c r="U40" s="1561">
        <f t="shared" si="13"/>
        <v>100</v>
      </c>
      <c r="V40" s="1560" t="s">
        <v>11</v>
      </c>
      <c r="W40" s="1561">
        <f t="shared" si="14"/>
        <v>100</v>
      </c>
      <c r="X40" s="1554"/>
      <c r="Y40" s="3390"/>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0"/>
      <c r="Q41" s="1591" t="str">
        <f t="shared" si="11"/>
        <v>单套/主力户型建筑面积</v>
      </c>
      <c r="R41" s="1564" t="s">
        <v>11</v>
      </c>
      <c r="S41" s="1565">
        <f t="shared" si="12"/>
        <v>100</v>
      </c>
      <c r="T41" s="1564" t="s">
        <v>11</v>
      </c>
      <c r="U41" s="1565">
        <f t="shared" si="13"/>
        <v>100</v>
      </c>
      <c r="V41" s="1564" t="s">
        <v>11</v>
      </c>
      <c r="W41" s="1565">
        <f t="shared" si="14"/>
        <v>100</v>
      </c>
      <c r="X41" s="1566"/>
      <c r="Y41" s="3390"/>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0"/>
      <c r="Q42" s="1559" t="str">
        <f t="shared" si="11"/>
        <v>内部装修</v>
      </c>
      <c r="R42" s="1560" t="s">
        <v>11</v>
      </c>
      <c r="S42" s="1561">
        <f t="shared" si="12"/>
        <v>100</v>
      </c>
      <c r="T42" s="1560" t="s">
        <v>11</v>
      </c>
      <c r="U42" s="1561">
        <f t="shared" si="13"/>
        <v>100</v>
      </c>
      <c r="V42" s="1560" t="s">
        <v>11</v>
      </c>
      <c r="W42" s="1561">
        <f t="shared" si="14"/>
        <v>100</v>
      </c>
      <c r="X42" s="1554"/>
      <c r="Y42" s="3390"/>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0"/>
      <c r="Q43" s="1559" t="str">
        <f t="shared" si="11"/>
        <v>内部装修维护情况</v>
      </c>
      <c r="R43" s="1560" t="s">
        <v>11</v>
      </c>
      <c r="S43" s="1561">
        <f t="shared" si="12"/>
        <v>100</v>
      </c>
      <c r="T43" s="1560" t="s">
        <v>11</v>
      </c>
      <c r="U43" s="1561">
        <f t="shared" si="13"/>
        <v>100</v>
      </c>
      <c r="V43" s="1560" t="s">
        <v>11</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0"/>
      <c r="Q44" s="1147">
        <f t="shared" si="11"/>
        <v>111</v>
      </c>
      <c r="R44" s="1555" t="s">
        <v>11</v>
      </c>
      <c r="S44" s="1556">
        <f t="shared" si="12"/>
        <v>100</v>
      </c>
      <c r="T44" s="1555" t="s">
        <v>11</v>
      </c>
      <c r="U44" s="1556">
        <f t="shared" si="13"/>
        <v>100</v>
      </c>
      <c r="V44" s="1555" t="s">
        <v>11</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0"/>
      <c r="Q45" s="1559">
        <f t="shared" si="11"/>
        <v>111</v>
      </c>
      <c r="R45" s="1560" t="s">
        <v>11</v>
      </c>
      <c r="S45" s="1561">
        <f t="shared" si="12"/>
        <v>100</v>
      </c>
      <c r="T45" s="1560" t="s">
        <v>11</v>
      </c>
      <c r="U45" s="1561">
        <f t="shared" si="13"/>
        <v>100</v>
      </c>
      <c r="V45" s="1560" t="s">
        <v>11</v>
      </c>
      <c r="W45" s="1561">
        <f t="shared" si="14"/>
        <v>100</v>
      </c>
      <c r="X45" s="1554"/>
      <c r="Y45" s="339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1"/>
      <c r="Q46" s="1559">
        <f t="shared" si="11"/>
        <v>111</v>
      </c>
      <c r="R46" s="1560" t="s">
        <v>10</v>
      </c>
      <c r="S46" s="1561">
        <f t="shared" si="12"/>
        <v>100</v>
      </c>
      <c r="T46" s="1560" t="s">
        <v>10</v>
      </c>
      <c r="U46" s="1561">
        <f t="shared" si="13"/>
        <v>100</v>
      </c>
      <c r="V46" s="1560" t="s">
        <v>10</v>
      </c>
      <c r="W46" s="1561">
        <f t="shared" si="14"/>
        <v>100</v>
      </c>
      <c r="X46" s="1554"/>
      <c r="Y46" s="3471"/>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53" t="str">
        <f>A47</f>
        <v>成交单价（元/平方米）</v>
      </c>
      <c r="Q47" s="3353"/>
      <c r="R47" s="3470">
        <f>E47</f>
        <v>0</v>
      </c>
      <c r="S47" s="3470"/>
      <c r="T47" s="3470">
        <f>G47</f>
        <v>0</v>
      </c>
      <c r="U47" s="3470"/>
      <c r="V47" s="3470">
        <f>I47</f>
        <v>0</v>
      </c>
      <c r="W47" s="347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53" t="str">
        <f>A48</f>
        <v>比较价格（元/平方米）</v>
      </c>
      <c r="Q48" s="3353"/>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50" t="str">
        <f>A49</f>
        <v>估价对象XX用房的比较价格（楼面单价，元/平方米）</v>
      </c>
      <c r="Q49" s="3351"/>
      <c r="R49" s="3469" t="e">
        <f>IF(F1="售价",ROUND(AVERAGE(R48:V48),0),ROUND(AVERAGE(R48:V48),1))</f>
        <v>#DIV/0!</v>
      </c>
      <c r="S49" s="3469"/>
      <c r="T49" s="3469"/>
      <c r="U49" s="3469"/>
      <c r="V49" s="3469"/>
      <c r="W49" s="346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59" t="s">
        <v>522</v>
      </c>
      <c r="D4" s="3360"/>
      <c r="E4" s="3393" t="s">
        <v>523</v>
      </c>
      <c r="F4" s="3394"/>
      <c r="G4" s="3359" t="s">
        <v>524</v>
      </c>
      <c r="H4" s="3360"/>
      <c r="I4" s="3359" t="s">
        <v>525</v>
      </c>
      <c r="J4" s="3360"/>
      <c r="K4" s="514" t="s">
        <v>526</v>
      </c>
      <c r="L4" s="2119"/>
      <c r="M4" s="2120"/>
      <c r="N4" s="2120"/>
      <c r="O4" s="2120"/>
      <c r="P4" s="3361" t="s">
        <v>527</v>
      </c>
      <c r="Q4" s="3362"/>
      <c r="R4" s="3367" t="s">
        <v>523</v>
      </c>
      <c r="S4" s="3368"/>
      <c r="T4" s="3367" t="s">
        <v>524</v>
      </c>
      <c r="U4" s="3368"/>
      <c r="V4" s="3354" t="s">
        <v>525</v>
      </c>
      <c r="W4" s="3354"/>
      <c r="X4" s="1554"/>
      <c r="Y4" s="3367" t="s">
        <v>527</v>
      </c>
      <c r="Z4" s="3368"/>
      <c r="AA4" s="3356" t="s">
        <v>523</v>
      </c>
      <c r="AB4" s="3354" t="s">
        <v>524</v>
      </c>
      <c r="AC4" s="3356" t="s">
        <v>525</v>
      </c>
    </row>
    <row r="5" spans="1:29" ht="15">
      <c r="A5" s="515"/>
      <c r="B5" s="516"/>
      <c r="C5" s="3375" t="s">
        <v>2931</v>
      </c>
      <c r="D5" s="3376"/>
      <c r="E5" s="3395" t="s">
        <v>2932</v>
      </c>
      <c r="F5" s="3396"/>
      <c r="G5" s="3375" t="s">
        <v>2933</v>
      </c>
      <c r="H5" s="3376"/>
      <c r="I5" s="3375" t="s">
        <v>2934</v>
      </c>
      <c r="J5" s="3376"/>
      <c r="K5" s="514"/>
      <c r="L5" s="2119"/>
      <c r="M5" s="2120"/>
      <c r="N5" s="2120"/>
      <c r="O5" s="2120"/>
      <c r="P5" s="3363"/>
      <c r="Q5" s="3364"/>
      <c r="R5" s="3369"/>
      <c r="S5" s="3370"/>
      <c r="T5" s="3369"/>
      <c r="U5" s="3370"/>
      <c r="V5" s="3354"/>
      <c r="W5" s="3354"/>
      <c r="X5" s="1554"/>
      <c r="Y5" s="3369"/>
      <c r="Z5" s="3370"/>
      <c r="AA5" s="3357"/>
      <c r="AB5" s="3354"/>
      <c r="AC5" s="3357"/>
    </row>
    <row r="6" spans="1:29" ht="15.75" thickBot="1">
      <c r="A6" s="517"/>
      <c r="B6" s="518"/>
      <c r="C6" s="3373" t="s">
        <v>2935</v>
      </c>
      <c r="D6" s="3374"/>
      <c r="E6" s="3391" t="s">
        <v>2935</v>
      </c>
      <c r="F6" s="3392"/>
      <c r="G6" s="3373" t="s">
        <v>2935</v>
      </c>
      <c r="H6" s="3374"/>
      <c r="I6" s="3373" t="s">
        <v>2935</v>
      </c>
      <c r="J6" s="3374"/>
      <c r="K6" s="514" t="s">
        <v>528</v>
      </c>
      <c r="L6" s="2119"/>
      <c r="M6" s="2120"/>
      <c r="N6" s="2120"/>
      <c r="O6" s="2120"/>
      <c r="P6" s="3365"/>
      <c r="Q6" s="3366"/>
      <c r="R6" s="3369"/>
      <c r="S6" s="3370"/>
      <c r="T6" s="3371"/>
      <c r="U6" s="3372"/>
      <c r="V6" s="3354"/>
      <c r="W6" s="3354"/>
      <c r="X6" s="1554"/>
      <c r="Y6" s="3371"/>
      <c r="Z6" s="3372"/>
      <c r="AA6" s="3358"/>
      <c r="AB6" s="3354"/>
      <c r="AC6" s="3358"/>
    </row>
    <row r="7" spans="1:29" s="1216" customFormat="1" ht="15.75" thickBot="1">
      <c r="A7" s="2868"/>
      <c r="B7" s="2875" t="s">
        <v>529</v>
      </c>
      <c r="C7" s="519">
        <f>'数据-取费表'!B2</f>
        <v>43577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4" t="s">
        <v>530</v>
      </c>
      <c r="Q7" s="3386"/>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3" t="s">
        <v>535</v>
      </c>
      <c r="Q9" s="1147" t="str">
        <f t="shared" ref="Q9:Q15" si="6">B9</f>
        <v>用途</v>
      </c>
      <c r="R9" s="1555" t="s">
        <v>8</v>
      </c>
      <c r="S9" s="1556">
        <f t="shared" si="0"/>
        <v>100</v>
      </c>
      <c r="T9" s="1555" t="s">
        <v>8</v>
      </c>
      <c r="U9" s="1556">
        <f t="shared" si="1"/>
        <v>100</v>
      </c>
      <c r="V9" s="1555" t="s">
        <v>8</v>
      </c>
      <c r="W9" s="1556">
        <f t="shared" si="2"/>
        <v>100</v>
      </c>
      <c r="X9" s="1557"/>
      <c r="Y9" s="329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3"/>
      <c r="Q10" s="1147" t="str">
        <f t="shared" si="6"/>
        <v>土地使用年限（年）</v>
      </c>
      <c r="R10" s="1555" t="s">
        <v>8</v>
      </c>
      <c r="S10" s="1556">
        <f t="shared" si="0"/>
        <v>100</v>
      </c>
      <c r="T10" s="1555" t="s">
        <v>8</v>
      </c>
      <c r="U10" s="1556">
        <f t="shared" si="1"/>
        <v>100</v>
      </c>
      <c r="V10" s="1555" t="s">
        <v>8</v>
      </c>
      <c r="W10" s="1556">
        <f t="shared" si="2"/>
        <v>100</v>
      </c>
      <c r="X10" s="1557"/>
      <c r="Y10" s="329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3"/>
      <c r="Q11" s="1147" t="str">
        <f t="shared" si="6"/>
        <v>容积率</v>
      </c>
      <c r="R11" s="1555" t="s">
        <v>8</v>
      </c>
      <c r="S11" s="1556" t="e">
        <f t="shared" si="0"/>
        <v>#N/A</v>
      </c>
      <c r="T11" s="1555" t="s">
        <v>8</v>
      </c>
      <c r="U11" s="1556" t="e">
        <f t="shared" si="1"/>
        <v>#N/A</v>
      </c>
      <c r="V11" s="1555" t="s">
        <v>8</v>
      </c>
      <c r="W11" s="1556" t="e">
        <f t="shared" si="2"/>
        <v>#N/A</v>
      </c>
      <c r="X11" s="1557"/>
      <c r="Y11" s="329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3"/>
      <c r="Q12" s="1147">
        <f t="shared" si="6"/>
        <v>111</v>
      </c>
      <c r="R12" s="1555" t="s">
        <v>8</v>
      </c>
      <c r="S12" s="1556">
        <f t="shared" si="0"/>
        <v>100</v>
      </c>
      <c r="T12" s="1555" t="s">
        <v>8</v>
      </c>
      <c r="U12" s="1556">
        <f t="shared" si="1"/>
        <v>100</v>
      </c>
      <c r="V12" s="1555" t="s">
        <v>8</v>
      </c>
      <c r="W12" s="1556">
        <f t="shared" si="2"/>
        <v>100</v>
      </c>
      <c r="X12" s="1557"/>
      <c r="Y12" s="329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3"/>
      <c r="Q13" s="1147">
        <f t="shared" si="6"/>
        <v>111</v>
      </c>
      <c r="R13" s="1555" t="s">
        <v>8</v>
      </c>
      <c r="S13" s="1556">
        <f t="shared" si="0"/>
        <v>100</v>
      </c>
      <c r="T13" s="1555" t="s">
        <v>8</v>
      </c>
      <c r="U13" s="1556">
        <f t="shared" si="1"/>
        <v>100</v>
      </c>
      <c r="V13" s="1555" t="s">
        <v>8</v>
      </c>
      <c r="W13" s="1556">
        <f t="shared" si="2"/>
        <v>100</v>
      </c>
      <c r="X13" s="1557"/>
      <c r="Y13" s="329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3"/>
      <c r="Q14" s="1147">
        <f t="shared" si="6"/>
        <v>111</v>
      </c>
      <c r="R14" s="1555" t="s">
        <v>8</v>
      </c>
      <c r="S14" s="1556">
        <f t="shared" si="0"/>
        <v>100</v>
      </c>
      <c r="T14" s="1555" t="s">
        <v>8</v>
      </c>
      <c r="U14" s="1556">
        <f t="shared" si="1"/>
        <v>100</v>
      </c>
      <c r="V14" s="1555" t="s">
        <v>8</v>
      </c>
      <c r="W14" s="1556">
        <f t="shared" si="2"/>
        <v>100</v>
      </c>
      <c r="X14" s="1557"/>
      <c r="Y14" s="3299"/>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7" t="s">
        <v>540</v>
      </c>
      <c r="Q15" s="1559" t="str">
        <f t="shared" si="6"/>
        <v>商业繁华度</v>
      </c>
      <c r="R15" s="1560" t="s">
        <v>8</v>
      </c>
      <c r="S15" s="1561">
        <f t="shared" si="0"/>
        <v>100</v>
      </c>
      <c r="T15" s="1560" t="s">
        <v>8</v>
      </c>
      <c r="U15" s="1561">
        <f t="shared" si="1"/>
        <v>100</v>
      </c>
      <c r="V15" s="1560" t="s">
        <v>8</v>
      </c>
      <c r="W15" s="1561">
        <f t="shared" si="2"/>
        <v>100</v>
      </c>
      <c r="X15" s="1554"/>
      <c r="Y15" s="338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8"/>
      <c r="Q23" s="1559" t="str">
        <f>B23</f>
        <v>自然及人文环境</v>
      </c>
      <c r="R23" s="1560" t="s">
        <v>8</v>
      </c>
      <c r="S23" s="1561">
        <f>F23</f>
        <v>100</v>
      </c>
      <c r="T23" s="1560" t="s">
        <v>8</v>
      </c>
      <c r="U23" s="1561">
        <f>H23</f>
        <v>100</v>
      </c>
      <c r="V23" s="1560" t="s">
        <v>8</v>
      </c>
      <c r="W23" s="1561">
        <f>J23</f>
        <v>100</v>
      </c>
      <c r="X23" s="1554"/>
      <c r="Y23" s="338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8"/>
      <c r="Q25" s="1559" t="str">
        <f t="shared" ref="Q25:Q46" si="11">B25</f>
        <v>临街状况</v>
      </c>
      <c r="R25" s="1560" t="s">
        <v>8</v>
      </c>
      <c r="S25" s="1561">
        <f>F25</f>
        <v>100</v>
      </c>
      <c r="T25" s="1560" t="s">
        <v>8</v>
      </c>
      <c r="U25" s="1561">
        <f>H25</f>
        <v>100</v>
      </c>
      <c r="V25" s="1560" t="s">
        <v>8</v>
      </c>
      <c r="W25" s="1561">
        <f>J25</f>
        <v>100</v>
      </c>
      <c r="X25" s="1554"/>
      <c r="Y25" s="338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8"/>
      <c r="Q26" s="1559" t="str">
        <f t="shared" si="11"/>
        <v>平面位置/可视性</v>
      </c>
      <c r="R26" s="1560" t="s">
        <v>8</v>
      </c>
      <c r="S26" s="1561">
        <f>F26</f>
        <v>100</v>
      </c>
      <c r="T26" s="1560" t="s">
        <v>8</v>
      </c>
      <c r="U26" s="1561">
        <f>H26</f>
        <v>100</v>
      </c>
      <c r="V26" s="1560" t="s">
        <v>8</v>
      </c>
      <c r="W26" s="1561">
        <f>J26</f>
        <v>100</v>
      </c>
      <c r="X26" s="1554"/>
      <c r="Y26" s="338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8"/>
      <c r="Q27" s="1147" t="str">
        <f t="shared" si="11"/>
        <v>人流量</v>
      </c>
      <c r="R27" s="1555" t="s">
        <v>8</v>
      </c>
      <c r="S27" s="1556">
        <f>F27</f>
        <v>100</v>
      </c>
      <c r="T27" s="1555" t="s">
        <v>8</v>
      </c>
      <c r="U27" s="1556">
        <f>H27</f>
        <v>100</v>
      </c>
      <c r="V27" s="1555" t="s">
        <v>8</v>
      </c>
      <c r="W27" s="1556">
        <f>J27</f>
        <v>100</v>
      </c>
      <c r="X27" s="1557"/>
      <c r="Y27" s="338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8"/>
      <c r="Q29" s="1559">
        <f t="shared" si="11"/>
        <v>111</v>
      </c>
      <c r="R29" s="1560" t="s">
        <v>8</v>
      </c>
      <c r="S29" s="1561">
        <f t="shared" si="12"/>
        <v>100</v>
      </c>
      <c r="T29" s="1560" t="s">
        <v>8</v>
      </c>
      <c r="U29" s="1561">
        <f t="shared" si="13"/>
        <v>100</v>
      </c>
      <c r="V29" s="1560" t="s">
        <v>8</v>
      </c>
      <c r="W29" s="1561">
        <f t="shared" si="14"/>
        <v>100</v>
      </c>
      <c r="X29" s="1554"/>
      <c r="Y29" s="338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9" t="s">
        <v>550</v>
      </c>
      <c r="Q32" s="1559" t="str">
        <f t="shared" si="11"/>
        <v>商业类型</v>
      </c>
      <c r="R32" s="1560" t="s">
        <v>8</v>
      </c>
      <c r="S32" s="1561">
        <f t="shared" si="12"/>
        <v>100</v>
      </c>
      <c r="T32" s="1560" t="s">
        <v>8</v>
      </c>
      <c r="U32" s="1561">
        <f t="shared" si="13"/>
        <v>100</v>
      </c>
      <c r="V32" s="1560" t="s">
        <v>8</v>
      </c>
      <c r="W32" s="1561">
        <f t="shared" si="14"/>
        <v>100</v>
      </c>
      <c r="X32" s="1554"/>
      <c r="Y32" s="339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0"/>
      <c r="Q33" s="1591" t="str">
        <f t="shared" si="11"/>
        <v>项目建筑规模</v>
      </c>
      <c r="R33" s="1564" t="s">
        <v>8</v>
      </c>
      <c r="S33" s="1565" t="e">
        <f t="shared" si="12"/>
        <v>#N/A</v>
      </c>
      <c r="T33" s="1564" t="s">
        <v>8</v>
      </c>
      <c r="U33" s="1565" t="e">
        <f t="shared" si="13"/>
        <v>#N/A</v>
      </c>
      <c r="V33" s="1564" t="s">
        <v>8</v>
      </c>
      <c r="W33" s="1565" t="e">
        <f t="shared" si="14"/>
        <v>#N/A</v>
      </c>
      <c r="X33" s="1566"/>
      <c r="Y33" s="339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0"/>
      <c r="Q34" s="1559" t="str">
        <f t="shared" si="11"/>
        <v>建筑结构</v>
      </c>
      <c r="R34" s="1560" t="s">
        <v>8</v>
      </c>
      <c r="S34" s="1561">
        <f t="shared" si="12"/>
        <v>100</v>
      </c>
      <c r="T34" s="1560" t="s">
        <v>8</v>
      </c>
      <c r="U34" s="1561">
        <f t="shared" si="13"/>
        <v>100</v>
      </c>
      <c r="V34" s="1560" t="s">
        <v>8</v>
      </c>
      <c r="W34" s="1561">
        <f t="shared" si="14"/>
        <v>100</v>
      </c>
      <c r="X34" s="1554"/>
      <c r="Y34" s="3390"/>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0"/>
      <c r="Q35" s="1559" t="str">
        <f t="shared" si="11"/>
        <v>公共部分装修</v>
      </c>
      <c r="R35" s="1560" t="s">
        <v>8</v>
      </c>
      <c r="S35" s="1561">
        <f t="shared" si="12"/>
        <v>100</v>
      </c>
      <c r="T35" s="1560" t="s">
        <v>8</v>
      </c>
      <c r="U35" s="1561">
        <f t="shared" si="13"/>
        <v>100</v>
      </c>
      <c r="V35" s="1560" t="s">
        <v>8</v>
      </c>
      <c r="W35" s="1561">
        <f t="shared" si="14"/>
        <v>100</v>
      </c>
      <c r="X35" s="1554"/>
      <c r="Y35" s="3390"/>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0"/>
      <c r="Q36" s="1559" t="str">
        <f t="shared" si="11"/>
        <v>成新度</v>
      </c>
      <c r="R36" s="1560" t="s">
        <v>8</v>
      </c>
      <c r="S36" s="1561" t="e">
        <f t="shared" si="12"/>
        <v>#N/A</v>
      </c>
      <c r="T36" s="1560" t="s">
        <v>8</v>
      </c>
      <c r="U36" s="1561" t="e">
        <f t="shared" si="13"/>
        <v>#N/A</v>
      </c>
      <c r="V36" s="1560" t="s">
        <v>8</v>
      </c>
      <c r="W36" s="1561" t="e">
        <f t="shared" si="14"/>
        <v>#N/A</v>
      </c>
      <c r="X36" s="1554"/>
      <c r="Y36" s="3390"/>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0"/>
      <c r="Q37" s="1147" t="str">
        <f t="shared" si="11"/>
        <v>市政基础设施</v>
      </c>
      <c r="R37" s="1555" t="s">
        <v>8</v>
      </c>
      <c r="S37" s="1556">
        <f t="shared" si="12"/>
        <v>100</v>
      </c>
      <c r="T37" s="1555" t="s">
        <v>8</v>
      </c>
      <c r="U37" s="1556">
        <f t="shared" si="13"/>
        <v>100</v>
      </c>
      <c r="V37" s="1555" t="s">
        <v>8</v>
      </c>
      <c r="W37" s="1556">
        <f t="shared" si="14"/>
        <v>100</v>
      </c>
      <c r="X37" s="1557"/>
      <c r="Y37" s="3390"/>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0" t="s">
        <v>766</v>
      </c>
      <c r="Q38" s="1559" t="str">
        <f t="shared" si="11"/>
        <v>业态</v>
      </c>
      <c r="R38" s="1560" t="s">
        <v>8</v>
      </c>
      <c r="S38" s="1561">
        <f t="shared" si="12"/>
        <v>100</v>
      </c>
      <c r="T38" s="1560" t="s">
        <v>8</v>
      </c>
      <c r="U38" s="1561">
        <f t="shared" si="13"/>
        <v>100</v>
      </c>
      <c r="V38" s="1560" t="s">
        <v>8</v>
      </c>
      <c r="W38" s="1561">
        <f t="shared" si="14"/>
        <v>100</v>
      </c>
      <c r="X38" s="1554"/>
      <c r="Y38" s="3390"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c r="Q39" s="1559" t="str">
        <f t="shared" si="11"/>
        <v>层高</v>
      </c>
      <c r="R39" s="1560" t="s">
        <v>8</v>
      </c>
      <c r="S39" s="1561">
        <f t="shared" si="12"/>
        <v>100</v>
      </c>
      <c r="T39" s="1560" t="s">
        <v>8</v>
      </c>
      <c r="U39" s="1561">
        <f t="shared" si="13"/>
        <v>100</v>
      </c>
      <c r="V39" s="1560" t="s">
        <v>8</v>
      </c>
      <c r="W39" s="1561">
        <f t="shared" si="14"/>
        <v>100</v>
      </c>
      <c r="X39" s="1554"/>
      <c r="Y39" s="339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0"/>
      <c r="Q40" s="1559" t="str">
        <f t="shared" si="11"/>
        <v>单套建筑面积</v>
      </c>
      <c r="R40" s="1560" t="s">
        <v>8</v>
      </c>
      <c r="S40" s="1561">
        <f t="shared" si="12"/>
        <v>100</v>
      </c>
      <c r="T40" s="1560" t="s">
        <v>8</v>
      </c>
      <c r="U40" s="1561">
        <f t="shared" si="13"/>
        <v>100</v>
      </c>
      <c r="V40" s="1560" t="s">
        <v>8</v>
      </c>
      <c r="W40" s="1561">
        <f t="shared" si="14"/>
        <v>100</v>
      </c>
      <c r="X40" s="1554"/>
      <c r="Y40" s="3390"/>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0"/>
      <c r="Q41" s="1591" t="str">
        <f t="shared" si="11"/>
        <v>进深比</v>
      </c>
      <c r="R41" s="1564" t="s">
        <v>8</v>
      </c>
      <c r="S41" s="1565">
        <f t="shared" si="12"/>
        <v>100</v>
      </c>
      <c r="T41" s="1564" t="s">
        <v>8</v>
      </c>
      <c r="U41" s="1565">
        <f t="shared" si="13"/>
        <v>100</v>
      </c>
      <c r="V41" s="1564" t="s">
        <v>8</v>
      </c>
      <c r="W41" s="1565">
        <f t="shared" si="14"/>
        <v>100</v>
      </c>
      <c r="X41" s="1566"/>
      <c r="Y41" s="3390"/>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0"/>
      <c r="Q42" s="1559" t="str">
        <f t="shared" si="11"/>
        <v>内部装修</v>
      </c>
      <c r="R42" s="1560" t="s">
        <v>8</v>
      </c>
      <c r="S42" s="1561">
        <f t="shared" si="12"/>
        <v>100</v>
      </c>
      <c r="T42" s="1560" t="s">
        <v>8</v>
      </c>
      <c r="U42" s="1561">
        <f t="shared" si="13"/>
        <v>100</v>
      </c>
      <c r="V42" s="1560" t="s">
        <v>8</v>
      </c>
      <c r="W42" s="1561">
        <f t="shared" si="14"/>
        <v>100</v>
      </c>
      <c r="X42" s="1554"/>
      <c r="Y42" s="3390"/>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0"/>
      <c r="Q43" s="1559" t="str">
        <f t="shared" si="11"/>
        <v>内部装修维护情况</v>
      </c>
      <c r="R43" s="1560" t="s">
        <v>8</v>
      </c>
      <c r="S43" s="1561">
        <f t="shared" si="12"/>
        <v>100</v>
      </c>
      <c r="T43" s="1560" t="s">
        <v>8</v>
      </c>
      <c r="U43" s="1561">
        <f t="shared" si="13"/>
        <v>100</v>
      </c>
      <c r="V43" s="1560" t="s">
        <v>8</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0"/>
      <c r="Q44" s="1147">
        <f t="shared" si="11"/>
        <v>111</v>
      </c>
      <c r="R44" s="1555" t="s">
        <v>8</v>
      </c>
      <c r="S44" s="1556">
        <f t="shared" si="12"/>
        <v>100</v>
      </c>
      <c r="T44" s="1555" t="s">
        <v>8</v>
      </c>
      <c r="U44" s="1556">
        <f t="shared" si="13"/>
        <v>100</v>
      </c>
      <c r="V44" s="1555" t="s">
        <v>8</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0"/>
      <c r="Q45" s="1559">
        <f t="shared" si="11"/>
        <v>111</v>
      </c>
      <c r="R45" s="1560" t="s">
        <v>8</v>
      </c>
      <c r="S45" s="1561">
        <f t="shared" si="12"/>
        <v>100</v>
      </c>
      <c r="T45" s="1560" t="s">
        <v>8</v>
      </c>
      <c r="U45" s="1561">
        <f t="shared" si="13"/>
        <v>100</v>
      </c>
      <c r="V45" s="1560" t="s">
        <v>8</v>
      </c>
      <c r="W45" s="1561">
        <f t="shared" si="14"/>
        <v>100</v>
      </c>
      <c r="X45" s="1554"/>
      <c r="Y45" s="339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1"/>
      <c r="Q46" s="1559">
        <f t="shared" si="11"/>
        <v>111</v>
      </c>
      <c r="R46" s="1560" t="s">
        <v>8</v>
      </c>
      <c r="S46" s="1561">
        <f t="shared" si="12"/>
        <v>100</v>
      </c>
      <c r="T46" s="1560" t="s">
        <v>8</v>
      </c>
      <c r="U46" s="1561">
        <f t="shared" si="13"/>
        <v>100</v>
      </c>
      <c r="V46" s="1560" t="s">
        <v>8</v>
      </c>
      <c r="W46" s="1561">
        <f t="shared" si="14"/>
        <v>100</v>
      </c>
      <c r="X46" s="1554"/>
      <c r="Y46" s="347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53" t="str">
        <f>A47</f>
        <v>成交单价（元/平方米）</v>
      </c>
      <c r="Q47" s="3353"/>
      <c r="R47" s="3470">
        <f>E47</f>
        <v>0</v>
      </c>
      <c r="S47" s="3470"/>
      <c r="T47" s="3470">
        <f>G47</f>
        <v>0</v>
      </c>
      <c r="U47" s="3470"/>
      <c r="V47" s="3470">
        <f>I47</f>
        <v>0</v>
      </c>
      <c r="W47" s="347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53" t="str">
        <f>A48</f>
        <v>比较价格（元/平方米）</v>
      </c>
      <c r="Q48" s="3353"/>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50" t="str">
        <f>A49</f>
        <v>估价对象XX用房的比较价格（楼面单价，元/平方米）</v>
      </c>
      <c r="Q49" s="3351"/>
      <c r="R49" s="3469" t="e">
        <f>IF(F1="售价",ROUND(AVERAGE(R48:V48),0),ROUND(AVERAGE(R48:V48),1))</f>
        <v>#DIV/0!</v>
      </c>
      <c r="S49" s="3469"/>
      <c r="T49" s="3469"/>
      <c r="U49" s="3469"/>
      <c r="V49" s="3469"/>
      <c r="W49" s="346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59" t="s">
        <v>522</v>
      </c>
      <c r="D4" s="3360"/>
      <c r="E4" s="3393" t="s">
        <v>523</v>
      </c>
      <c r="F4" s="3394"/>
      <c r="G4" s="3359" t="s">
        <v>524</v>
      </c>
      <c r="H4" s="3360"/>
      <c r="I4" s="3359" t="s">
        <v>525</v>
      </c>
      <c r="J4" s="3360"/>
      <c r="K4" s="514" t="s">
        <v>526</v>
      </c>
      <c r="L4" s="2119"/>
      <c r="M4" s="2120"/>
      <c r="N4" s="2120"/>
      <c r="O4" s="2120"/>
      <c r="P4" s="3473" t="s">
        <v>527</v>
      </c>
      <c r="Q4" s="3362"/>
      <c r="R4" s="3367" t="s">
        <v>523</v>
      </c>
      <c r="S4" s="3368"/>
      <c r="T4" s="3367" t="s">
        <v>524</v>
      </c>
      <c r="U4" s="3368"/>
      <c r="V4" s="3354" t="s">
        <v>525</v>
      </c>
      <c r="W4" s="3354"/>
      <c r="X4" s="1554"/>
      <c r="Y4" s="3367" t="s">
        <v>527</v>
      </c>
      <c r="Z4" s="3368"/>
      <c r="AA4" s="3356" t="s">
        <v>523</v>
      </c>
      <c r="AB4" s="3356" t="s">
        <v>524</v>
      </c>
      <c r="AC4" s="3356" t="s">
        <v>525</v>
      </c>
    </row>
    <row r="5" spans="1:29" ht="15">
      <c r="A5" s="515"/>
      <c r="B5" s="516"/>
      <c r="C5" s="3375" t="s">
        <v>2931</v>
      </c>
      <c r="D5" s="3376"/>
      <c r="E5" s="3395" t="s">
        <v>2932</v>
      </c>
      <c r="F5" s="3396"/>
      <c r="G5" s="3375" t="s">
        <v>2933</v>
      </c>
      <c r="H5" s="3376"/>
      <c r="I5" s="3375" t="s">
        <v>2934</v>
      </c>
      <c r="J5" s="3376"/>
      <c r="K5" s="514"/>
      <c r="L5" s="2119"/>
      <c r="M5" s="2120"/>
      <c r="N5" s="2120"/>
      <c r="O5" s="2120"/>
      <c r="P5" s="3474"/>
      <c r="Q5" s="3364"/>
      <c r="R5" s="3369"/>
      <c r="S5" s="3370"/>
      <c r="T5" s="3369"/>
      <c r="U5" s="3370"/>
      <c r="V5" s="3354"/>
      <c r="W5" s="3354"/>
      <c r="X5" s="1554"/>
      <c r="Y5" s="3369"/>
      <c r="Z5" s="3370"/>
      <c r="AA5" s="3357"/>
      <c r="AB5" s="3357"/>
      <c r="AC5" s="3357"/>
    </row>
    <row r="6" spans="1:29" ht="15.75" thickBot="1">
      <c r="A6" s="517"/>
      <c r="B6" s="518"/>
      <c r="C6" s="3373" t="s">
        <v>2935</v>
      </c>
      <c r="D6" s="3374"/>
      <c r="E6" s="3391" t="s">
        <v>2935</v>
      </c>
      <c r="F6" s="3392"/>
      <c r="G6" s="3373" t="s">
        <v>2935</v>
      </c>
      <c r="H6" s="3374"/>
      <c r="I6" s="3373" t="s">
        <v>2935</v>
      </c>
      <c r="J6" s="3374"/>
      <c r="K6" s="514" t="s">
        <v>528</v>
      </c>
      <c r="L6" s="2119"/>
      <c r="M6" s="2120"/>
      <c r="N6" s="2120"/>
      <c r="O6" s="2120"/>
      <c r="P6" s="3475"/>
      <c r="Q6" s="3366"/>
      <c r="R6" s="3369"/>
      <c r="S6" s="3370"/>
      <c r="T6" s="3371"/>
      <c r="U6" s="3372"/>
      <c r="V6" s="3354"/>
      <c r="W6" s="3354"/>
      <c r="X6" s="1554"/>
      <c r="Y6" s="3371"/>
      <c r="Z6" s="3372"/>
      <c r="AA6" s="3358"/>
      <c r="AB6" s="3358"/>
      <c r="AC6" s="3358"/>
    </row>
    <row r="7" spans="1:29" s="1216" customFormat="1" ht="15.75" thickBot="1">
      <c r="A7" s="2868"/>
      <c r="B7" s="2875" t="s">
        <v>529</v>
      </c>
      <c r="C7" s="519">
        <f>'数据-取费表'!B2</f>
        <v>43577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6" t="s">
        <v>530</v>
      </c>
      <c r="Q7" s="3386"/>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6" t="s">
        <v>533</v>
      </c>
      <c r="Q8" s="3385"/>
      <c r="R8" s="1555" t="s">
        <v>8</v>
      </c>
      <c r="S8" s="1556">
        <f t="shared" si="0"/>
        <v>0</v>
      </c>
      <c r="T8" s="1555" t="s">
        <v>8</v>
      </c>
      <c r="U8" s="1556">
        <f t="shared" si="1"/>
        <v>0</v>
      </c>
      <c r="V8" s="1555" t="s">
        <v>8</v>
      </c>
      <c r="W8" s="1556">
        <f t="shared" si="2"/>
        <v>0</v>
      </c>
      <c r="X8" s="1557"/>
      <c r="Y8" s="3384" t="s">
        <v>533</v>
      </c>
      <c r="Z8" s="3385"/>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3" t="s">
        <v>535</v>
      </c>
      <c r="Q9" s="1147" t="str">
        <f t="shared" ref="Q9:Q15" si="6">B9</f>
        <v>用途</v>
      </c>
      <c r="R9" s="1555" t="s">
        <v>8</v>
      </c>
      <c r="S9" s="1556">
        <f t="shared" si="0"/>
        <v>100</v>
      </c>
      <c r="T9" s="1555" t="s">
        <v>8</v>
      </c>
      <c r="U9" s="1556">
        <f t="shared" si="1"/>
        <v>100</v>
      </c>
      <c r="V9" s="1555" t="s">
        <v>8</v>
      </c>
      <c r="W9" s="1556">
        <f t="shared" si="2"/>
        <v>100</v>
      </c>
      <c r="X9" s="1557"/>
      <c r="Y9" s="329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3"/>
      <c r="Q10" s="1147" t="str">
        <f t="shared" si="6"/>
        <v>土地使用年限（年）</v>
      </c>
      <c r="R10" s="1555" t="s">
        <v>8</v>
      </c>
      <c r="S10" s="1556">
        <f t="shared" si="0"/>
        <v>100</v>
      </c>
      <c r="T10" s="1555" t="s">
        <v>8</v>
      </c>
      <c r="U10" s="1556">
        <f t="shared" si="1"/>
        <v>100</v>
      </c>
      <c r="V10" s="1555" t="s">
        <v>8</v>
      </c>
      <c r="W10" s="1556">
        <f t="shared" si="2"/>
        <v>100</v>
      </c>
      <c r="X10" s="1557"/>
      <c r="Y10" s="329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3"/>
      <c r="Q11" s="1147" t="str">
        <f t="shared" si="6"/>
        <v>容积率</v>
      </c>
      <c r="R11" s="1555" t="s">
        <v>8</v>
      </c>
      <c r="S11" s="1556" t="e">
        <f t="shared" si="0"/>
        <v>#N/A</v>
      </c>
      <c r="T11" s="1555" t="s">
        <v>8</v>
      </c>
      <c r="U11" s="1556" t="e">
        <f t="shared" si="1"/>
        <v>#N/A</v>
      </c>
      <c r="V11" s="1555" t="s">
        <v>8</v>
      </c>
      <c r="W11" s="1556" t="e">
        <f t="shared" si="2"/>
        <v>#N/A</v>
      </c>
      <c r="X11" s="1557"/>
      <c r="Y11" s="329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3"/>
      <c r="Q12" s="1147">
        <f t="shared" si="6"/>
        <v>111</v>
      </c>
      <c r="R12" s="1555" t="s">
        <v>8</v>
      </c>
      <c r="S12" s="1556">
        <f t="shared" si="0"/>
        <v>100</v>
      </c>
      <c r="T12" s="1555" t="s">
        <v>8</v>
      </c>
      <c r="U12" s="1556">
        <f t="shared" si="1"/>
        <v>100</v>
      </c>
      <c r="V12" s="1555" t="s">
        <v>8</v>
      </c>
      <c r="W12" s="1556">
        <f t="shared" si="2"/>
        <v>100</v>
      </c>
      <c r="X12" s="1557"/>
      <c r="Y12" s="329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3"/>
      <c r="Q13" s="1147">
        <f t="shared" si="6"/>
        <v>111</v>
      </c>
      <c r="R13" s="1555" t="s">
        <v>8</v>
      </c>
      <c r="S13" s="1556">
        <f t="shared" si="0"/>
        <v>100</v>
      </c>
      <c r="T13" s="1555" t="s">
        <v>8</v>
      </c>
      <c r="U13" s="1556">
        <f t="shared" si="1"/>
        <v>100</v>
      </c>
      <c r="V13" s="1555" t="s">
        <v>8</v>
      </c>
      <c r="W13" s="1556">
        <f t="shared" si="2"/>
        <v>100</v>
      </c>
      <c r="X13" s="1557"/>
      <c r="Y13" s="329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3"/>
      <c r="Q14" s="1147">
        <f t="shared" si="6"/>
        <v>111</v>
      </c>
      <c r="R14" s="1555" t="s">
        <v>8</v>
      </c>
      <c r="S14" s="1556">
        <f t="shared" si="0"/>
        <v>100</v>
      </c>
      <c r="T14" s="1555" t="s">
        <v>8</v>
      </c>
      <c r="U14" s="1556">
        <f t="shared" si="1"/>
        <v>100</v>
      </c>
      <c r="V14" s="1555" t="s">
        <v>8</v>
      </c>
      <c r="W14" s="1556">
        <f t="shared" si="2"/>
        <v>100</v>
      </c>
      <c r="X14" s="1557"/>
      <c r="Y14" s="3299"/>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7" t="s">
        <v>540</v>
      </c>
      <c r="Q15" s="1559" t="str">
        <f t="shared" si="6"/>
        <v>办公集聚程度</v>
      </c>
      <c r="R15" s="1560" t="s">
        <v>8</v>
      </c>
      <c r="S15" s="1561">
        <f t="shared" si="0"/>
        <v>100</v>
      </c>
      <c r="T15" s="1560" t="s">
        <v>8</v>
      </c>
      <c r="U15" s="1561">
        <f t="shared" si="1"/>
        <v>100</v>
      </c>
      <c r="V15" s="1560" t="s">
        <v>8</v>
      </c>
      <c r="W15" s="1561">
        <f t="shared" si="2"/>
        <v>100</v>
      </c>
      <c r="X15" s="1554"/>
      <c r="Y15" s="338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8"/>
      <c r="Q16" s="1559"/>
      <c r="R16" s="1560"/>
      <c r="S16" s="1561"/>
      <c r="T16" s="1560"/>
      <c r="U16" s="1561"/>
      <c r="V16" s="1560"/>
      <c r="W16" s="1561"/>
      <c r="X16" s="1554"/>
      <c r="Y16" s="3388"/>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8"/>
      <c r="Q18" s="1559"/>
      <c r="R18" s="1560"/>
      <c r="S18" s="1561"/>
      <c r="T18" s="1560"/>
      <c r="U18" s="1561"/>
      <c r="V18" s="1560"/>
      <c r="W18" s="1561"/>
      <c r="X18" s="1554"/>
      <c r="Y18" s="3388"/>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8"/>
      <c r="Q20" s="1559"/>
      <c r="R20" s="1560"/>
      <c r="S20" s="1561"/>
      <c r="T20" s="1560"/>
      <c r="U20" s="1561"/>
      <c r="V20" s="1560"/>
      <c r="W20" s="1561"/>
      <c r="X20" s="1554"/>
      <c r="Y20" s="3388"/>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8"/>
      <c r="Q22" s="2544"/>
      <c r="R22" s="1560"/>
      <c r="S22" s="1561"/>
      <c r="T22" s="1560"/>
      <c r="U22" s="1561"/>
      <c r="V22" s="1560"/>
      <c r="W22" s="1561"/>
      <c r="X22" s="2546"/>
      <c r="Y22" s="3388"/>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8"/>
      <c r="Q24" s="1559"/>
      <c r="R24" s="1560"/>
      <c r="S24" s="1561"/>
      <c r="T24" s="1560"/>
      <c r="U24" s="1561"/>
      <c r="V24" s="1560"/>
      <c r="W24" s="1561"/>
      <c r="X24" s="1554"/>
      <c r="Y24" s="338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8"/>
      <c r="Q25" s="1559" t="str">
        <f>B25</f>
        <v>毗邻道路的类型与等级</v>
      </c>
      <c r="R25" s="1560" t="s">
        <v>8</v>
      </c>
      <c r="S25" s="1561">
        <f>F25</f>
        <v>100</v>
      </c>
      <c r="T25" s="1560" t="s">
        <v>8</v>
      </c>
      <c r="U25" s="1561">
        <f>H25</f>
        <v>100</v>
      </c>
      <c r="V25" s="1560" t="s">
        <v>8</v>
      </c>
      <c r="W25" s="1561">
        <f>J25</f>
        <v>100</v>
      </c>
      <c r="X25" s="1554"/>
      <c r="Y25" s="338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8"/>
      <c r="Q26" s="1559"/>
      <c r="R26" s="1560"/>
      <c r="S26" s="1561"/>
      <c r="T26" s="1560"/>
      <c r="U26" s="1561"/>
      <c r="V26" s="1560"/>
      <c r="W26" s="1561"/>
      <c r="X26" s="1554"/>
      <c r="Y26" s="338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8"/>
      <c r="Q27" s="1559" t="str">
        <f t="shared" ref="Q27:Q47" si="11">B27</f>
        <v>楼层</v>
      </c>
      <c r="R27" s="1560" t="s">
        <v>8</v>
      </c>
      <c r="S27" s="1561">
        <f>F27</f>
        <v>100</v>
      </c>
      <c r="T27" s="1560" t="s">
        <v>8</v>
      </c>
      <c r="U27" s="1561">
        <f>H27</f>
        <v>100</v>
      </c>
      <c r="V27" s="1560" t="s">
        <v>8</v>
      </c>
      <c r="W27" s="1561">
        <f>J27</f>
        <v>100</v>
      </c>
      <c r="X27" s="1554"/>
      <c r="Y27" s="338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8"/>
      <c r="Q28" s="1147" t="str">
        <f t="shared" si="11"/>
        <v>朝向</v>
      </c>
      <c r="R28" s="1555" t="s">
        <v>8</v>
      </c>
      <c r="S28" s="1556">
        <f>F28</f>
        <v>100</v>
      </c>
      <c r="T28" s="1555" t="s">
        <v>8</v>
      </c>
      <c r="U28" s="1556">
        <f>H28</f>
        <v>100</v>
      </c>
      <c r="V28" s="1555" t="s">
        <v>8</v>
      </c>
      <c r="W28" s="1556">
        <f>J28</f>
        <v>100</v>
      </c>
      <c r="X28" s="1557"/>
      <c r="Y28" s="338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8"/>
      <c r="Q29" s="1559">
        <f t="shared" si="11"/>
        <v>111</v>
      </c>
      <c r="R29" s="1560" t="s">
        <v>8</v>
      </c>
      <c r="S29" s="1561">
        <f t="shared" ref="S29:S47" si="12">F29</f>
        <v>100</v>
      </c>
      <c r="T29" s="1560" t="s">
        <v>8</v>
      </c>
      <c r="U29" s="1561">
        <f t="shared" ref="U29:U47" si="13">H29</f>
        <v>100</v>
      </c>
      <c r="V29" s="1560" t="s">
        <v>8</v>
      </c>
      <c r="W29" s="1561">
        <f t="shared" ref="W29:W47" si="14">J29</f>
        <v>100</v>
      </c>
      <c r="X29" s="1554"/>
      <c r="Y29" s="338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8"/>
      <c r="Q32" s="1559">
        <f t="shared" si="11"/>
        <v>111</v>
      </c>
      <c r="R32" s="1560" t="s">
        <v>8</v>
      </c>
      <c r="S32" s="1561">
        <f t="shared" si="12"/>
        <v>100</v>
      </c>
      <c r="T32" s="1560" t="s">
        <v>8</v>
      </c>
      <c r="U32" s="1561">
        <f t="shared" si="13"/>
        <v>100</v>
      </c>
      <c r="V32" s="1560" t="s">
        <v>8</v>
      </c>
      <c r="W32" s="1561">
        <f t="shared" si="14"/>
        <v>100</v>
      </c>
      <c r="X32" s="1554"/>
      <c r="Y32" s="3388"/>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9" t="s">
        <v>550</v>
      </c>
      <c r="Q33" s="1559" t="str">
        <f t="shared" si="11"/>
        <v>建筑类型</v>
      </c>
      <c r="R33" s="1560" t="s">
        <v>8</v>
      </c>
      <c r="S33" s="1561">
        <f t="shared" si="12"/>
        <v>100</v>
      </c>
      <c r="T33" s="1560" t="s">
        <v>8</v>
      </c>
      <c r="U33" s="1561">
        <f t="shared" si="13"/>
        <v>100</v>
      </c>
      <c r="V33" s="1560" t="s">
        <v>8</v>
      </c>
      <c r="W33" s="1561">
        <f t="shared" si="14"/>
        <v>100</v>
      </c>
      <c r="X33" s="1554"/>
      <c r="Y33" s="339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0"/>
      <c r="Q34" s="1591" t="str">
        <f t="shared" si="11"/>
        <v>项目建筑规模</v>
      </c>
      <c r="R34" s="1564" t="s">
        <v>8</v>
      </c>
      <c r="S34" s="1565" t="e">
        <f t="shared" si="12"/>
        <v>#N/A</v>
      </c>
      <c r="T34" s="1564" t="s">
        <v>8</v>
      </c>
      <c r="U34" s="1565" t="e">
        <f t="shared" si="13"/>
        <v>#N/A</v>
      </c>
      <c r="V34" s="1564" t="s">
        <v>8</v>
      </c>
      <c r="W34" s="1565" t="e">
        <f t="shared" si="14"/>
        <v>#N/A</v>
      </c>
      <c r="X34" s="1566"/>
      <c r="Y34" s="339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0"/>
      <c r="Q35" s="1559" t="str">
        <f t="shared" si="11"/>
        <v>建筑结构</v>
      </c>
      <c r="R35" s="1560" t="s">
        <v>8</v>
      </c>
      <c r="S35" s="1561">
        <f t="shared" si="12"/>
        <v>100</v>
      </c>
      <c r="T35" s="1560" t="s">
        <v>8</v>
      </c>
      <c r="U35" s="1561">
        <f t="shared" si="13"/>
        <v>100</v>
      </c>
      <c r="V35" s="1560" t="s">
        <v>8</v>
      </c>
      <c r="W35" s="1561">
        <f t="shared" si="14"/>
        <v>100</v>
      </c>
      <c r="X35" s="1554"/>
      <c r="Y35" s="339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0"/>
      <c r="Q36" s="1559" t="str">
        <f t="shared" si="11"/>
        <v>公共部分装修</v>
      </c>
      <c r="R36" s="1560" t="s">
        <v>8</v>
      </c>
      <c r="S36" s="1561">
        <f t="shared" si="12"/>
        <v>100</v>
      </c>
      <c r="T36" s="1560" t="s">
        <v>8</v>
      </c>
      <c r="U36" s="1561">
        <f t="shared" si="13"/>
        <v>100</v>
      </c>
      <c r="V36" s="1560" t="s">
        <v>8</v>
      </c>
      <c r="W36" s="1561">
        <f t="shared" si="14"/>
        <v>100</v>
      </c>
      <c r="X36" s="1554"/>
      <c r="Y36" s="339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0"/>
      <c r="Q37" s="1559" t="str">
        <f t="shared" si="11"/>
        <v>成新度</v>
      </c>
      <c r="R37" s="1560" t="s">
        <v>8</v>
      </c>
      <c r="S37" s="1561" t="e">
        <f t="shared" si="12"/>
        <v>#N/A</v>
      </c>
      <c r="T37" s="1560" t="s">
        <v>8</v>
      </c>
      <c r="U37" s="1561" t="e">
        <f t="shared" si="13"/>
        <v>#N/A</v>
      </c>
      <c r="V37" s="1560" t="s">
        <v>8</v>
      </c>
      <c r="W37" s="1561" t="e">
        <f t="shared" si="14"/>
        <v>#N/A</v>
      </c>
      <c r="X37" s="1554"/>
      <c r="Y37" s="339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0"/>
      <c r="Q38" s="1147" t="str">
        <f t="shared" si="11"/>
        <v>写字楼等级</v>
      </c>
      <c r="R38" s="1555" t="s">
        <v>8</v>
      </c>
      <c r="S38" s="1556">
        <f t="shared" si="12"/>
        <v>100</v>
      </c>
      <c r="T38" s="1555" t="s">
        <v>8</v>
      </c>
      <c r="U38" s="1556">
        <f t="shared" si="13"/>
        <v>100</v>
      </c>
      <c r="V38" s="1555" t="s">
        <v>8</v>
      </c>
      <c r="W38" s="1556">
        <f t="shared" si="14"/>
        <v>100</v>
      </c>
      <c r="X38" s="1557"/>
      <c r="Y38" s="339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0" t="s">
        <v>550</v>
      </c>
      <c r="Q39" s="1559" t="str">
        <f t="shared" si="11"/>
        <v>物业管理</v>
      </c>
      <c r="R39" s="1560" t="s">
        <v>8</v>
      </c>
      <c r="S39" s="1561">
        <f t="shared" si="12"/>
        <v>100</v>
      </c>
      <c r="T39" s="1560" t="s">
        <v>8</v>
      </c>
      <c r="U39" s="1561">
        <f t="shared" si="13"/>
        <v>100</v>
      </c>
      <c r="V39" s="1560" t="s">
        <v>8</v>
      </c>
      <c r="W39" s="1561">
        <f t="shared" si="14"/>
        <v>100</v>
      </c>
      <c r="X39" s="1554"/>
      <c r="Y39" s="3390"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0"/>
      <c r="Q40" s="1559" t="str">
        <f t="shared" si="11"/>
        <v>市政基础设施</v>
      </c>
      <c r="R40" s="1560" t="s">
        <v>8</v>
      </c>
      <c r="S40" s="1561">
        <f t="shared" si="12"/>
        <v>100</v>
      </c>
      <c r="T40" s="1560" t="s">
        <v>8</v>
      </c>
      <c r="U40" s="1561">
        <f t="shared" si="13"/>
        <v>100</v>
      </c>
      <c r="V40" s="1560" t="s">
        <v>8</v>
      </c>
      <c r="W40" s="1561">
        <f t="shared" si="14"/>
        <v>100</v>
      </c>
      <c r="X40" s="1554"/>
      <c r="Y40" s="339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0"/>
      <c r="Q41" s="1559" t="str">
        <f t="shared" si="11"/>
        <v>层高</v>
      </c>
      <c r="R41" s="1560" t="s">
        <v>8</v>
      </c>
      <c r="S41" s="1561">
        <f t="shared" si="12"/>
        <v>100</v>
      </c>
      <c r="T41" s="1560" t="s">
        <v>8</v>
      </c>
      <c r="U41" s="1561">
        <f t="shared" si="13"/>
        <v>100</v>
      </c>
      <c r="V41" s="1560" t="s">
        <v>8</v>
      </c>
      <c r="W41" s="1561">
        <f t="shared" si="14"/>
        <v>100</v>
      </c>
      <c r="X41" s="1554"/>
      <c r="Y41" s="339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0"/>
      <c r="Q42" s="1591" t="str">
        <f t="shared" si="11"/>
        <v>单套建筑面积</v>
      </c>
      <c r="R42" s="1564" t="s">
        <v>8</v>
      </c>
      <c r="S42" s="1565">
        <f t="shared" si="12"/>
        <v>100</v>
      </c>
      <c r="T42" s="1564" t="s">
        <v>8</v>
      </c>
      <c r="U42" s="1565">
        <f t="shared" si="13"/>
        <v>100</v>
      </c>
      <c r="V42" s="1564" t="s">
        <v>8</v>
      </c>
      <c r="W42" s="1565">
        <f t="shared" si="14"/>
        <v>100</v>
      </c>
      <c r="X42" s="1566"/>
      <c r="Y42" s="339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0"/>
      <c r="Q43" s="1559" t="str">
        <f t="shared" si="11"/>
        <v>内部装修</v>
      </c>
      <c r="R43" s="1560" t="s">
        <v>8</v>
      </c>
      <c r="S43" s="1561">
        <f t="shared" si="12"/>
        <v>100</v>
      </c>
      <c r="T43" s="1560" t="s">
        <v>8</v>
      </c>
      <c r="U43" s="1561">
        <f t="shared" si="13"/>
        <v>100</v>
      </c>
      <c r="V43" s="1560" t="s">
        <v>8</v>
      </c>
      <c r="W43" s="1561">
        <f t="shared" si="14"/>
        <v>100</v>
      </c>
      <c r="X43" s="1554"/>
      <c r="Y43" s="3390"/>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0"/>
      <c r="Q44" s="1559" t="str">
        <f t="shared" si="11"/>
        <v>内部装修维护情况</v>
      </c>
      <c r="R44" s="1560" t="s">
        <v>8</v>
      </c>
      <c r="S44" s="1561">
        <f t="shared" si="12"/>
        <v>100</v>
      </c>
      <c r="T44" s="1560" t="s">
        <v>8</v>
      </c>
      <c r="U44" s="1561">
        <f t="shared" si="13"/>
        <v>100</v>
      </c>
      <c r="V44" s="1560" t="s">
        <v>8</v>
      </c>
      <c r="W44" s="1561">
        <f t="shared" si="14"/>
        <v>100</v>
      </c>
      <c r="X44" s="1554"/>
      <c r="Y44" s="339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0"/>
      <c r="Q45" s="1147">
        <f t="shared" si="11"/>
        <v>111</v>
      </c>
      <c r="R45" s="1555" t="s">
        <v>8</v>
      </c>
      <c r="S45" s="1556">
        <f t="shared" si="12"/>
        <v>100</v>
      </c>
      <c r="T45" s="1555" t="s">
        <v>8</v>
      </c>
      <c r="U45" s="1556">
        <f t="shared" si="13"/>
        <v>100</v>
      </c>
      <c r="V45" s="1555" t="s">
        <v>8</v>
      </c>
      <c r="W45" s="1556">
        <f t="shared" si="14"/>
        <v>100</v>
      </c>
      <c r="X45" s="1557"/>
      <c r="Y45" s="339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0"/>
      <c r="Q46" s="1559">
        <f t="shared" si="11"/>
        <v>111</v>
      </c>
      <c r="R46" s="1560" t="s">
        <v>8</v>
      </c>
      <c r="S46" s="1561">
        <f t="shared" si="12"/>
        <v>100</v>
      </c>
      <c r="T46" s="1560" t="s">
        <v>8</v>
      </c>
      <c r="U46" s="1561">
        <f t="shared" si="13"/>
        <v>100</v>
      </c>
      <c r="V46" s="1560" t="s">
        <v>8</v>
      </c>
      <c r="W46" s="1561">
        <f t="shared" si="14"/>
        <v>100</v>
      </c>
      <c r="X46" s="1554"/>
      <c r="Y46" s="339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1"/>
      <c r="Q47" s="1559">
        <f t="shared" si="11"/>
        <v>111</v>
      </c>
      <c r="R47" s="1560" t="s">
        <v>8</v>
      </c>
      <c r="S47" s="1561">
        <f t="shared" si="12"/>
        <v>100</v>
      </c>
      <c r="T47" s="1560" t="s">
        <v>8</v>
      </c>
      <c r="U47" s="1561">
        <f t="shared" si="13"/>
        <v>100</v>
      </c>
      <c r="V47" s="1560" t="s">
        <v>8</v>
      </c>
      <c r="W47" s="1561">
        <f t="shared" si="14"/>
        <v>100</v>
      </c>
      <c r="X47" s="1554"/>
      <c r="Y47" s="347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51" t="str">
        <f>A48</f>
        <v>成交单价（元/平方米）</v>
      </c>
      <c r="Q48" s="3353"/>
      <c r="R48" s="3470">
        <f>E48</f>
        <v>0</v>
      </c>
      <c r="S48" s="3470"/>
      <c r="T48" s="3470">
        <f>G48</f>
        <v>0</v>
      </c>
      <c r="U48" s="3470"/>
      <c r="V48" s="3470">
        <f>I48</f>
        <v>0</v>
      </c>
      <c r="W48" s="347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51" t="str">
        <f>A49</f>
        <v>比较价格（元/平方米）</v>
      </c>
      <c r="Q49" s="3353"/>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72" t="str">
        <f>A50</f>
        <v>估价对象XX用房的比较价格（楼面单价，元/平方米）</v>
      </c>
      <c r="Q50" s="3351"/>
      <c r="R50" s="3469" t="e">
        <f>IF(F1="售价",ROUND(AVERAGE(R49:V49),0),ROUND(AVERAGE(R49:V49),1))</f>
        <v>#DIV/0!</v>
      </c>
      <c r="S50" s="3469"/>
      <c r="T50" s="3469"/>
      <c r="U50" s="3469"/>
      <c r="V50" s="3469"/>
      <c r="W50" s="346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2019-4</v>
      </c>
      <c r="D59" s="2760">
        <f>EDATE(C59,-1)</f>
        <v>43525</v>
      </c>
      <c r="E59" s="2760">
        <f t="shared" ref="E59:O59" si="16">EDATE(D59,-1)</f>
        <v>43497</v>
      </c>
      <c r="F59" s="2760">
        <f t="shared" si="16"/>
        <v>43466</v>
      </c>
      <c r="G59" s="2760">
        <f t="shared" si="16"/>
        <v>43435</v>
      </c>
      <c r="H59" s="2760">
        <f t="shared" si="16"/>
        <v>43405</v>
      </c>
      <c r="I59" s="2760">
        <f t="shared" si="16"/>
        <v>43374</v>
      </c>
      <c r="J59" s="2760">
        <f t="shared" si="16"/>
        <v>43344</v>
      </c>
      <c r="K59" s="2760">
        <f t="shared" si="16"/>
        <v>43313</v>
      </c>
      <c r="L59" s="2760">
        <f t="shared" si="16"/>
        <v>43282</v>
      </c>
      <c r="M59" s="2760">
        <f t="shared" si="16"/>
        <v>43252</v>
      </c>
      <c r="N59" s="2760">
        <f t="shared" si="16"/>
        <v>43221</v>
      </c>
      <c r="O59" s="2760">
        <f t="shared" si="16"/>
        <v>43191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59" t="s">
        <v>522</v>
      </c>
      <c r="D4" s="3360"/>
      <c r="E4" s="3393" t="s">
        <v>523</v>
      </c>
      <c r="F4" s="3394"/>
      <c r="G4" s="3359" t="s">
        <v>524</v>
      </c>
      <c r="H4" s="3360"/>
      <c r="I4" s="3359" t="s">
        <v>525</v>
      </c>
      <c r="J4" s="3360"/>
      <c r="K4" s="514" t="s">
        <v>526</v>
      </c>
      <c r="L4" s="2119"/>
      <c r="M4" s="2120"/>
      <c r="N4" s="2120"/>
      <c r="O4" s="2120"/>
      <c r="P4" s="3361" t="s">
        <v>527</v>
      </c>
      <c r="Q4" s="3362"/>
      <c r="R4" s="3367" t="s">
        <v>523</v>
      </c>
      <c r="S4" s="3368"/>
      <c r="T4" s="3367" t="s">
        <v>524</v>
      </c>
      <c r="U4" s="3368"/>
      <c r="V4" s="3354" t="s">
        <v>525</v>
      </c>
      <c r="W4" s="3354"/>
      <c r="X4" s="1554"/>
      <c r="Y4" s="3367" t="s">
        <v>527</v>
      </c>
      <c r="Z4" s="3368"/>
      <c r="AA4" s="3356" t="s">
        <v>523</v>
      </c>
      <c r="AB4" s="3357" t="s">
        <v>524</v>
      </c>
      <c r="AC4" s="3356" t="s">
        <v>525</v>
      </c>
    </row>
    <row r="5" spans="1:29" ht="15">
      <c r="A5" s="515"/>
      <c r="B5" s="516"/>
      <c r="C5" s="3375" t="s">
        <v>2931</v>
      </c>
      <c r="D5" s="3376"/>
      <c r="E5" s="3395" t="s">
        <v>2932</v>
      </c>
      <c r="F5" s="3396"/>
      <c r="G5" s="3375" t="s">
        <v>2933</v>
      </c>
      <c r="H5" s="3376"/>
      <c r="I5" s="3375" t="s">
        <v>2934</v>
      </c>
      <c r="J5" s="3376"/>
      <c r="K5" s="514"/>
      <c r="L5" s="2119"/>
      <c r="M5" s="2120"/>
      <c r="N5" s="2120"/>
      <c r="O5" s="2120"/>
      <c r="P5" s="3363"/>
      <c r="Q5" s="3364"/>
      <c r="R5" s="3369"/>
      <c r="S5" s="3370"/>
      <c r="T5" s="3369"/>
      <c r="U5" s="3370"/>
      <c r="V5" s="3354"/>
      <c r="W5" s="3354"/>
      <c r="X5" s="1554"/>
      <c r="Y5" s="3369"/>
      <c r="Z5" s="3370"/>
      <c r="AA5" s="3357"/>
      <c r="AB5" s="3357"/>
      <c r="AC5" s="3357"/>
    </row>
    <row r="6" spans="1:29" ht="15.75" thickBot="1">
      <c r="A6" s="517"/>
      <c r="B6" s="518"/>
      <c r="C6" s="3373" t="s">
        <v>2935</v>
      </c>
      <c r="D6" s="3374"/>
      <c r="E6" s="3391" t="s">
        <v>2935</v>
      </c>
      <c r="F6" s="3392"/>
      <c r="G6" s="3373" t="s">
        <v>2935</v>
      </c>
      <c r="H6" s="3374"/>
      <c r="I6" s="3373" t="s">
        <v>2935</v>
      </c>
      <c r="J6" s="3374"/>
      <c r="K6" s="514" t="s">
        <v>528</v>
      </c>
      <c r="L6" s="2119"/>
      <c r="M6" s="2120"/>
      <c r="N6" s="2120"/>
      <c r="O6" s="2120"/>
      <c r="P6" s="3365"/>
      <c r="Q6" s="3366"/>
      <c r="R6" s="3369"/>
      <c r="S6" s="3370"/>
      <c r="T6" s="3371"/>
      <c r="U6" s="3372"/>
      <c r="V6" s="3354"/>
      <c r="W6" s="3354"/>
      <c r="X6" s="1554"/>
      <c r="Y6" s="3371"/>
      <c r="Z6" s="3372"/>
      <c r="AA6" s="3358"/>
      <c r="AB6" s="3358"/>
      <c r="AC6" s="3358"/>
    </row>
    <row r="7" spans="1:29" s="1216" customFormat="1" ht="15.75" thickBot="1">
      <c r="A7" s="2868"/>
      <c r="B7" s="2875" t="s">
        <v>529</v>
      </c>
      <c r="C7" s="519">
        <f>'数据-取费表'!B2</f>
        <v>43577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4" t="s">
        <v>530</v>
      </c>
      <c r="Q7" s="3386"/>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3" t="s">
        <v>535</v>
      </c>
      <c r="Q9" s="1147" t="str">
        <f t="shared" ref="Q9:Q15" si="6">B9</f>
        <v>用途</v>
      </c>
      <c r="R9" s="1555" t="s">
        <v>8</v>
      </c>
      <c r="S9" s="1556">
        <f t="shared" si="0"/>
        <v>100</v>
      </c>
      <c r="T9" s="1555" t="s">
        <v>8</v>
      </c>
      <c r="U9" s="1556">
        <f t="shared" si="1"/>
        <v>100</v>
      </c>
      <c r="V9" s="1555" t="s">
        <v>8</v>
      </c>
      <c r="W9" s="1556">
        <f t="shared" si="2"/>
        <v>100</v>
      </c>
      <c r="X9" s="1557"/>
      <c r="Y9" s="329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3"/>
      <c r="Q10" s="1147" t="str">
        <f t="shared" si="6"/>
        <v>土地使用年限（年）</v>
      </c>
      <c r="R10" s="1555" t="s">
        <v>8</v>
      </c>
      <c r="S10" s="1556">
        <f t="shared" si="0"/>
        <v>100</v>
      </c>
      <c r="T10" s="1555" t="s">
        <v>8</v>
      </c>
      <c r="U10" s="1556">
        <f t="shared" si="1"/>
        <v>100</v>
      </c>
      <c r="V10" s="1555" t="s">
        <v>8</v>
      </c>
      <c r="W10" s="1556">
        <f t="shared" si="2"/>
        <v>100</v>
      </c>
      <c r="X10" s="1557"/>
      <c r="Y10" s="329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3"/>
      <c r="Q11" s="1147" t="str">
        <f t="shared" si="6"/>
        <v>容积率</v>
      </c>
      <c r="R11" s="1555" t="s">
        <v>8</v>
      </c>
      <c r="S11" s="1556" t="e">
        <f t="shared" si="0"/>
        <v>#N/A</v>
      </c>
      <c r="T11" s="1555" t="s">
        <v>8</v>
      </c>
      <c r="U11" s="1556" t="e">
        <f t="shared" si="1"/>
        <v>#N/A</v>
      </c>
      <c r="V11" s="1555" t="s">
        <v>8</v>
      </c>
      <c r="W11" s="1556" t="e">
        <f t="shared" si="2"/>
        <v>#N/A</v>
      </c>
      <c r="X11" s="1557"/>
      <c r="Y11" s="329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3"/>
      <c r="Q12" s="1147">
        <f t="shared" si="6"/>
        <v>111</v>
      </c>
      <c r="R12" s="1555" t="s">
        <v>8</v>
      </c>
      <c r="S12" s="1556">
        <f t="shared" si="0"/>
        <v>100</v>
      </c>
      <c r="T12" s="1555" t="s">
        <v>8</v>
      </c>
      <c r="U12" s="1556">
        <f t="shared" si="1"/>
        <v>100</v>
      </c>
      <c r="V12" s="1555" t="s">
        <v>8</v>
      </c>
      <c r="W12" s="1556">
        <f t="shared" si="2"/>
        <v>100</v>
      </c>
      <c r="X12" s="1557"/>
      <c r="Y12" s="329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3"/>
      <c r="Q13" s="1147">
        <f t="shared" si="6"/>
        <v>111</v>
      </c>
      <c r="R13" s="1555" t="s">
        <v>8</v>
      </c>
      <c r="S13" s="1556">
        <f t="shared" si="0"/>
        <v>100</v>
      </c>
      <c r="T13" s="1555" t="s">
        <v>8</v>
      </c>
      <c r="U13" s="1556">
        <f t="shared" si="1"/>
        <v>100</v>
      </c>
      <c r="V13" s="1555" t="s">
        <v>8</v>
      </c>
      <c r="W13" s="1556">
        <f t="shared" si="2"/>
        <v>100</v>
      </c>
      <c r="X13" s="1557"/>
      <c r="Y13" s="329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3"/>
      <c r="Q14" s="1147">
        <f t="shared" si="6"/>
        <v>111</v>
      </c>
      <c r="R14" s="1555" t="s">
        <v>8</v>
      </c>
      <c r="S14" s="1556">
        <f t="shared" si="0"/>
        <v>100</v>
      </c>
      <c r="T14" s="1555" t="s">
        <v>8</v>
      </c>
      <c r="U14" s="1556">
        <f t="shared" si="1"/>
        <v>100</v>
      </c>
      <c r="V14" s="1555" t="s">
        <v>8</v>
      </c>
      <c r="W14" s="1556">
        <f t="shared" si="2"/>
        <v>100</v>
      </c>
      <c r="X14" s="1557"/>
      <c r="Y14" s="3299"/>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7" t="s">
        <v>540</v>
      </c>
      <c r="Q15" s="1559" t="str">
        <f t="shared" si="6"/>
        <v>产业集聚程度</v>
      </c>
      <c r="R15" s="1560" t="s">
        <v>8</v>
      </c>
      <c r="S15" s="1561">
        <f t="shared" si="0"/>
        <v>100</v>
      </c>
      <c r="T15" s="1560" t="s">
        <v>8</v>
      </c>
      <c r="U15" s="1561">
        <f t="shared" si="1"/>
        <v>100</v>
      </c>
      <c r="V15" s="1560" t="s">
        <v>8</v>
      </c>
      <c r="W15" s="1561">
        <f t="shared" si="2"/>
        <v>100</v>
      </c>
      <c r="X15" s="1554"/>
      <c r="Y15" s="338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8"/>
      <c r="Q25" s="1559">
        <f>B25</f>
        <v>111</v>
      </c>
      <c r="R25" s="1560" t="s">
        <v>8</v>
      </c>
      <c r="S25" s="1561">
        <f>F25</f>
        <v>100</v>
      </c>
      <c r="T25" s="1560" t="s">
        <v>8</v>
      </c>
      <c r="U25" s="1561">
        <f>H25</f>
        <v>100</v>
      </c>
      <c r="V25" s="1560" t="s">
        <v>8</v>
      </c>
      <c r="W25" s="1561">
        <f>J25</f>
        <v>100</v>
      </c>
      <c r="X25" s="1554"/>
      <c r="Y25" s="338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8"/>
      <c r="Q26" s="1559">
        <f t="shared" ref="Q26:Q40" si="11">B26</f>
        <v>111</v>
      </c>
      <c r="R26" s="1560" t="s">
        <v>8</v>
      </c>
      <c r="S26" s="1561">
        <f>F26</f>
        <v>100</v>
      </c>
      <c r="T26" s="1560" t="s">
        <v>8</v>
      </c>
      <c r="U26" s="1561">
        <f>H26</f>
        <v>100</v>
      </c>
      <c r="V26" s="1560" t="s">
        <v>8</v>
      </c>
      <c r="W26" s="1561">
        <f>J26</f>
        <v>100</v>
      </c>
      <c r="X26" s="1554"/>
      <c r="Y26" s="338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8"/>
      <c r="Q27" s="1147">
        <f t="shared" si="11"/>
        <v>111</v>
      </c>
      <c r="R27" s="1555" t="s">
        <v>8</v>
      </c>
      <c r="S27" s="1556">
        <f>F27</f>
        <v>100</v>
      </c>
      <c r="T27" s="1555" t="s">
        <v>8</v>
      </c>
      <c r="U27" s="1556">
        <f>H27</f>
        <v>100</v>
      </c>
      <c r="V27" s="1555" t="s">
        <v>8</v>
      </c>
      <c r="W27" s="1556">
        <f>J27</f>
        <v>100</v>
      </c>
      <c r="X27" s="1557"/>
      <c r="Y27" s="338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8"/>
      <c r="Q28" s="1559">
        <f t="shared" si="11"/>
        <v>111</v>
      </c>
      <c r="R28" s="1560" t="s">
        <v>8</v>
      </c>
      <c r="S28" s="1561">
        <f t="shared" ref="S28:S40" si="12">F28</f>
        <v>100</v>
      </c>
      <c r="T28" s="1560" t="s">
        <v>8</v>
      </c>
      <c r="U28" s="1561">
        <f t="shared" ref="U28:U40" si="13">H28</f>
        <v>100</v>
      </c>
      <c r="V28" s="1560" t="s">
        <v>8</v>
      </c>
      <c r="W28" s="1561">
        <f t="shared" ref="W28:W40" si="14">J28</f>
        <v>100</v>
      </c>
      <c r="X28" s="1554"/>
      <c r="Y28" s="3388"/>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9" t="s">
        <v>550</v>
      </c>
      <c r="Q29" s="1559" t="str">
        <f t="shared" si="11"/>
        <v>建筑类型</v>
      </c>
      <c r="R29" s="1560" t="s">
        <v>8</v>
      </c>
      <c r="S29" s="1561">
        <f t="shared" si="12"/>
        <v>100</v>
      </c>
      <c r="T29" s="1560" t="s">
        <v>8</v>
      </c>
      <c r="U29" s="1561">
        <f t="shared" si="13"/>
        <v>100</v>
      </c>
      <c r="V29" s="1560" t="s">
        <v>8</v>
      </c>
      <c r="W29" s="1561">
        <f t="shared" si="14"/>
        <v>100</v>
      </c>
      <c r="X29" s="1554"/>
      <c r="Y29" s="339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0"/>
      <c r="Q30" s="1591" t="str">
        <f t="shared" si="11"/>
        <v>项目建筑规模</v>
      </c>
      <c r="R30" s="1564" t="s">
        <v>8</v>
      </c>
      <c r="S30" s="1565" t="e">
        <f t="shared" si="12"/>
        <v>#N/A</v>
      </c>
      <c r="T30" s="1564" t="s">
        <v>8</v>
      </c>
      <c r="U30" s="1565" t="e">
        <f t="shared" si="13"/>
        <v>#N/A</v>
      </c>
      <c r="V30" s="1564" t="s">
        <v>8</v>
      </c>
      <c r="W30" s="1565" t="e">
        <f t="shared" si="14"/>
        <v>#N/A</v>
      </c>
      <c r="X30" s="1566"/>
      <c r="Y30" s="339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0"/>
      <c r="Q31" s="1559" t="str">
        <f t="shared" si="11"/>
        <v>建筑结构</v>
      </c>
      <c r="R31" s="1560" t="s">
        <v>8</v>
      </c>
      <c r="S31" s="1561">
        <f t="shared" si="12"/>
        <v>100</v>
      </c>
      <c r="T31" s="1560" t="s">
        <v>8</v>
      </c>
      <c r="U31" s="1561">
        <f t="shared" si="13"/>
        <v>100</v>
      </c>
      <c r="V31" s="1560" t="s">
        <v>8</v>
      </c>
      <c r="W31" s="1561">
        <f t="shared" si="14"/>
        <v>100</v>
      </c>
      <c r="X31" s="1554"/>
      <c r="Y31" s="339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0"/>
      <c r="Q32" s="1559" t="str">
        <f t="shared" si="11"/>
        <v>公共部分装修</v>
      </c>
      <c r="R32" s="1560" t="s">
        <v>8</v>
      </c>
      <c r="S32" s="1561">
        <f t="shared" si="12"/>
        <v>100</v>
      </c>
      <c r="T32" s="1560" t="s">
        <v>8</v>
      </c>
      <c r="U32" s="1561">
        <f t="shared" si="13"/>
        <v>100</v>
      </c>
      <c r="V32" s="1560" t="s">
        <v>8</v>
      </c>
      <c r="W32" s="1561">
        <f t="shared" si="14"/>
        <v>100</v>
      </c>
      <c r="X32" s="1554"/>
      <c r="Y32" s="339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0"/>
      <c r="Q33" s="1559" t="str">
        <f t="shared" si="11"/>
        <v>成新度</v>
      </c>
      <c r="R33" s="1560" t="s">
        <v>8</v>
      </c>
      <c r="S33" s="1561" t="e">
        <f t="shared" si="12"/>
        <v>#N/A</v>
      </c>
      <c r="T33" s="1560" t="s">
        <v>8</v>
      </c>
      <c r="U33" s="1561" t="e">
        <f t="shared" si="13"/>
        <v>#N/A</v>
      </c>
      <c r="V33" s="1560" t="s">
        <v>8</v>
      </c>
      <c r="W33" s="1561" t="e">
        <f t="shared" si="14"/>
        <v>#N/A</v>
      </c>
      <c r="X33" s="1554"/>
      <c r="Y33" s="339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0"/>
      <c r="Q34" s="1147" t="str">
        <f t="shared" si="11"/>
        <v>物业管理</v>
      </c>
      <c r="R34" s="1555" t="s">
        <v>8</v>
      </c>
      <c r="S34" s="1556">
        <f t="shared" si="12"/>
        <v>100</v>
      </c>
      <c r="T34" s="1555" t="s">
        <v>8</v>
      </c>
      <c r="U34" s="1556">
        <f t="shared" si="13"/>
        <v>100</v>
      </c>
      <c r="V34" s="1555" t="s">
        <v>8</v>
      </c>
      <c r="W34" s="1556">
        <f t="shared" si="14"/>
        <v>100</v>
      </c>
      <c r="X34" s="1557"/>
      <c r="Y34" s="3390"/>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0" t="s">
        <v>550</v>
      </c>
      <c r="Q35" s="1559" t="str">
        <f t="shared" si="11"/>
        <v>市政基础设施</v>
      </c>
      <c r="R35" s="1560" t="s">
        <v>8</v>
      </c>
      <c r="S35" s="1561">
        <f t="shared" si="12"/>
        <v>100</v>
      </c>
      <c r="T35" s="1560" t="s">
        <v>8</v>
      </c>
      <c r="U35" s="1561">
        <f t="shared" si="13"/>
        <v>100</v>
      </c>
      <c r="V35" s="1560" t="s">
        <v>8</v>
      </c>
      <c r="W35" s="1561">
        <f t="shared" si="14"/>
        <v>100</v>
      </c>
      <c r="X35" s="1554"/>
      <c r="Y35" s="339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0"/>
      <c r="Q36" s="1559" t="str">
        <f t="shared" si="11"/>
        <v>内部装修</v>
      </c>
      <c r="R36" s="1560" t="s">
        <v>8</v>
      </c>
      <c r="S36" s="1561">
        <f t="shared" si="12"/>
        <v>100</v>
      </c>
      <c r="T36" s="1560" t="s">
        <v>8</v>
      </c>
      <c r="U36" s="1561">
        <f t="shared" si="13"/>
        <v>100</v>
      </c>
      <c r="V36" s="1560" t="s">
        <v>8</v>
      </c>
      <c r="W36" s="1561">
        <f t="shared" si="14"/>
        <v>100</v>
      </c>
      <c r="X36" s="1554"/>
      <c r="Y36" s="339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0"/>
      <c r="Q37" s="1559" t="str">
        <f t="shared" si="11"/>
        <v>内部装修状况</v>
      </c>
      <c r="R37" s="1560" t="s">
        <v>8</v>
      </c>
      <c r="S37" s="1561">
        <f t="shared" si="12"/>
        <v>100</v>
      </c>
      <c r="T37" s="1560" t="s">
        <v>8</v>
      </c>
      <c r="U37" s="1561">
        <f t="shared" si="13"/>
        <v>100</v>
      </c>
      <c r="V37" s="1560" t="s">
        <v>8</v>
      </c>
      <c r="W37" s="1561">
        <f t="shared" si="14"/>
        <v>100</v>
      </c>
      <c r="X37" s="1554"/>
      <c r="Y37" s="339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0"/>
      <c r="Q38" s="1591">
        <f t="shared" si="11"/>
        <v>111</v>
      </c>
      <c r="R38" s="1564" t="s">
        <v>8</v>
      </c>
      <c r="S38" s="1565">
        <f t="shared" si="12"/>
        <v>100</v>
      </c>
      <c r="T38" s="1564" t="s">
        <v>8</v>
      </c>
      <c r="U38" s="1565">
        <f t="shared" si="13"/>
        <v>100</v>
      </c>
      <c r="V38" s="1564" t="s">
        <v>8</v>
      </c>
      <c r="W38" s="1565">
        <f t="shared" si="14"/>
        <v>100</v>
      </c>
      <c r="X38" s="1566"/>
      <c r="Y38" s="339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0"/>
      <c r="Q39" s="1559">
        <f t="shared" si="11"/>
        <v>111</v>
      </c>
      <c r="R39" s="1560" t="s">
        <v>8</v>
      </c>
      <c r="S39" s="1561">
        <f t="shared" si="12"/>
        <v>100</v>
      </c>
      <c r="T39" s="1560" t="s">
        <v>8</v>
      </c>
      <c r="U39" s="1561">
        <f t="shared" si="13"/>
        <v>100</v>
      </c>
      <c r="V39" s="1560" t="s">
        <v>8</v>
      </c>
      <c r="W39" s="1561">
        <f t="shared" si="14"/>
        <v>100</v>
      </c>
      <c r="X39" s="1554"/>
      <c r="Y39" s="339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1"/>
      <c r="Q40" s="1559">
        <f t="shared" si="11"/>
        <v>111</v>
      </c>
      <c r="R40" s="1560" t="s">
        <v>8</v>
      </c>
      <c r="S40" s="1561">
        <f t="shared" si="12"/>
        <v>100</v>
      </c>
      <c r="T40" s="1560" t="s">
        <v>8</v>
      </c>
      <c r="U40" s="1561">
        <f t="shared" si="13"/>
        <v>100</v>
      </c>
      <c r="V40" s="1560" t="s">
        <v>8</v>
      </c>
      <c r="W40" s="1561">
        <f t="shared" si="14"/>
        <v>100</v>
      </c>
      <c r="X40" s="1554"/>
      <c r="Y40" s="347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53" t="str">
        <f>A41</f>
        <v>成交单价（元/平方米）</v>
      </c>
      <c r="Q41" s="3353"/>
      <c r="R41" s="3470">
        <f>E41</f>
        <v>0</v>
      </c>
      <c r="S41" s="3470"/>
      <c r="T41" s="3470">
        <f>G41</f>
        <v>0</v>
      </c>
      <c r="U41" s="3470"/>
      <c r="V41" s="3470">
        <f>I41</f>
        <v>0</v>
      </c>
      <c r="W41" s="347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53" t="str">
        <f>A42</f>
        <v>比较价格（元/平方米）</v>
      </c>
      <c r="Q42" s="3353"/>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50" t="str">
        <f>A43</f>
        <v>估价对象XX用房的比较价格（楼面单价，元/平方米）</v>
      </c>
      <c r="Q43" s="3351"/>
      <c r="R43" s="3469" t="e">
        <f>IF(F1="售价",ROUND(AVERAGE(R42:V42),0),ROUND(AVERAGE(R42:V42),1))</f>
        <v>#DIV/0!</v>
      </c>
      <c r="S43" s="3469"/>
      <c r="T43" s="3469"/>
      <c r="U43" s="3469"/>
      <c r="V43" s="3469"/>
      <c r="W43" s="346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2019-4</v>
      </c>
      <c r="D52" s="2760">
        <f>EDATE(C52,-1)</f>
        <v>43525</v>
      </c>
      <c r="E52" s="2760">
        <f t="shared" ref="E52:O52" si="16">EDATE(D52,-1)</f>
        <v>43497</v>
      </c>
      <c r="F52" s="2760">
        <f t="shared" si="16"/>
        <v>43466</v>
      </c>
      <c r="G52" s="2760">
        <f t="shared" si="16"/>
        <v>43435</v>
      </c>
      <c r="H52" s="2760">
        <f t="shared" si="16"/>
        <v>43405</v>
      </c>
      <c r="I52" s="2760">
        <f t="shared" si="16"/>
        <v>43374</v>
      </c>
      <c r="J52" s="2760">
        <f t="shared" si="16"/>
        <v>43344</v>
      </c>
      <c r="K52" s="2760">
        <f t="shared" si="16"/>
        <v>43313</v>
      </c>
      <c r="L52" s="2760">
        <f t="shared" si="16"/>
        <v>43282</v>
      </c>
      <c r="M52" s="2760">
        <f t="shared" si="16"/>
        <v>43252</v>
      </c>
      <c r="N52" s="2760">
        <f t="shared" si="16"/>
        <v>43221</v>
      </c>
      <c r="O52" s="2760">
        <f t="shared" si="16"/>
        <v>43191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59" t="s">
        <v>798</v>
      </c>
      <c r="D4" s="3360"/>
      <c r="E4" s="3359" t="s">
        <v>799</v>
      </c>
      <c r="F4" s="3360"/>
      <c r="G4" s="3359" t="s">
        <v>800</v>
      </c>
      <c r="H4" s="3360"/>
      <c r="I4" s="3359" t="s">
        <v>801</v>
      </c>
      <c r="J4" s="3360"/>
      <c r="K4" s="514" t="s">
        <v>802</v>
      </c>
      <c r="L4" s="2119"/>
      <c r="M4" s="2120"/>
      <c r="N4" s="2120"/>
      <c r="O4" s="2120"/>
      <c r="P4" s="3361" t="s">
        <v>803</v>
      </c>
      <c r="Q4" s="3362"/>
      <c r="R4" s="3367" t="s">
        <v>799</v>
      </c>
      <c r="S4" s="3368"/>
      <c r="T4" s="3367" t="s">
        <v>800</v>
      </c>
      <c r="U4" s="3368"/>
      <c r="V4" s="3354" t="s">
        <v>801</v>
      </c>
      <c r="W4" s="3354"/>
      <c r="X4" s="1554"/>
      <c r="Y4" s="3367" t="s">
        <v>803</v>
      </c>
      <c r="Z4" s="3368"/>
      <c r="AA4" s="3356" t="s">
        <v>799</v>
      </c>
      <c r="AB4" s="3357" t="s">
        <v>800</v>
      </c>
      <c r="AC4" s="3356" t="s">
        <v>801</v>
      </c>
    </row>
    <row r="5" spans="1:29" ht="15">
      <c r="A5" s="515"/>
      <c r="B5" s="516"/>
      <c r="C5" s="3375" t="s">
        <v>2931</v>
      </c>
      <c r="D5" s="3376"/>
      <c r="E5" s="3375" t="s">
        <v>2932</v>
      </c>
      <c r="F5" s="3376"/>
      <c r="G5" s="3375" t="s">
        <v>2933</v>
      </c>
      <c r="H5" s="3376"/>
      <c r="I5" s="3375" t="s">
        <v>2934</v>
      </c>
      <c r="J5" s="3376"/>
      <c r="K5" s="514"/>
      <c r="L5" s="2119"/>
      <c r="M5" s="2120"/>
      <c r="N5" s="2120"/>
      <c r="O5" s="2120"/>
      <c r="P5" s="3363"/>
      <c r="Q5" s="3364"/>
      <c r="R5" s="3369"/>
      <c r="S5" s="3370"/>
      <c r="T5" s="3369"/>
      <c r="U5" s="3370"/>
      <c r="V5" s="3354"/>
      <c r="W5" s="3354"/>
      <c r="X5" s="1554"/>
      <c r="Y5" s="3369"/>
      <c r="Z5" s="3370"/>
      <c r="AA5" s="3357"/>
      <c r="AB5" s="3357"/>
      <c r="AC5" s="3357"/>
    </row>
    <row r="6" spans="1:29" ht="15.75" thickBot="1">
      <c r="A6" s="517"/>
      <c r="B6" s="518"/>
      <c r="C6" s="3373" t="s">
        <v>2935</v>
      </c>
      <c r="D6" s="3374"/>
      <c r="E6" s="3377" t="s">
        <v>2935</v>
      </c>
      <c r="F6" s="3378"/>
      <c r="G6" s="3373" t="s">
        <v>2935</v>
      </c>
      <c r="H6" s="3374"/>
      <c r="I6" s="3373" t="s">
        <v>2935</v>
      </c>
      <c r="J6" s="3374"/>
      <c r="K6" s="514" t="s">
        <v>528</v>
      </c>
      <c r="L6" s="2119"/>
      <c r="M6" s="2120"/>
      <c r="N6" s="2120"/>
      <c r="O6" s="2120"/>
      <c r="P6" s="3365"/>
      <c r="Q6" s="3366"/>
      <c r="R6" s="3369"/>
      <c r="S6" s="3370"/>
      <c r="T6" s="3371"/>
      <c r="U6" s="3372"/>
      <c r="V6" s="3354"/>
      <c r="W6" s="3354"/>
      <c r="X6" s="1554"/>
      <c r="Y6" s="3371"/>
      <c r="Z6" s="3372"/>
      <c r="AA6" s="3358"/>
      <c r="AB6" s="3358"/>
      <c r="AC6" s="3358"/>
    </row>
    <row r="7" spans="1:29" s="1216" customFormat="1" ht="15.75" thickBot="1">
      <c r="A7" s="2868"/>
      <c r="B7" s="2875" t="s">
        <v>529</v>
      </c>
      <c r="C7" s="519">
        <f>'数据-取费表'!B2</f>
        <v>43577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4" t="s">
        <v>530</v>
      </c>
      <c r="Q7" s="3386"/>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3" t="s">
        <v>535</v>
      </c>
      <c r="Q9" s="1147" t="str">
        <f t="shared" ref="Q9:Q14" si="6">B9</f>
        <v>用途</v>
      </c>
      <c r="R9" s="1555" t="s">
        <v>8</v>
      </c>
      <c r="S9" s="1556">
        <f t="shared" si="0"/>
        <v>100</v>
      </c>
      <c r="T9" s="1555" t="s">
        <v>8</v>
      </c>
      <c r="U9" s="1556">
        <f t="shared" si="1"/>
        <v>100</v>
      </c>
      <c r="V9" s="1555" t="s">
        <v>8</v>
      </c>
      <c r="W9" s="1556">
        <f t="shared" si="2"/>
        <v>100</v>
      </c>
      <c r="X9" s="1557"/>
      <c r="Y9" s="329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3"/>
      <c r="Q10" s="1147" t="str">
        <f t="shared" si="6"/>
        <v>土地使用年限（年）</v>
      </c>
      <c r="R10" s="1555" t="s">
        <v>8</v>
      </c>
      <c r="S10" s="1556">
        <f t="shared" si="0"/>
        <v>100</v>
      </c>
      <c r="T10" s="1555" t="s">
        <v>8</v>
      </c>
      <c r="U10" s="1556">
        <f t="shared" si="1"/>
        <v>100</v>
      </c>
      <c r="V10" s="1555" t="s">
        <v>8</v>
      </c>
      <c r="W10" s="1556">
        <f t="shared" si="2"/>
        <v>100</v>
      </c>
      <c r="X10" s="1557"/>
      <c r="Y10" s="329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3"/>
      <c r="Q11" s="1147">
        <f t="shared" si="6"/>
        <v>111</v>
      </c>
      <c r="R11" s="1555" t="s">
        <v>8</v>
      </c>
      <c r="S11" s="1556">
        <f t="shared" si="0"/>
        <v>100</v>
      </c>
      <c r="T11" s="1555" t="s">
        <v>8</v>
      </c>
      <c r="U11" s="1556">
        <f t="shared" si="1"/>
        <v>100</v>
      </c>
      <c r="V11" s="1555" t="s">
        <v>8</v>
      </c>
      <c r="W11" s="1556">
        <f t="shared" si="2"/>
        <v>100</v>
      </c>
      <c r="X11" s="1557"/>
      <c r="Y11" s="329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3"/>
      <c r="Q12" s="1147">
        <f t="shared" si="6"/>
        <v>111</v>
      </c>
      <c r="R12" s="1555" t="s">
        <v>8</v>
      </c>
      <c r="S12" s="1556">
        <f t="shared" si="0"/>
        <v>100</v>
      </c>
      <c r="T12" s="1555" t="s">
        <v>8</v>
      </c>
      <c r="U12" s="1556">
        <f t="shared" si="1"/>
        <v>100</v>
      </c>
      <c r="V12" s="1555" t="s">
        <v>8</v>
      </c>
      <c r="W12" s="1556">
        <f t="shared" si="2"/>
        <v>100</v>
      </c>
      <c r="X12" s="1557"/>
      <c r="Y12" s="329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3"/>
      <c r="Q13" s="1147">
        <f t="shared" si="6"/>
        <v>111</v>
      </c>
      <c r="R13" s="1555" t="s">
        <v>8</v>
      </c>
      <c r="S13" s="1556">
        <f t="shared" si="0"/>
        <v>100</v>
      </c>
      <c r="T13" s="1555" t="s">
        <v>8</v>
      </c>
      <c r="U13" s="1556">
        <f t="shared" si="1"/>
        <v>100</v>
      </c>
      <c r="V13" s="1555" t="s">
        <v>8</v>
      </c>
      <c r="W13" s="1556">
        <f t="shared" si="2"/>
        <v>100</v>
      </c>
      <c r="X13" s="1557"/>
      <c r="Y13" s="3299"/>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8"/>
      <c r="Q24" s="1559">
        <f t="shared" ref="Q24:Q36"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0"/>
      <c r="Q27" s="1591" t="str">
        <f t="shared" si="11"/>
        <v>项目停车位配比</v>
      </c>
      <c r="R27" s="1564" t="s">
        <v>8</v>
      </c>
      <c r="S27" s="1565">
        <f t="shared" si="12"/>
        <v>100</v>
      </c>
      <c r="T27" s="1564" t="s">
        <v>8</v>
      </c>
      <c r="U27" s="1565">
        <f t="shared" si="13"/>
        <v>100</v>
      </c>
      <c r="V27" s="1564" t="s">
        <v>8</v>
      </c>
      <c r="W27" s="1565">
        <f t="shared" si="14"/>
        <v>100</v>
      </c>
      <c r="X27" s="1566"/>
      <c r="Y27" s="339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0"/>
      <c r="Q28" s="1559" t="str">
        <f t="shared" si="11"/>
        <v>公共部分装修</v>
      </c>
      <c r="R28" s="1560" t="s">
        <v>8</v>
      </c>
      <c r="S28" s="1561">
        <f t="shared" si="12"/>
        <v>100</v>
      </c>
      <c r="T28" s="1560" t="s">
        <v>8</v>
      </c>
      <c r="U28" s="1561">
        <f t="shared" si="13"/>
        <v>100</v>
      </c>
      <c r="V28" s="1560" t="s">
        <v>8</v>
      </c>
      <c r="W28" s="1561">
        <f t="shared" si="14"/>
        <v>100</v>
      </c>
      <c r="X28" s="1554"/>
      <c r="Y28" s="339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0"/>
      <c r="Q29" s="1559" t="str">
        <f t="shared" si="11"/>
        <v>成新率</v>
      </c>
      <c r="R29" s="1560" t="s">
        <v>8</v>
      </c>
      <c r="S29" s="1561" t="e">
        <f t="shared" si="12"/>
        <v>#N/A</v>
      </c>
      <c r="T29" s="1560" t="s">
        <v>8</v>
      </c>
      <c r="U29" s="1561" t="e">
        <f t="shared" si="13"/>
        <v>#N/A</v>
      </c>
      <c r="V29" s="1560" t="s">
        <v>8</v>
      </c>
      <c r="W29" s="1561" t="e">
        <f t="shared" si="14"/>
        <v>#N/A</v>
      </c>
      <c r="X29" s="1554"/>
      <c r="Y29" s="339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0"/>
      <c r="Q30" s="1559" t="str">
        <f t="shared" si="11"/>
        <v>物业等级</v>
      </c>
      <c r="R30" s="1560" t="s">
        <v>8</v>
      </c>
      <c r="S30" s="1561">
        <f t="shared" si="12"/>
        <v>100</v>
      </c>
      <c r="T30" s="1560" t="s">
        <v>8</v>
      </c>
      <c r="U30" s="1561">
        <f t="shared" si="13"/>
        <v>100</v>
      </c>
      <c r="V30" s="1560" t="s">
        <v>8</v>
      </c>
      <c r="W30" s="1561">
        <f t="shared" si="14"/>
        <v>100</v>
      </c>
      <c r="X30" s="1554"/>
      <c r="Y30" s="339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0"/>
      <c r="Q31" s="1147" t="str">
        <f t="shared" si="11"/>
        <v>停车位面积</v>
      </c>
      <c r="R31" s="1555" t="s">
        <v>8</v>
      </c>
      <c r="S31" s="1556" t="e">
        <f t="shared" si="12"/>
        <v>#N/A</v>
      </c>
      <c r="T31" s="1555" t="s">
        <v>8</v>
      </c>
      <c r="U31" s="1556" t="e">
        <f t="shared" si="13"/>
        <v>#N/A</v>
      </c>
      <c r="V31" s="1555" t="s">
        <v>8</v>
      </c>
      <c r="W31" s="1556" t="e">
        <f t="shared" si="14"/>
        <v>#N/A</v>
      </c>
      <c r="X31" s="1557"/>
      <c r="Y31" s="339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0" t="s">
        <v>550</v>
      </c>
      <c r="Q32" s="1559" t="str">
        <f t="shared" si="11"/>
        <v>车位类型</v>
      </c>
      <c r="R32" s="1560" t="s">
        <v>8</v>
      </c>
      <c r="S32" s="1561">
        <f t="shared" si="12"/>
        <v>100</v>
      </c>
      <c r="T32" s="1560" t="s">
        <v>8</v>
      </c>
      <c r="U32" s="1561">
        <f t="shared" si="13"/>
        <v>100</v>
      </c>
      <c r="V32" s="1560" t="s">
        <v>8</v>
      </c>
      <c r="W32" s="1561">
        <f t="shared" si="14"/>
        <v>100</v>
      </c>
      <c r="X32" s="1554"/>
      <c r="Y32" s="339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0"/>
      <c r="Q33" s="1559" t="str">
        <f t="shared" si="11"/>
        <v>是否直接入户</v>
      </c>
      <c r="R33" s="1560" t="s">
        <v>8</v>
      </c>
      <c r="S33" s="1561">
        <f t="shared" si="12"/>
        <v>100</v>
      </c>
      <c r="T33" s="1560" t="s">
        <v>8</v>
      </c>
      <c r="U33" s="1561">
        <f t="shared" si="13"/>
        <v>100</v>
      </c>
      <c r="V33" s="1560" t="s">
        <v>8</v>
      </c>
      <c r="W33" s="1561">
        <f t="shared" si="14"/>
        <v>100</v>
      </c>
      <c r="X33" s="1554"/>
      <c r="Y33" s="339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0"/>
      <c r="Q35" s="1591">
        <f t="shared" si="11"/>
        <v>111</v>
      </c>
      <c r="R35" s="1564" t="s">
        <v>8</v>
      </c>
      <c r="S35" s="1565">
        <f t="shared" si="12"/>
        <v>100</v>
      </c>
      <c r="T35" s="1564" t="s">
        <v>8</v>
      </c>
      <c r="U35" s="1565">
        <f t="shared" si="13"/>
        <v>100</v>
      </c>
      <c r="V35" s="1564" t="s">
        <v>8</v>
      </c>
      <c r="W35" s="1565">
        <f t="shared" si="14"/>
        <v>100</v>
      </c>
      <c r="X35" s="1566"/>
      <c r="Y35" s="3390"/>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0"/>
      <c r="Q36" s="1559">
        <f t="shared" si="11"/>
        <v>111</v>
      </c>
      <c r="R36" s="1560" t="s">
        <v>8</v>
      </c>
      <c r="S36" s="1561">
        <f t="shared" si="12"/>
        <v>100</v>
      </c>
      <c r="T36" s="1560" t="s">
        <v>8</v>
      </c>
      <c r="U36" s="1561">
        <f t="shared" si="13"/>
        <v>100</v>
      </c>
      <c r="V36" s="1560" t="s">
        <v>8</v>
      </c>
      <c r="W36" s="1561">
        <f t="shared" si="14"/>
        <v>100</v>
      </c>
      <c r="X36" s="1554"/>
      <c r="Y36" s="3390"/>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53" t="str">
        <f>A37</f>
        <v>成交单价</v>
      </c>
      <c r="Q37" s="3353"/>
      <c r="R37" s="3470">
        <f>E37</f>
        <v>0</v>
      </c>
      <c r="S37" s="3470"/>
      <c r="T37" s="3470">
        <f>G37</f>
        <v>0</v>
      </c>
      <c r="U37" s="3470"/>
      <c r="V37" s="3470">
        <f>I37</f>
        <v>0</v>
      </c>
      <c r="W37" s="347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53" t="str">
        <f>A38</f>
        <v>比较价格（元/平方米）</v>
      </c>
      <c r="Q38" s="3353"/>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50" t="str">
        <f>A39</f>
        <v>估价对象XX用房的比较价格（楼面单价，元/平方米）</v>
      </c>
      <c r="Q39" s="3351"/>
      <c r="R39" s="3469" t="e">
        <f>IF(F1="售价",ROUND(AVERAGE(R38:V38),0),ROUND(AVERAGE(R38:V38),1))</f>
        <v>#DIV/0!</v>
      </c>
      <c r="S39" s="3469"/>
      <c r="T39" s="3469"/>
      <c r="U39" s="3469"/>
      <c r="V39" s="3469"/>
      <c r="W39" s="346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2019-4</v>
      </c>
      <c r="D48" s="2760">
        <f>EDATE(C48,-1)</f>
        <v>43525</v>
      </c>
      <c r="E48" s="2760">
        <f t="shared" ref="E48:O48" si="16">EDATE(D48,-1)</f>
        <v>43497</v>
      </c>
      <c r="F48" s="2760">
        <f t="shared" si="16"/>
        <v>43466</v>
      </c>
      <c r="G48" s="2760">
        <f t="shared" si="16"/>
        <v>43435</v>
      </c>
      <c r="H48" s="2760">
        <f t="shared" si="16"/>
        <v>43405</v>
      </c>
      <c r="I48" s="2760">
        <f t="shared" si="16"/>
        <v>43374</v>
      </c>
      <c r="J48" s="2760">
        <f t="shared" si="16"/>
        <v>43344</v>
      </c>
      <c r="K48" s="2760">
        <f t="shared" si="16"/>
        <v>43313</v>
      </c>
      <c r="L48" s="2760">
        <f t="shared" si="16"/>
        <v>43282</v>
      </c>
      <c r="M48" s="2760">
        <f t="shared" si="16"/>
        <v>43252</v>
      </c>
      <c r="N48" s="2760">
        <f t="shared" si="16"/>
        <v>43221</v>
      </c>
      <c r="O48" s="2760">
        <f t="shared" si="16"/>
        <v>43191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59" t="s">
        <v>798</v>
      </c>
      <c r="D4" s="3360"/>
      <c r="E4" s="3393" t="s">
        <v>799</v>
      </c>
      <c r="F4" s="3394"/>
      <c r="G4" s="3359" t="s">
        <v>800</v>
      </c>
      <c r="H4" s="3360"/>
      <c r="I4" s="3359" t="s">
        <v>801</v>
      </c>
      <c r="J4" s="3360"/>
      <c r="K4" s="514" t="s">
        <v>802</v>
      </c>
      <c r="L4" s="2119"/>
      <c r="M4" s="2120"/>
      <c r="N4" s="2120"/>
      <c r="O4" s="2120"/>
      <c r="P4" s="3361" t="s">
        <v>803</v>
      </c>
      <c r="Q4" s="3362"/>
      <c r="R4" s="3367" t="s">
        <v>799</v>
      </c>
      <c r="S4" s="3368"/>
      <c r="T4" s="3367" t="s">
        <v>800</v>
      </c>
      <c r="U4" s="3368"/>
      <c r="V4" s="3354" t="s">
        <v>801</v>
      </c>
      <c r="W4" s="3354"/>
      <c r="X4" s="1554"/>
      <c r="Y4" s="3367" t="s">
        <v>803</v>
      </c>
      <c r="Z4" s="3368"/>
      <c r="AA4" s="3356" t="s">
        <v>799</v>
      </c>
      <c r="AB4" s="3357" t="s">
        <v>800</v>
      </c>
      <c r="AC4" s="3356" t="s">
        <v>801</v>
      </c>
    </row>
    <row r="5" spans="1:29" ht="15">
      <c r="A5" s="515"/>
      <c r="B5" s="516"/>
      <c r="C5" s="3375" t="s">
        <v>2931</v>
      </c>
      <c r="D5" s="3376"/>
      <c r="E5" s="3395" t="s">
        <v>2932</v>
      </c>
      <c r="F5" s="3396"/>
      <c r="G5" s="3375" t="s">
        <v>2933</v>
      </c>
      <c r="H5" s="3376"/>
      <c r="I5" s="3375" t="s">
        <v>2934</v>
      </c>
      <c r="J5" s="3376"/>
      <c r="K5" s="514"/>
      <c r="L5" s="2119"/>
      <c r="M5" s="2120"/>
      <c r="N5" s="2120"/>
      <c r="O5" s="2120"/>
      <c r="P5" s="3363"/>
      <c r="Q5" s="3364"/>
      <c r="R5" s="3369"/>
      <c r="S5" s="3370"/>
      <c r="T5" s="3369"/>
      <c r="U5" s="3370"/>
      <c r="V5" s="3354"/>
      <c r="W5" s="3354"/>
      <c r="X5" s="1554"/>
      <c r="Y5" s="3369"/>
      <c r="Z5" s="3370"/>
      <c r="AA5" s="3357"/>
      <c r="AB5" s="3357"/>
      <c r="AC5" s="3357"/>
    </row>
    <row r="6" spans="1:29" ht="15.75" thickBot="1">
      <c r="A6" s="517"/>
      <c r="B6" s="518"/>
      <c r="C6" s="3373" t="s">
        <v>2935</v>
      </c>
      <c r="D6" s="3374"/>
      <c r="E6" s="3391" t="s">
        <v>2935</v>
      </c>
      <c r="F6" s="3392"/>
      <c r="G6" s="3373" t="s">
        <v>2935</v>
      </c>
      <c r="H6" s="3374"/>
      <c r="I6" s="3373" t="s">
        <v>2935</v>
      </c>
      <c r="J6" s="3374"/>
      <c r="K6" s="514" t="s">
        <v>528</v>
      </c>
      <c r="L6" s="2119"/>
      <c r="M6" s="2120"/>
      <c r="N6" s="2120"/>
      <c r="O6" s="2120"/>
      <c r="P6" s="3365"/>
      <c r="Q6" s="3366"/>
      <c r="R6" s="3369"/>
      <c r="S6" s="3370"/>
      <c r="T6" s="3371"/>
      <c r="U6" s="3372"/>
      <c r="V6" s="3354"/>
      <c r="W6" s="3354"/>
      <c r="X6" s="1554"/>
      <c r="Y6" s="3371"/>
      <c r="Z6" s="3372"/>
      <c r="AA6" s="3358"/>
      <c r="AB6" s="3358"/>
      <c r="AC6" s="3358"/>
    </row>
    <row r="7" spans="1:29" s="1216" customFormat="1" ht="15.75" thickBot="1">
      <c r="A7" s="2868"/>
      <c r="B7" s="2875" t="s">
        <v>529</v>
      </c>
      <c r="C7" s="519">
        <f>'数据-取费表'!B2</f>
        <v>43577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4" t="s">
        <v>530</v>
      </c>
      <c r="Q7" s="3386"/>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3" t="s">
        <v>535</v>
      </c>
      <c r="Q9" s="1147" t="str">
        <f t="shared" ref="Q9:Q14" si="6">B9</f>
        <v>用途</v>
      </c>
      <c r="R9" s="1555" t="s">
        <v>8</v>
      </c>
      <c r="S9" s="1556">
        <f t="shared" si="0"/>
        <v>100</v>
      </c>
      <c r="T9" s="1555" t="s">
        <v>8</v>
      </c>
      <c r="U9" s="1556">
        <f t="shared" si="1"/>
        <v>100</v>
      </c>
      <c r="V9" s="1555" t="s">
        <v>8</v>
      </c>
      <c r="W9" s="1556">
        <f t="shared" si="2"/>
        <v>100</v>
      </c>
      <c r="X9" s="1557"/>
      <c r="Y9" s="329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3"/>
      <c r="Q10" s="1147" t="str">
        <f t="shared" si="6"/>
        <v>土地使用年限（年）</v>
      </c>
      <c r="R10" s="1555" t="s">
        <v>8</v>
      </c>
      <c r="S10" s="1556">
        <f t="shared" si="0"/>
        <v>100</v>
      </c>
      <c r="T10" s="1555" t="s">
        <v>8</v>
      </c>
      <c r="U10" s="1556">
        <f t="shared" si="1"/>
        <v>100</v>
      </c>
      <c r="V10" s="1555" t="s">
        <v>8</v>
      </c>
      <c r="W10" s="1556">
        <f t="shared" si="2"/>
        <v>100</v>
      </c>
      <c r="X10" s="1557"/>
      <c r="Y10" s="329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3"/>
      <c r="Q11" s="1147">
        <f t="shared" si="6"/>
        <v>111</v>
      </c>
      <c r="R11" s="1555" t="s">
        <v>8</v>
      </c>
      <c r="S11" s="1556">
        <f t="shared" si="0"/>
        <v>100</v>
      </c>
      <c r="T11" s="1555" t="s">
        <v>8</v>
      </c>
      <c r="U11" s="1556">
        <f t="shared" si="1"/>
        <v>100</v>
      </c>
      <c r="V11" s="1555" t="s">
        <v>8</v>
      </c>
      <c r="W11" s="1556">
        <f t="shared" si="2"/>
        <v>100</v>
      </c>
      <c r="X11" s="1557"/>
      <c r="Y11" s="329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3"/>
      <c r="Q12" s="1147">
        <f t="shared" si="6"/>
        <v>111</v>
      </c>
      <c r="R12" s="1555" t="s">
        <v>8</v>
      </c>
      <c r="S12" s="1556">
        <f t="shared" si="0"/>
        <v>100</v>
      </c>
      <c r="T12" s="1555" t="s">
        <v>8</v>
      </c>
      <c r="U12" s="1556">
        <f t="shared" si="1"/>
        <v>100</v>
      </c>
      <c r="V12" s="1555" t="s">
        <v>8</v>
      </c>
      <c r="W12" s="1556">
        <f t="shared" si="2"/>
        <v>100</v>
      </c>
      <c r="X12" s="1557"/>
      <c r="Y12" s="329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3"/>
      <c r="Q13" s="1147">
        <f t="shared" si="6"/>
        <v>111</v>
      </c>
      <c r="R13" s="1555" t="s">
        <v>8</v>
      </c>
      <c r="S13" s="1556">
        <f t="shared" si="0"/>
        <v>100</v>
      </c>
      <c r="T13" s="1555" t="s">
        <v>8</v>
      </c>
      <c r="U13" s="1556">
        <f t="shared" si="1"/>
        <v>100</v>
      </c>
      <c r="V13" s="1555" t="s">
        <v>8</v>
      </c>
      <c r="W13" s="1556">
        <f t="shared" si="2"/>
        <v>100</v>
      </c>
      <c r="X13" s="1557"/>
      <c r="Y13" s="3299"/>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8"/>
      <c r="Q24" s="1559">
        <f t="shared" ref="Q24:Q34"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0"/>
      <c r="Q27" s="1591" t="str">
        <f t="shared" si="11"/>
        <v>成新率</v>
      </c>
      <c r="R27" s="1564" t="s">
        <v>8</v>
      </c>
      <c r="S27" s="1565" t="e">
        <f t="shared" si="12"/>
        <v>#N/A</v>
      </c>
      <c r="T27" s="1564" t="s">
        <v>8</v>
      </c>
      <c r="U27" s="1565" t="e">
        <f t="shared" si="13"/>
        <v>#N/A</v>
      </c>
      <c r="V27" s="1564" t="s">
        <v>8</v>
      </c>
      <c r="W27" s="1565" t="e">
        <f t="shared" si="14"/>
        <v>#N/A</v>
      </c>
      <c r="X27" s="1566"/>
      <c r="Y27" s="339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0"/>
      <c r="Q28" s="1559" t="str">
        <f t="shared" si="11"/>
        <v>物业等级</v>
      </c>
      <c r="R28" s="1560" t="s">
        <v>8</v>
      </c>
      <c r="S28" s="1561">
        <f t="shared" si="12"/>
        <v>100</v>
      </c>
      <c r="T28" s="1560" t="s">
        <v>8</v>
      </c>
      <c r="U28" s="1561">
        <f t="shared" si="13"/>
        <v>100</v>
      </c>
      <c r="V28" s="1560" t="s">
        <v>8</v>
      </c>
      <c r="W28" s="1561">
        <f t="shared" si="14"/>
        <v>100</v>
      </c>
      <c r="X28" s="1554"/>
      <c r="Y28" s="339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0"/>
      <c r="Q29" s="1559" t="str">
        <f t="shared" si="11"/>
        <v>有无电梯</v>
      </c>
      <c r="R29" s="1560" t="s">
        <v>8</v>
      </c>
      <c r="S29" s="1561">
        <f t="shared" si="12"/>
        <v>100</v>
      </c>
      <c r="T29" s="1560" t="s">
        <v>8</v>
      </c>
      <c r="U29" s="1561">
        <f t="shared" si="13"/>
        <v>100</v>
      </c>
      <c r="V29" s="1560" t="s">
        <v>8</v>
      </c>
      <c r="W29" s="1561">
        <f t="shared" si="14"/>
        <v>100</v>
      </c>
      <c r="X29" s="1554"/>
      <c r="Y29" s="339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0"/>
      <c r="Q30" s="1559" t="str">
        <f t="shared" si="11"/>
        <v>建筑面积</v>
      </c>
      <c r="R30" s="1560" t="s">
        <v>8</v>
      </c>
      <c r="S30" s="1561" t="e">
        <f t="shared" si="12"/>
        <v>#N/A</v>
      </c>
      <c r="T30" s="1560" t="s">
        <v>8</v>
      </c>
      <c r="U30" s="1561" t="e">
        <f t="shared" si="13"/>
        <v>#N/A</v>
      </c>
      <c r="V30" s="1560" t="s">
        <v>8</v>
      </c>
      <c r="W30" s="1561" t="e">
        <f t="shared" si="14"/>
        <v>#N/A</v>
      </c>
      <c r="X30" s="1554"/>
      <c r="Y30" s="339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0"/>
      <c r="Q31" s="1147" t="str">
        <f t="shared" si="11"/>
        <v>是否封闭</v>
      </c>
      <c r="R31" s="1555" t="s">
        <v>8</v>
      </c>
      <c r="S31" s="1556">
        <f t="shared" si="12"/>
        <v>100</v>
      </c>
      <c r="T31" s="1555" t="s">
        <v>8</v>
      </c>
      <c r="U31" s="1556">
        <f t="shared" si="13"/>
        <v>100</v>
      </c>
      <c r="V31" s="1555" t="s">
        <v>8</v>
      </c>
      <c r="W31" s="1556">
        <f t="shared" si="14"/>
        <v>100</v>
      </c>
      <c r="X31" s="1557"/>
      <c r="Y31" s="339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0" t="s">
        <v>550</v>
      </c>
      <c r="Q32" s="1559">
        <f t="shared" si="11"/>
        <v>111</v>
      </c>
      <c r="R32" s="1560" t="s">
        <v>8</v>
      </c>
      <c r="S32" s="1561">
        <f t="shared" si="12"/>
        <v>100</v>
      </c>
      <c r="T32" s="1560" t="s">
        <v>8</v>
      </c>
      <c r="U32" s="1561">
        <f t="shared" si="13"/>
        <v>100</v>
      </c>
      <c r="V32" s="1560" t="s">
        <v>8</v>
      </c>
      <c r="W32" s="1561">
        <f t="shared" si="14"/>
        <v>100</v>
      </c>
      <c r="X32" s="1554"/>
      <c r="Y32" s="339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0"/>
      <c r="Q33" s="1559">
        <f t="shared" si="11"/>
        <v>111</v>
      </c>
      <c r="R33" s="1560" t="s">
        <v>8</v>
      </c>
      <c r="S33" s="1561">
        <f t="shared" si="12"/>
        <v>100</v>
      </c>
      <c r="T33" s="1560" t="s">
        <v>8</v>
      </c>
      <c r="U33" s="1561">
        <f t="shared" si="13"/>
        <v>100</v>
      </c>
      <c r="V33" s="1560" t="s">
        <v>8</v>
      </c>
      <c r="W33" s="1561">
        <f t="shared" si="14"/>
        <v>100</v>
      </c>
      <c r="X33" s="1554"/>
      <c r="Y33" s="339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53" t="str">
        <f>A35</f>
        <v>成交单价（元/平方米）</v>
      </c>
      <c r="Q35" s="3353"/>
      <c r="R35" s="3470">
        <f>E35</f>
        <v>0</v>
      </c>
      <c r="S35" s="3470"/>
      <c r="T35" s="3470">
        <f>G35</f>
        <v>0</v>
      </c>
      <c r="U35" s="3470"/>
      <c r="V35" s="3470">
        <f>I35</f>
        <v>0</v>
      </c>
      <c r="W35" s="347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53" t="str">
        <f>A36</f>
        <v>比较价格（元/平方米）</v>
      </c>
      <c r="Q36" s="3353"/>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50" t="str">
        <f>A37</f>
        <v>估价对象XX用房的比较价格（楼面单价，元/平方米）</v>
      </c>
      <c r="Q37" s="3351"/>
      <c r="R37" s="3469" t="e">
        <f>IF(F1="售价",ROUND(AVERAGE(R36:V36),0),ROUND(AVERAGE(R36:V36),1))</f>
        <v>#DIV/0!</v>
      </c>
      <c r="S37" s="3469"/>
      <c r="T37" s="3469"/>
      <c r="U37" s="3469"/>
      <c r="V37" s="3469"/>
      <c r="W37" s="346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2019-4</v>
      </c>
      <c r="D46" s="2760">
        <f>EDATE(C46,-1)</f>
        <v>43525</v>
      </c>
      <c r="E46" s="2760">
        <f t="shared" ref="E46:O46" si="16">EDATE(D46,-1)</f>
        <v>43497</v>
      </c>
      <c r="F46" s="2760">
        <f t="shared" si="16"/>
        <v>43466</v>
      </c>
      <c r="G46" s="2760">
        <f t="shared" si="16"/>
        <v>43435</v>
      </c>
      <c r="H46" s="2760">
        <f t="shared" si="16"/>
        <v>43405</v>
      </c>
      <c r="I46" s="2760">
        <f t="shared" si="16"/>
        <v>43374</v>
      </c>
      <c r="J46" s="2760">
        <f t="shared" si="16"/>
        <v>43344</v>
      </c>
      <c r="K46" s="2760">
        <f t="shared" si="16"/>
        <v>43313</v>
      </c>
      <c r="L46" s="2760">
        <f t="shared" si="16"/>
        <v>43282</v>
      </c>
      <c r="M46" s="2760">
        <f t="shared" si="16"/>
        <v>43252</v>
      </c>
      <c r="N46" s="2760">
        <f t="shared" si="16"/>
        <v>43221</v>
      </c>
      <c r="O46" s="2760">
        <f t="shared" si="16"/>
        <v>43191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79" t="s">
        <v>2304</v>
      </c>
      <c r="D1" s="3480"/>
      <c r="E1" s="3480"/>
      <c r="F1" s="3480"/>
      <c r="G1" s="3480"/>
      <c r="H1" s="3480"/>
      <c r="I1" s="3480"/>
      <c r="J1" s="3480"/>
      <c r="K1" s="3480"/>
      <c r="L1" s="3480"/>
      <c r="M1" s="3480"/>
      <c r="N1" s="3480"/>
      <c r="O1" s="3480"/>
      <c r="P1" s="3480"/>
      <c r="Q1" s="3480"/>
      <c r="R1" s="3480"/>
      <c r="S1" s="348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6" t="s">
        <v>20</v>
      </c>
      <c r="D22" s="3477"/>
      <c r="E22" s="3477"/>
      <c r="F22" s="3477"/>
      <c r="G22" s="3477"/>
      <c r="H22" s="3477"/>
      <c r="I22" s="3477"/>
      <c r="J22" s="3477"/>
      <c r="K22" s="3477"/>
      <c r="L22" s="3477"/>
      <c r="M22" s="3477"/>
      <c r="N22" s="3477"/>
      <c r="O22" s="3477"/>
      <c r="P22" s="3477"/>
      <c r="Q22" s="347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受贵公司委托，我公司对北京市大兴区西红门镇3号地出让国有建设用地使用权市场价格进行了预评估。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43861.49平方米。根据《建设工程规划许可证》[]、《出让合同》[]，估价对象规划建筑面积为117266.29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2019年4月22日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根据《国有土地使用证》[]，估价对象（分摊）出让国有建设用地使用权面积为43861.49平方米。根据《建设工程规划许可证》[]、《出让合同》[]，估价对象规划建筑面积为117266.29平方米。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3" zoomScale="80" zoomScaleNormal="80" workbookViewId="0">
      <selection activeCell="K28" sqref="K28"/>
    </sheetView>
  </sheetViews>
  <sheetFormatPr defaultColWidth="9" defaultRowHeight="14.25"/>
  <cols>
    <col min="1" max="1" width="14.375" style="3522" customWidth="1"/>
    <col min="2" max="2" width="15.75" style="3522" customWidth="1"/>
    <col min="3" max="3" width="14.375" style="3522" customWidth="1"/>
    <col min="4" max="4" width="14.125" style="3522" customWidth="1"/>
    <col min="5" max="5" width="14.375" style="3522" customWidth="1"/>
    <col min="6" max="6" width="12.25" style="3522" customWidth="1"/>
    <col min="7" max="7" width="14.5" style="3522" customWidth="1"/>
    <col min="8" max="8" width="12.25" style="3522" customWidth="1"/>
    <col min="9" max="9" width="14.5" style="3522" customWidth="1"/>
    <col min="10" max="10" width="12.25" style="3522" customWidth="1"/>
    <col min="11" max="11" width="12.25" style="3874" customWidth="1"/>
    <col min="12" max="12" width="12.25" style="3875" customWidth="1"/>
    <col min="13" max="15" width="12.25" style="3522" customWidth="1"/>
    <col min="16" max="16" width="4.75" style="3522" customWidth="1"/>
    <col min="17" max="17" width="19.5" style="3522" customWidth="1"/>
    <col min="18" max="22" width="6.125" style="3522" customWidth="1"/>
    <col min="23" max="23" width="5.75" style="3522" customWidth="1"/>
    <col min="24" max="24" width="4.25" style="3522" customWidth="1"/>
    <col min="25" max="25" width="3.5" style="3522" customWidth="1"/>
    <col min="26" max="26" width="19.75" style="3522" customWidth="1"/>
    <col min="27" max="28" width="9.375" style="3522" customWidth="1"/>
    <col min="29" max="16384" width="9" style="3522"/>
  </cols>
  <sheetData>
    <row r="1" spans="1:30" s="3493" customFormat="1" ht="28.5" customHeight="1">
      <c r="A1" s="3482" t="s">
        <v>2996</v>
      </c>
      <c r="B1" s="3483"/>
      <c r="C1" s="3484" t="s">
        <v>2997</v>
      </c>
      <c r="D1" s="3485"/>
      <c r="E1" s="3485"/>
      <c r="F1" s="3486" t="s">
        <v>2998</v>
      </c>
      <c r="G1" s="3485"/>
      <c r="H1" s="3485"/>
      <c r="I1" s="3485"/>
      <c r="J1" s="3485"/>
      <c r="K1" s="3487"/>
      <c r="L1" s="3488"/>
      <c r="M1" s="3489"/>
      <c r="N1" s="3489"/>
      <c r="O1" s="3489"/>
      <c r="P1" s="3490"/>
      <c r="Q1" s="3490"/>
      <c r="R1" s="3490"/>
      <c r="S1" s="3490"/>
      <c r="T1" s="3490"/>
      <c r="U1" s="3490"/>
      <c r="V1" s="3490"/>
      <c r="W1" s="3490"/>
      <c r="X1" s="3490"/>
      <c r="Y1" s="3490"/>
      <c r="Z1" s="3490"/>
      <c r="AA1" s="3490"/>
      <c r="AB1" s="3490"/>
      <c r="AC1" s="3491"/>
      <c r="AD1" s="3492"/>
    </row>
    <row r="2" spans="1:30" s="3493" customFormat="1" ht="28.5" customHeight="1">
      <c r="A2" s="423" t="s">
        <v>2999</v>
      </c>
      <c r="B2" s="3494">
        <f>F66</f>
        <v>109728</v>
      </c>
      <c r="C2" s="3495"/>
      <c r="D2" s="3495"/>
      <c r="E2" s="3496"/>
      <c r="F2" s="3497"/>
      <c r="G2" s="3496"/>
      <c r="H2" s="3496"/>
      <c r="I2" s="3496"/>
      <c r="J2" s="3496"/>
      <c r="K2" s="3498"/>
      <c r="L2" s="3499"/>
      <c r="M2" s="3500"/>
      <c r="N2" s="3500"/>
      <c r="O2" s="3500"/>
      <c r="P2" s="3490"/>
      <c r="Q2" s="3490"/>
      <c r="R2" s="3490"/>
      <c r="S2" s="3490"/>
      <c r="T2" s="3490"/>
      <c r="U2" s="3490"/>
      <c r="V2" s="3490"/>
      <c r="W2" s="3490"/>
      <c r="X2" s="3490"/>
      <c r="Y2" s="3490"/>
      <c r="Z2" s="3490"/>
      <c r="AA2" s="3490"/>
      <c r="AB2" s="3490"/>
      <c r="AC2" s="3491"/>
      <c r="AD2" s="3492"/>
    </row>
    <row r="3" spans="1:30" s="3493" customFormat="1" ht="28.5" customHeight="1" thickBot="1">
      <c r="A3" s="509" t="s">
        <v>3000</v>
      </c>
      <c r="B3" s="3501">
        <f>ROUND(IF(D3="",B2*10000/'[1]数据-汇总表'!E3,B2*10000/D3),0)</f>
        <v>9357</v>
      </c>
      <c r="C3" s="509" t="s">
        <v>3001</v>
      </c>
      <c r="D3" s="3502"/>
      <c r="E3" s="3496"/>
      <c r="F3" s="3497"/>
      <c r="G3" s="3496"/>
      <c r="H3" s="3496"/>
      <c r="I3" s="3496"/>
      <c r="J3" s="3496"/>
      <c r="K3" s="3498"/>
      <c r="L3" s="3499"/>
      <c r="M3" s="3500"/>
      <c r="N3" s="3500"/>
      <c r="O3" s="3500"/>
      <c r="P3" s="3490"/>
      <c r="Q3" s="3490"/>
      <c r="R3" s="3490"/>
      <c r="S3" s="3490"/>
      <c r="T3" s="3490"/>
      <c r="U3" s="3490"/>
      <c r="V3" s="3490"/>
      <c r="W3" s="3490"/>
      <c r="X3" s="3490"/>
      <c r="Y3" s="3490"/>
      <c r="Z3" s="3490"/>
      <c r="AA3" s="3490"/>
      <c r="AB3" s="3503"/>
      <c r="AC3" s="3504"/>
    </row>
    <row r="4" spans="1:30" ht="15">
      <c r="A4" s="3505" t="s">
        <v>3002</v>
      </c>
      <c r="B4" s="3506"/>
      <c r="C4" s="3507" t="s">
        <v>3003</v>
      </c>
      <c r="D4" s="3508"/>
      <c r="E4" s="3509" t="s">
        <v>3004</v>
      </c>
      <c r="F4" s="3510"/>
      <c r="G4" s="3507" t="s">
        <v>3005</v>
      </c>
      <c r="H4" s="3508"/>
      <c r="I4" s="3507" t="s">
        <v>3006</v>
      </c>
      <c r="J4" s="3508"/>
      <c r="K4" s="3511" t="s">
        <v>3007</v>
      </c>
      <c r="L4" s="3512"/>
      <c r="M4" s="3513"/>
      <c r="N4" s="3513"/>
      <c r="O4" s="3513"/>
      <c r="P4" s="3514" t="s">
        <v>3008</v>
      </c>
      <c r="Q4" s="3515"/>
      <c r="R4" s="3516" t="s">
        <v>3004</v>
      </c>
      <c r="S4" s="3517"/>
      <c r="T4" s="3516" t="s">
        <v>3005</v>
      </c>
      <c r="U4" s="3517"/>
      <c r="V4" s="3518" t="s">
        <v>3006</v>
      </c>
      <c r="W4" s="3518"/>
      <c r="X4" s="3519"/>
      <c r="Y4" s="3516" t="s">
        <v>3008</v>
      </c>
      <c r="Z4" s="3517"/>
      <c r="AA4" s="3520" t="s">
        <v>3004</v>
      </c>
      <c r="AB4" s="3521" t="s">
        <v>3005</v>
      </c>
      <c r="AC4" s="3520" t="s">
        <v>3006</v>
      </c>
    </row>
    <row r="5" spans="1:30" ht="15">
      <c r="A5" s="3523"/>
      <c r="B5" s="3524"/>
      <c r="C5" s="3525" t="str">
        <f>[1]项目基本情况!F10</f>
        <v>大兴区西红门镇3号地</v>
      </c>
      <c r="D5" s="3526"/>
      <c r="E5" s="3527" t="s">
        <v>3009</v>
      </c>
      <c r="F5" s="3528"/>
      <c r="G5" s="3529" t="s">
        <v>3010</v>
      </c>
      <c r="H5" s="3526"/>
      <c r="I5" s="3529" t="s">
        <v>3011</v>
      </c>
      <c r="J5" s="3526"/>
      <c r="K5" s="3511"/>
      <c r="L5" s="3512"/>
      <c r="M5" s="3513"/>
      <c r="N5" s="3513"/>
      <c r="O5" s="3513"/>
      <c r="P5" s="3530"/>
      <c r="Q5" s="3531"/>
      <c r="R5" s="3532"/>
      <c r="S5" s="3533"/>
      <c r="T5" s="3532"/>
      <c r="U5" s="3533"/>
      <c r="V5" s="3518"/>
      <c r="W5" s="3518"/>
      <c r="X5" s="3519"/>
      <c r="Y5" s="3532"/>
      <c r="Z5" s="3533"/>
      <c r="AA5" s="3521"/>
      <c r="AB5" s="3521"/>
      <c r="AC5" s="3521"/>
    </row>
    <row r="6" spans="1:30" ht="15.75" thickBot="1">
      <c r="A6" s="3534"/>
      <c r="B6" s="3535"/>
      <c r="C6" s="3536" t="s">
        <v>3012</v>
      </c>
      <c r="D6" s="3537"/>
      <c r="E6" s="3538" t="s">
        <v>3012</v>
      </c>
      <c r="F6" s="3539"/>
      <c r="G6" s="3536" t="s">
        <v>3012</v>
      </c>
      <c r="H6" s="3537"/>
      <c r="I6" s="3536" t="s">
        <v>3012</v>
      </c>
      <c r="J6" s="3537"/>
      <c r="K6" s="3511" t="s">
        <v>3013</v>
      </c>
      <c r="L6" s="3512"/>
      <c r="M6" s="3513"/>
      <c r="N6" s="3513"/>
      <c r="O6" s="3513"/>
      <c r="P6" s="3540"/>
      <c r="Q6" s="3541"/>
      <c r="R6" s="3532"/>
      <c r="S6" s="3533"/>
      <c r="T6" s="3542"/>
      <c r="U6" s="3543"/>
      <c r="V6" s="3518"/>
      <c r="W6" s="3518"/>
      <c r="X6" s="3519"/>
      <c r="Y6" s="3542"/>
      <c r="Z6" s="3543"/>
      <c r="AA6" s="3544"/>
      <c r="AB6" s="3544"/>
      <c r="AC6" s="3544"/>
    </row>
    <row r="7" spans="1:30" s="3562" customFormat="1" ht="15.75" thickBot="1">
      <c r="A7" s="3545" t="s">
        <v>3014</v>
      </c>
      <c r="B7" s="3546"/>
      <c r="C7" s="3547">
        <f>'[1]数据-取费表'!B2</f>
        <v>43577</v>
      </c>
      <c r="D7" s="3548">
        <v>100</v>
      </c>
      <c r="E7" s="3549">
        <v>43126</v>
      </c>
      <c r="F7" s="3550">
        <f>SUMIF(70:70,YEAR(E7)&amp;"-"&amp;INT((MONTH(E7)+2)/3),71:71)</f>
        <v>98</v>
      </c>
      <c r="G7" s="3551">
        <v>43169</v>
      </c>
      <c r="H7" s="3548">
        <f>SUMIF(70:70,YEAR(G7)&amp;"-"&amp;INT((MONTH(G7)+2)/3),71:71)</f>
        <v>98</v>
      </c>
      <c r="I7" s="3551">
        <f>G7</f>
        <v>43169</v>
      </c>
      <c r="J7" s="3548">
        <f>SUMIF(70:70,YEAR(I7)&amp;"-"&amp;INT((MONTH(I7)+2)/3),71:71)</f>
        <v>98</v>
      </c>
      <c r="K7" s="3552"/>
      <c r="L7" s="3553"/>
      <c r="M7" s="3554"/>
      <c r="N7" s="3554"/>
      <c r="O7" s="3554"/>
      <c r="P7" s="3555" t="s">
        <v>3015</v>
      </c>
      <c r="Q7" s="3556"/>
      <c r="R7" s="3557" t="s">
        <v>3017</v>
      </c>
      <c r="S7" s="3558">
        <f t="shared" ref="S7:S15" si="0">F7</f>
        <v>98</v>
      </c>
      <c r="T7" s="3557" t="s">
        <v>3017</v>
      </c>
      <c r="U7" s="3558">
        <f t="shared" ref="U7:U15" si="1">H7</f>
        <v>98</v>
      </c>
      <c r="V7" s="3557" t="s">
        <v>3017</v>
      </c>
      <c r="W7" s="3558">
        <f t="shared" ref="W7:W15" si="2">J7</f>
        <v>98</v>
      </c>
      <c r="X7" s="3559"/>
      <c r="Y7" s="3555" t="s">
        <v>3015</v>
      </c>
      <c r="Z7" s="3560"/>
      <c r="AA7" s="3561">
        <f>D7/F7</f>
        <v>1.0204081632653061</v>
      </c>
      <c r="AB7" s="3561">
        <f>D7/H7</f>
        <v>1.0204081632653061</v>
      </c>
      <c r="AC7" s="3561">
        <f>D7/J7</f>
        <v>1.0204081632653061</v>
      </c>
    </row>
    <row r="8" spans="1:30" s="3562" customFormat="1" ht="15.75" thickBot="1">
      <c r="A8" s="3545" t="s">
        <v>3018</v>
      </c>
      <c r="B8" s="3546"/>
      <c r="C8" s="3563" t="s">
        <v>3019</v>
      </c>
      <c r="D8" s="3548">
        <v>100</v>
      </c>
      <c r="E8" s="3563" t="s">
        <v>3020</v>
      </c>
      <c r="F8" s="3550">
        <f>SUMIF(73:73,E8,74:74)-SUMIF(73:73,C8,74:74)+100</f>
        <v>100</v>
      </c>
      <c r="G8" s="3563" t="s">
        <v>3020</v>
      </c>
      <c r="H8" s="3548">
        <f>SUMIF(73:73,G8,74:74)-SUMIF(73:73,C8,74:74)+100</f>
        <v>100</v>
      </c>
      <c r="I8" s="3563" t="s">
        <v>3020</v>
      </c>
      <c r="J8" s="3548">
        <f>SUMIF(73:73,I8,74:74)-SUMIF(73:73,C8,74:74)+100</f>
        <v>100</v>
      </c>
      <c r="K8" s="3552"/>
      <c r="L8" s="3553"/>
      <c r="M8" s="3554"/>
      <c r="N8" s="3554"/>
      <c r="O8" s="3554"/>
      <c r="P8" s="3555" t="s">
        <v>3021</v>
      </c>
      <c r="Q8" s="3560"/>
      <c r="R8" s="3557" t="s">
        <v>3017</v>
      </c>
      <c r="S8" s="3558">
        <f t="shared" si="0"/>
        <v>100</v>
      </c>
      <c r="T8" s="3557" t="s">
        <v>3017</v>
      </c>
      <c r="U8" s="3558">
        <f t="shared" si="1"/>
        <v>100</v>
      </c>
      <c r="V8" s="3557" t="s">
        <v>3017</v>
      </c>
      <c r="W8" s="3558">
        <f t="shared" si="2"/>
        <v>100</v>
      </c>
      <c r="X8" s="3559"/>
      <c r="Y8" s="3555" t="s">
        <v>3021</v>
      </c>
      <c r="Z8" s="3560"/>
      <c r="AA8" s="3561">
        <f t="shared" ref="AA8:AA45" si="3">D8/F8</f>
        <v>1</v>
      </c>
      <c r="AB8" s="3561">
        <f t="shared" ref="AB8:AB45" si="4">D8/H8</f>
        <v>1</v>
      </c>
      <c r="AC8" s="3561">
        <f t="shared" ref="AC8:AC45" si="5">D8/J8</f>
        <v>1</v>
      </c>
    </row>
    <row r="9" spans="1:30" s="3562" customFormat="1" ht="42.75">
      <c r="A9" s="3564" t="s">
        <v>3022</v>
      </c>
      <c r="B9" s="3565" t="s">
        <v>3023</v>
      </c>
      <c r="C9" s="3566" t="s">
        <v>3024</v>
      </c>
      <c r="D9" s="3567">
        <v>100</v>
      </c>
      <c r="E9" s="3566" t="s">
        <v>3024</v>
      </c>
      <c r="F9" s="3567">
        <f>SUMIF(75:75,E9,76:76)-SUMIF(75:75,C9,76:76)+100</f>
        <v>100</v>
      </c>
      <c r="G9" s="3566" t="s">
        <v>3024</v>
      </c>
      <c r="H9" s="3567">
        <f>SUMIF(75:75,G9,76:76)-SUMIF(75:75,C9,76:76)+100</f>
        <v>100</v>
      </c>
      <c r="I9" s="3566" t="s">
        <v>3024</v>
      </c>
      <c r="J9" s="3567">
        <f>SUMIF(75:75,I9,76:76)-SUMIF(75:75,C9,76:76)+100</f>
        <v>100</v>
      </c>
      <c r="K9" s="3552"/>
      <c r="L9" s="3553"/>
      <c r="M9" s="3554"/>
      <c r="N9" s="3554"/>
      <c r="O9" s="3568"/>
      <c r="P9" s="3569" t="s">
        <v>3025</v>
      </c>
      <c r="Q9" s="3570" t="str">
        <f t="shared" ref="Q9:Q15" si="6">B9</f>
        <v>用途</v>
      </c>
      <c r="R9" s="3557" t="s">
        <v>3017</v>
      </c>
      <c r="S9" s="3558">
        <f t="shared" si="0"/>
        <v>100</v>
      </c>
      <c r="T9" s="3557" t="s">
        <v>3017</v>
      </c>
      <c r="U9" s="3558">
        <f t="shared" si="1"/>
        <v>100</v>
      </c>
      <c r="V9" s="3557" t="s">
        <v>3017</v>
      </c>
      <c r="W9" s="3558">
        <f t="shared" si="2"/>
        <v>100</v>
      </c>
      <c r="X9" s="3559"/>
      <c r="Y9" s="3571" t="s">
        <v>3026</v>
      </c>
      <c r="Z9" s="3572" t="str">
        <f t="shared" ref="Z9:Z15" si="7">Q9</f>
        <v>用途</v>
      </c>
      <c r="AA9" s="3561">
        <f t="shared" si="3"/>
        <v>1</v>
      </c>
      <c r="AB9" s="3561">
        <f t="shared" si="4"/>
        <v>1</v>
      </c>
      <c r="AC9" s="3561">
        <f t="shared" si="5"/>
        <v>1</v>
      </c>
    </row>
    <row r="10" spans="1:30" s="3583" customFormat="1" ht="27">
      <c r="A10" s="3573"/>
      <c r="B10" s="3574" t="s">
        <v>3027</v>
      </c>
      <c r="C10" s="3575">
        <v>40</v>
      </c>
      <c r="D10" s="3576">
        <v>100</v>
      </c>
      <c r="E10" s="3577" t="s">
        <v>3028</v>
      </c>
      <c r="F10" s="3576">
        <f>ROUND(100/'[1]数据-取费表'!G16,0)</f>
        <v>100</v>
      </c>
      <c r="G10" s="3578" t="s">
        <v>3029</v>
      </c>
      <c r="H10" s="3576">
        <f>ROUND(100/'[1]数据-取费表'!G16,0)</f>
        <v>100</v>
      </c>
      <c r="I10" s="3578" t="s">
        <v>3030</v>
      </c>
      <c r="J10" s="3576">
        <f>ROUND(100/'[1]数据-取费表'!G16,0)</f>
        <v>100</v>
      </c>
      <c r="K10" s="3579"/>
      <c r="L10" s="3580"/>
      <c r="M10" s="3581"/>
      <c r="N10" s="3581"/>
      <c r="O10" s="3582"/>
      <c r="P10" s="3569"/>
      <c r="Q10" s="3570" t="str">
        <f t="shared" si="6"/>
        <v>土地使用年限（年）</v>
      </c>
      <c r="R10" s="3557" t="s">
        <v>3017</v>
      </c>
      <c r="S10" s="3558">
        <f t="shared" si="0"/>
        <v>100</v>
      </c>
      <c r="T10" s="3557" t="s">
        <v>3017</v>
      </c>
      <c r="U10" s="3558">
        <f t="shared" si="1"/>
        <v>100</v>
      </c>
      <c r="V10" s="3557" t="s">
        <v>3017</v>
      </c>
      <c r="W10" s="3558">
        <f t="shared" si="2"/>
        <v>100</v>
      </c>
      <c r="X10" s="3559"/>
      <c r="Y10" s="3571"/>
      <c r="Z10" s="3572" t="str">
        <f t="shared" si="7"/>
        <v>土地使用年限（年）</v>
      </c>
      <c r="AA10" s="3561">
        <f t="shared" si="3"/>
        <v>1</v>
      </c>
      <c r="AB10" s="3561">
        <f t="shared" si="4"/>
        <v>1</v>
      </c>
      <c r="AC10" s="3561">
        <f t="shared" si="5"/>
        <v>1</v>
      </c>
    </row>
    <row r="11" spans="1:30" ht="15">
      <c r="A11" s="3584"/>
      <c r="B11" s="3574" t="s">
        <v>3031</v>
      </c>
      <c r="C11" s="3585">
        <v>2</v>
      </c>
      <c r="D11" s="3576">
        <v>100</v>
      </c>
      <c r="E11" s="3585">
        <v>2.8</v>
      </c>
      <c r="F11" s="3576">
        <f>LOOKUP(E11,80:80,81:81)-LOOKUP(C11,80:80,81:81)+100</f>
        <v>95</v>
      </c>
      <c r="G11" s="3586">
        <v>2.5</v>
      </c>
      <c r="H11" s="3576">
        <f>LOOKUP(G11,80:80,81:81)-LOOKUP(C11,80:80,81:81)+100</f>
        <v>95</v>
      </c>
      <c r="I11" s="3585">
        <v>2.4</v>
      </c>
      <c r="J11" s="3576">
        <f>LOOKUP(I11,80:80,81:81)-LOOKUP(C11,80:80,81:81)+100</f>
        <v>100</v>
      </c>
      <c r="K11" s="3587">
        <v>5</v>
      </c>
      <c r="L11" s="3588"/>
      <c r="M11" s="3513"/>
      <c r="N11" s="3513"/>
      <c r="O11" s="3589"/>
      <c r="P11" s="3569"/>
      <c r="Q11" s="3570" t="str">
        <f t="shared" si="6"/>
        <v>容积率</v>
      </c>
      <c r="R11" s="3557" t="s">
        <v>3017</v>
      </c>
      <c r="S11" s="3558">
        <f t="shared" si="0"/>
        <v>95</v>
      </c>
      <c r="T11" s="3557" t="s">
        <v>3017</v>
      </c>
      <c r="U11" s="3558">
        <f t="shared" si="1"/>
        <v>95</v>
      </c>
      <c r="V11" s="3557" t="s">
        <v>3017</v>
      </c>
      <c r="W11" s="3558">
        <f t="shared" si="2"/>
        <v>100</v>
      </c>
      <c r="X11" s="3559"/>
      <c r="Y11" s="3571"/>
      <c r="Z11" s="3572" t="str">
        <f t="shared" si="7"/>
        <v>容积率</v>
      </c>
      <c r="AA11" s="3561">
        <f t="shared" si="3"/>
        <v>1.0526315789473684</v>
      </c>
      <c r="AB11" s="3561">
        <f t="shared" si="4"/>
        <v>1.0526315789473684</v>
      </c>
      <c r="AC11" s="3561">
        <f t="shared" si="5"/>
        <v>1</v>
      </c>
    </row>
    <row r="12" spans="1:30" s="3562" customFormat="1" ht="15">
      <c r="A12" s="3590"/>
      <c r="B12" s="3591" t="s">
        <v>3032</v>
      </c>
      <c r="C12" s="3575"/>
      <c r="D12" s="3592">
        <v>100</v>
      </c>
      <c r="E12" s="3577"/>
      <c r="F12" s="3576">
        <f>SUMIF(82:82,E12,83:83)-SUMIF(82:82,C12,83:83)+100</f>
        <v>100</v>
      </c>
      <c r="G12" s="3578"/>
      <c r="H12" s="3576">
        <f>SUMIF(82:82,G12,83:83)-SUMIF(82:82,C12,83:83)+100</f>
        <v>100</v>
      </c>
      <c r="I12" s="3577"/>
      <c r="J12" s="3576">
        <f>SUMIF(82:82,I12,83:83)-SUMIF(82:82,C12,83:83)+100</f>
        <v>100</v>
      </c>
      <c r="K12" s="3579"/>
      <c r="L12" s="3553"/>
      <c r="M12" s="3554"/>
      <c r="N12" s="3554"/>
      <c r="O12" s="3568"/>
      <c r="P12" s="3569"/>
      <c r="Q12" s="3570" t="str">
        <f t="shared" si="6"/>
        <v>配建</v>
      </c>
      <c r="R12" s="3557" t="s">
        <v>3017</v>
      </c>
      <c r="S12" s="3558">
        <f t="shared" si="0"/>
        <v>100</v>
      </c>
      <c r="T12" s="3557" t="s">
        <v>3017</v>
      </c>
      <c r="U12" s="3558">
        <f t="shared" si="1"/>
        <v>100</v>
      </c>
      <c r="V12" s="3557" t="s">
        <v>3017</v>
      </c>
      <c r="W12" s="3558">
        <f t="shared" si="2"/>
        <v>100</v>
      </c>
      <c r="X12" s="3559"/>
      <c r="Y12" s="3571"/>
      <c r="Z12" s="3572" t="str">
        <f t="shared" si="7"/>
        <v>配建</v>
      </c>
      <c r="AA12" s="3561">
        <f>D12/F12</f>
        <v>1</v>
      </c>
      <c r="AB12" s="3561">
        <f>D12/H12</f>
        <v>1</v>
      </c>
      <c r="AC12" s="3561">
        <f>D12/J12</f>
        <v>1</v>
      </c>
    </row>
    <row r="13" spans="1:30" ht="15">
      <c r="A13" s="3584"/>
      <c r="B13" s="3591">
        <v>111</v>
      </c>
      <c r="C13" s="3593"/>
      <c r="D13" s="3594">
        <v>100</v>
      </c>
      <c r="E13" s="3595"/>
      <c r="F13" s="3576">
        <f>SUMIF(84:84,E13,85:85)-SUMIF(84:84,C13,85:85)+100</f>
        <v>100</v>
      </c>
      <c r="G13" s="3596"/>
      <c r="H13" s="3594">
        <f>SUMIF(84:84,G13,85:85)-SUMIF(84:84,C13,85:85)+100</f>
        <v>100</v>
      </c>
      <c r="I13" s="3596"/>
      <c r="J13" s="3594">
        <f>SUMIF(84:84,I13,85:85)-SUMIF(84:84,C13,85:85)+100</f>
        <v>100</v>
      </c>
      <c r="K13" s="3579"/>
      <c r="L13" s="3597"/>
      <c r="M13" s="3513"/>
      <c r="N13" s="3513"/>
      <c r="O13" s="3589"/>
      <c r="P13" s="3569"/>
      <c r="Q13" s="3570">
        <f t="shared" si="6"/>
        <v>111</v>
      </c>
      <c r="R13" s="3557" t="s">
        <v>3017</v>
      </c>
      <c r="S13" s="3558">
        <f t="shared" si="0"/>
        <v>100</v>
      </c>
      <c r="T13" s="3557" t="s">
        <v>3017</v>
      </c>
      <c r="U13" s="3558">
        <f t="shared" si="1"/>
        <v>100</v>
      </c>
      <c r="V13" s="3557" t="s">
        <v>3017</v>
      </c>
      <c r="W13" s="3558">
        <f t="shared" si="2"/>
        <v>100</v>
      </c>
      <c r="X13" s="3559"/>
      <c r="Y13" s="3571"/>
      <c r="Z13" s="3572">
        <f t="shared" si="7"/>
        <v>111</v>
      </c>
      <c r="AA13" s="3561">
        <f>D13/F13</f>
        <v>1</v>
      </c>
      <c r="AB13" s="3561">
        <f>D13/H13</f>
        <v>1</v>
      </c>
      <c r="AC13" s="3561">
        <f>D13/J13</f>
        <v>1</v>
      </c>
    </row>
    <row r="14" spans="1:30" ht="15.75" thickBot="1">
      <c r="A14" s="3598"/>
      <c r="B14" s="3599">
        <v>111</v>
      </c>
      <c r="C14" s="3600"/>
      <c r="D14" s="3601">
        <v>100</v>
      </c>
      <c r="E14" s="3595"/>
      <c r="F14" s="3601">
        <f>SUMIF(86:86,E14,87:87)-SUMIF(86:86,C14,87:87)+100</f>
        <v>100</v>
      </c>
      <c r="G14" s="3596"/>
      <c r="H14" s="3601">
        <f>SUMIF(86:86,G14,87:87)-SUMIF(86:86,C14,87:87)+100</f>
        <v>100</v>
      </c>
      <c r="I14" s="3596"/>
      <c r="J14" s="3601">
        <f>SUMIF(86:86,I14,87:87)-SUMIF(86:86,C14,87:87)+100</f>
        <v>100</v>
      </c>
      <c r="K14" s="3579"/>
      <c r="L14" s="3597"/>
      <c r="M14" s="3513"/>
      <c r="N14" s="3513"/>
      <c r="O14" s="3589"/>
      <c r="P14" s="3569"/>
      <c r="Q14" s="3570">
        <f t="shared" si="6"/>
        <v>111</v>
      </c>
      <c r="R14" s="3557" t="s">
        <v>3017</v>
      </c>
      <c r="S14" s="3558">
        <f t="shared" si="0"/>
        <v>100</v>
      </c>
      <c r="T14" s="3557" t="s">
        <v>3017</v>
      </c>
      <c r="U14" s="3558">
        <f t="shared" si="1"/>
        <v>100</v>
      </c>
      <c r="V14" s="3557" t="s">
        <v>3017</v>
      </c>
      <c r="W14" s="3558">
        <f t="shared" si="2"/>
        <v>100</v>
      </c>
      <c r="X14" s="3559"/>
      <c r="Y14" s="3571"/>
      <c r="Z14" s="3572">
        <f t="shared" si="7"/>
        <v>111</v>
      </c>
      <c r="AA14" s="3561">
        <f>D14/F14</f>
        <v>1</v>
      </c>
      <c r="AB14" s="3561">
        <f>D14/H14</f>
        <v>1</v>
      </c>
      <c r="AC14" s="3561">
        <f>D14/J14</f>
        <v>1</v>
      </c>
    </row>
    <row r="15" spans="1:30" ht="99.75">
      <c r="A15" s="3602" t="s">
        <v>3033</v>
      </c>
      <c r="B15" s="3603" t="s">
        <v>3034</v>
      </c>
      <c r="C15" s="3604" t="str">
        <f>[1]估价对象房地状况!C15</f>
        <v>估价对象周边居住用地比例、居住小区规模和社区发展完善程度，综合评价居住社区成熟度一般</v>
      </c>
      <c r="D15" s="3605">
        <v>100</v>
      </c>
      <c r="E15" s="3606"/>
      <c r="F15" s="3605">
        <f>SUMIF(88:88,E16,89:89)-SUMIF(88:88,C16,89:89)+100</f>
        <v>100</v>
      </c>
      <c r="G15" s="3606"/>
      <c r="H15" s="3605">
        <f>SUMIF(88:88,G16,89:89)-SUMIF(88:88,C16,89:89)+100</f>
        <v>100</v>
      </c>
      <c r="I15" s="3607"/>
      <c r="J15" s="3605">
        <f>SUMIF(88:88,I16,89:89)-SUMIF(88:88,C16,89:89)+100</f>
        <v>100</v>
      </c>
      <c r="K15" s="3587">
        <v>0.5</v>
      </c>
      <c r="L15" s="3597"/>
      <c r="M15" s="3513"/>
      <c r="N15" s="3513"/>
      <c r="O15" s="3589"/>
      <c r="P15" s="3608" t="s">
        <v>3035</v>
      </c>
      <c r="Q15" s="3609" t="str">
        <f t="shared" si="6"/>
        <v>居住社区成熟度</v>
      </c>
      <c r="R15" s="3610" t="s">
        <v>3017</v>
      </c>
      <c r="S15" s="3611">
        <f t="shared" si="0"/>
        <v>100</v>
      </c>
      <c r="T15" s="3610" t="s">
        <v>3017</v>
      </c>
      <c r="U15" s="3611">
        <f t="shared" si="1"/>
        <v>100</v>
      </c>
      <c r="V15" s="3610" t="s">
        <v>3017</v>
      </c>
      <c r="W15" s="3611">
        <f t="shared" si="2"/>
        <v>100</v>
      </c>
      <c r="X15" s="3519"/>
      <c r="Y15" s="3608" t="s">
        <v>3035</v>
      </c>
      <c r="Z15" s="3612" t="str">
        <f t="shared" si="7"/>
        <v>居住社区成熟度</v>
      </c>
      <c r="AA15" s="3613">
        <f t="shared" si="3"/>
        <v>1</v>
      </c>
      <c r="AB15" s="3613">
        <f t="shared" si="4"/>
        <v>1</v>
      </c>
      <c r="AC15" s="3613">
        <f t="shared" si="5"/>
        <v>1</v>
      </c>
    </row>
    <row r="16" spans="1:30" ht="15">
      <c r="A16" s="3584"/>
      <c r="B16" s="3614"/>
      <c r="C16" s="3615" t="s">
        <v>3037</v>
      </c>
      <c r="D16" s="3616"/>
      <c r="E16" s="3617" t="s">
        <v>3037</v>
      </c>
      <c r="F16" s="3616"/>
      <c r="G16" s="3617" t="s">
        <v>3037</v>
      </c>
      <c r="H16" s="3618"/>
      <c r="I16" s="3619" t="s">
        <v>3037</v>
      </c>
      <c r="J16" s="3616"/>
      <c r="K16" s="3579"/>
      <c r="L16" s="3597"/>
      <c r="M16" s="3513"/>
      <c r="N16" s="3513"/>
      <c r="O16" s="3589"/>
      <c r="P16" s="3620"/>
      <c r="Q16" s="3609"/>
      <c r="R16" s="3610"/>
      <c r="S16" s="3611"/>
      <c r="T16" s="3610"/>
      <c r="U16" s="3611"/>
      <c r="V16" s="3610"/>
      <c r="W16" s="3611"/>
      <c r="X16" s="3519"/>
      <c r="Y16" s="3620"/>
      <c r="Z16" s="3612"/>
      <c r="AA16" s="3613">
        <v>1</v>
      </c>
      <c r="AB16" s="3613">
        <v>1</v>
      </c>
      <c r="AC16" s="3613">
        <v>1</v>
      </c>
    </row>
    <row r="17" spans="1:29" ht="71.25" hidden="1">
      <c r="A17" s="3584"/>
      <c r="B17" s="3621" t="s">
        <v>3038</v>
      </c>
      <c r="C17" s="3622" t="str">
        <f>[1]估价对象房地状况!C16</f>
        <v>估价对象位于XX商圈，周边商业氛围成熟，人流量大，商业繁华度好</v>
      </c>
      <c r="D17" s="3618">
        <v>100</v>
      </c>
      <c r="E17" s="3623"/>
      <c r="F17" s="3618">
        <f>SUMIF(90:90,E18,91:91)-SUMIF(90:90,C18,91:91)+100</f>
        <v>100</v>
      </c>
      <c r="G17" s="3623"/>
      <c r="H17" s="3624">
        <f>SUMIF(90:90,G18,91:91)-SUMIF(90:90,C18,91:91)+100</f>
        <v>100</v>
      </c>
      <c r="I17" s="3625"/>
      <c r="J17" s="3624">
        <f>SUMIF(90:90,I18,91:91)-SUMIF(90:90,C18,91:91)+100</f>
        <v>100</v>
      </c>
      <c r="K17" s="3587"/>
      <c r="L17" s="3597"/>
      <c r="M17" s="3513"/>
      <c r="N17" s="3513"/>
      <c r="O17" s="3589"/>
      <c r="P17" s="3620"/>
      <c r="Q17" s="3609" t="str">
        <f>B17</f>
        <v>商业繁华度</v>
      </c>
      <c r="R17" s="3610" t="s">
        <v>3017</v>
      </c>
      <c r="S17" s="3611">
        <f>F17</f>
        <v>100</v>
      </c>
      <c r="T17" s="3610" t="s">
        <v>3017</v>
      </c>
      <c r="U17" s="3611">
        <f>H17</f>
        <v>100</v>
      </c>
      <c r="V17" s="3610" t="s">
        <v>3017</v>
      </c>
      <c r="W17" s="3611">
        <f>J17</f>
        <v>100</v>
      </c>
      <c r="X17" s="3519"/>
      <c r="Y17" s="3620"/>
      <c r="Z17" s="3612" t="str">
        <f>Q17</f>
        <v>商业繁华度</v>
      </c>
      <c r="AA17" s="3613">
        <f t="shared" si="3"/>
        <v>1</v>
      </c>
      <c r="AB17" s="3613">
        <f t="shared" si="4"/>
        <v>1</v>
      </c>
      <c r="AC17" s="3613">
        <f t="shared" si="5"/>
        <v>1</v>
      </c>
    </row>
    <row r="18" spans="1:29" ht="15" hidden="1">
      <c r="A18" s="3584"/>
      <c r="B18" s="3626"/>
      <c r="C18" s="3627" t="s">
        <v>3037</v>
      </c>
      <c r="D18" s="3618"/>
      <c r="E18" s="3628" t="s">
        <v>3037</v>
      </c>
      <c r="F18" s="3618"/>
      <c r="G18" s="3628" t="s">
        <v>3036</v>
      </c>
      <c r="H18" s="3616"/>
      <c r="I18" s="3629" t="s">
        <v>3037</v>
      </c>
      <c r="J18" s="3616"/>
      <c r="K18" s="3579"/>
      <c r="L18" s="3597"/>
      <c r="M18" s="3513"/>
      <c r="N18" s="3513"/>
      <c r="O18" s="3589"/>
      <c r="P18" s="3620"/>
      <c r="Q18" s="3609"/>
      <c r="R18" s="3610"/>
      <c r="S18" s="3611"/>
      <c r="T18" s="3610"/>
      <c r="U18" s="3611"/>
      <c r="V18" s="3610"/>
      <c r="W18" s="3611"/>
      <c r="X18" s="3519"/>
      <c r="Y18" s="3620"/>
      <c r="Z18" s="3612"/>
      <c r="AA18" s="3613">
        <v>1</v>
      </c>
      <c r="AB18" s="3613">
        <v>1</v>
      </c>
      <c r="AC18" s="3613">
        <v>1</v>
      </c>
    </row>
    <row r="19" spans="1:29" ht="71.25" hidden="1">
      <c r="A19" s="3584"/>
      <c r="B19" s="3621" t="s">
        <v>3039</v>
      </c>
      <c r="C19" s="3622" t="str">
        <f>[1]估价对象房地状况!C17</f>
        <v>估价对象位于XX商圈，周边办公楼项目较多，入驻率高，办公集聚程度较好</v>
      </c>
      <c r="D19" s="3624">
        <v>100</v>
      </c>
      <c r="E19" s="3630"/>
      <c r="F19" s="3624">
        <f>SUMIF(92:92,E20,93:93)-SUMIF(92:92,C20,93:93)+100</f>
        <v>100</v>
      </c>
      <c r="G19" s="3630"/>
      <c r="H19" s="3618">
        <f>SUMIF(92:92,G20,93:93)-SUMIF(92:92,C20,93:93)+100</f>
        <v>100</v>
      </c>
      <c r="I19" s="3631"/>
      <c r="J19" s="3618">
        <f>SUMIF(92:92,I20,93:93)-SUMIF(92:92,C20,93:93)+100</f>
        <v>100</v>
      </c>
      <c r="K19" s="3587"/>
      <c r="L19" s="3597"/>
      <c r="M19" s="3513"/>
      <c r="N19" s="3513"/>
      <c r="O19" s="3589"/>
      <c r="P19" s="3620"/>
      <c r="Q19" s="3609" t="str">
        <f>B19</f>
        <v>办公集聚程度</v>
      </c>
      <c r="R19" s="3610" t="s">
        <v>3017</v>
      </c>
      <c r="S19" s="3611">
        <f>F19</f>
        <v>100</v>
      </c>
      <c r="T19" s="3610" t="s">
        <v>3017</v>
      </c>
      <c r="U19" s="3611">
        <f>H19</f>
        <v>100</v>
      </c>
      <c r="V19" s="3610" t="s">
        <v>3017</v>
      </c>
      <c r="W19" s="3611">
        <f>J19</f>
        <v>100</v>
      </c>
      <c r="X19" s="3519"/>
      <c r="Y19" s="3620"/>
      <c r="Z19" s="3612" t="str">
        <f>Q19</f>
        <v>办公集聚程度</v>
      </c>
      <c r="AA19" s="3613">
        <f t="shared" si="3"/>
        <v>1</v>
      </c>
      <c r="AB19" s="3613">
        <f t="shared" si="4"/>
        <v>1</v>
      </c>
      <c r="AC19" s="3613">
        <f t="shared" si="5"/>
        <v>1</v>
      </c>
    </row>
    <row r="20" spans="1:29" ht="15" hidden="1">
      <c r="A20" s="3584"/>
      <c r="B20" s="3626"/>
      <c r="C20" s="3615"/>
      <c r="D20" s="3616"/>
      <c r="E20" s="3617"/>
      <c r="F20" s="3616"/>
      <c r="G20" s="3617"/>
      <c r="H20" s="3616"/>
      <c r="I20" s="3619"/>
      <c r="J20" s="3616"/>
      <c r="K20" s="3579"/>
      <c r="L20" s="3597"/>
      <c r="M20" s="3513"/>
      <c r="N20" s="3513"/>
      <c r="O20" s="3589"/>
      <c r="P20" s="3620"/>
      <c r="Q20" s="3609"/>
      <c r="R20" s="3610"/>
      <c r="S20" s="3611"/>
      <c r="T20" s="3610"/>
      <c r="U20" s="3611"/>
      <c r="V20" s="3610"/>
      <c r="W20" s="3611"/>
      <c r="X20" s="3519"/>
      <c r="Y20" s="3620"/>
      <c r="Z20" s="3612"/>
      <c r="AA20" s="3613">
        <v>1</v>
      </c>
      <c r="AB20" s="3613">
        <v>1</v>
      </c>
      <c r="AC20" s="3613">
        <v>1</v>
      </c>
    </row>
    <row r="21" spans="1:29" ht="85.5">
      <c r="A21" s="3584"/>
      <c r="B21" s="3621" t="s">
        <v>3040</v>
      </c>
      <c r="C21" s="3632" t="str">
        <f>[1]估价对象房地状况!C18</f>
        <v>估价对象周边道路状况、公共交通通达情况、停车便捷程度，综合评价交通便捷度较好</v>
      </c>
      <c r="D21" s="3618">
        <v>100</v>
      </c>
      <c r="E21" s="3623"/>
      <c r="F21" s="3624">
        <f>SUMIF(94:94,E22,95:95)-SUMIF(94:94,C22,95:95)+100</f>
        <v>100</v>
      </c>
      <c r="G21" s="3623"/>
      <c r="H21" s="3618">
        <f>SUMIF(94:94,G22,95:95)-SUMIF(94:94,C22,95:95)+100</f>
        <v>95</v>
      </c>
      <c r="I21" s="3625"/>
      <c r="J21" s="3618">
        <f>SUMIF(94:94,I22,95:95)-SUMIF(94:94,C22,95:95)+100</f>
        <v>100</v>
      </c>
      <c r="K21" s="3587">
        <v>5</v>
      </c>
      <c r="L21" s="3597"/>
      <c r="M21" s="3513"/>
      <c r="N21" s="3513"/>
      <c r="O21" s="3589"/>
      <c r="P21" s="3620"/>
      <c r="Q21" s="3609" t="str">
        <f>B21</f>
        <v>交通便捷度</v>
      </c>
      <c r="R21" s="3610" t="s">
        <v>3017</v>
      </c>
      <c r="S21" s="3611">
        <f>F21</f>
        <v>100</v>
      </c>
      <c r="T21" s="3610" t="s">
        <v>3017</v>
      </c>
      <c r="U21" s="3611">
        <f>H21</f>
        <v>95</v>
      </c>
      <c r="V21" s="3610" t="s">
        <v>3017</v>
      </c>
      <c r="W21" s="3611">
        <f>J21</f>
        <v>100</v>
      </c>
      <c r="X21" s="3519"/>
      <c r="Y21" s="3620"/>
      <c r="Z21" s="3612" t="str">
        <f>Q21</f>
        <v>交通便捷度</v>
      </c>
      <c r="AA21" s="3613">
        <f t="shared" si="3"/>
        <v>1</v>
      </c>
      <c r="AB21" s="3613">
        <f t="shared" si="4"/>
        <v>1.0526315789473684</v>
      </c>
      <c r="AC21" s="3613">
        <f t="shared" si="5"/>
        <v>1</v>
      </c>
    </row>
    <row r="22" spans="1:29" ht="15">
      <c r="A22" s="3584"/>
      <c r="B22" s="3633"/>
      <c r="C22" s="3615" t="s">
        <v>3037</v>
      </c>
      <c r="D22" s="3618"/>
      <c r="E22" s="3617" t="s">
        <v>3037</v>
      </c>
      <c r="F22" s="3616"/>
      <c r="G22" s="3617" t="s">
        <v>3036</v>
      </c>
      <c r="H22" s="3616"/>
      <c r="I22" s="3619" t="s">
        <v>3037</v>
      </c>
      <c r="J22" s="3616"/>
      <c r="K22" s="3579"/>
      <c r="L22" s="3597"/>
      <c r="M22" s="3513"/>
      <c r="N22" s="3513"/>
      <c r="O22" s="3589"/>
      <c r="P22" s="3620"/>
      <c r="Q22" s="3609"/>
      <c r="R22" s="3610"/>
      <c r="S22" s="3611"/>
      <c r="T22" s="3610"/>
      <c r="U22" s="3611"/>
      <c r="V22" s="3610"/>
      <c r="W22" s="3611"/>
      <c r="X22" s="3519"/>
      <c r="Y22" s="3620"/>
      <c r="Z22" s="3612"/>
      <c r="AA22" s="3613">
        <v>1</v>
      </c>
      <c r="AB22" s="3613">
        <v>1</v>
      </c>
      <c r="AC22" s="3613">
        <v>1</v>
      </c>
    </row>
    <row r="23" spans="1:29" ht="15">
      <c r="A23" s="3523"/>
      <c r="B23" s="3621" t="s">
        <v>3041</v>
      </c>
      <c r="C23" s="3634">
        <f>[1]估价对象房地状况!C19</f>
        <v>0</v>
      </c>
      <c r="D23" s="3624">
        <v>100</v>
      </c>
      <c r="E23" s="3623"/>
      <c r="F23" s="3624">
        <f>SUMIF(96:96,E24,97:97)-SUMIF(96:96,C24,97:97)+100</f>
        <v>100</v>
      </c>
      <c r="G23" s="3625"/>
      <c r="H23" s="3624">
        <f>SUMIF(96:96,G24,97:97)-SUMIF(96:96,C24,97:97)+100</f>
        <v>100</v>
      </c>
      <c r="I23" s="3625"/>
      <c r="J23" s="3624">
        <f>SUMIF(96:96,I24,97:97)-SUMIF(96:96,C24,97:97)+100</f>
        <v>100</v>
      </c>
      <c r="K23" s="3587">
        <v>0.5</v>
      </c>
      <c r="L23" s="3597"/>
      <c r="M23" s="3513"/>
      <c r="N23" s="3513"/>
      <c r="O23" s="3589"/>
      <c r="P23" s="3620"/>
      <c r="Q23" s="3609" t="str">
        <f t="shared" ref="Q23:Q37" si="8">B23</f>
        <v>区域土地利用方向</v>
      </c>
      <c r="R23" s="3610" t="s">
        <v>3017</v>
      </c>
      <c r="S23" s="3611">
        <f>F23</f>
        <v>100</v>
      </c>
      <c r="T23" s="3610" t="s">
        <v>3017</v>
      </c>
      <c r="U23" s="3611">
        <f>H23</f>
        <v>100</v>
      </c>
      <c r="V23" s="3610" t="s">
        <v>3017</v>
      </c>
      <c r="W23" s="3611">
        <f>J23</f>
        <v>100</v>
      </c>
      <c r="X23" s="3519"/>
      <c r="Y23" s="3620"/>
      <c r="Z23" s="3612" t="str">
        <f>Q23</f>
        <v>区域土地利用方向</v>
      </c>
      <c r="AA23" s="3613">
        <f t="shared" si="3"/>
        <v>1</v>
      </c>
      <c r="AB23" s="3613">
        <f t="shared" si="4"/>
        <v>1</v>
      </c>
      <c r="AC23" s="3613">
        <f t="shared" si="5"/>
        <v>1</v>
      </c>
    </row>
    <row r="24" spans="1:29" ht="15">
      <c r="A24" s="3523"/>
      <c r="B24" s="3626"/>
      <c r="C24" s="3635" t="s">
        <v>3036</v>
      </c>
      <c r="D24" s="3616"/>
      <c r="E24" s="3617" t="s">
        <v>3036</v>
      </c>
      <c r="F24" s="3616"/>
      <c r="G24" s="3619" t="s">
        <v>3036</v>
      </c>
      <c r="H24" s="3616"/>
      <c r="I24" s="3619" t="s">
        <v>3036</v>
      </c>
      <c r="J24" s="3616"/>
      <c r="K24" s="3636"/>
      <c r="L24" s="3597"/>
      <c r="M24" s="3513"/>
      <c r="N24" s="3513"/>
      <c r="O24" s="3589"/>
      <c r="P24" s="3620"/>
      <c r="Q24" s="3609"/>
      <c r="R24" s="3610"/>
      <c r="S24" s="3611"/>
      <c r="T24" s="3610"/>
      <c r="U24" s="3611"/>
      <c r="V24" s="3610"/>
      <c r="W24" s="3611"/>
      <c r="X24" s="3519"/>
      <c r="Y24" s="3620"/>
      <c r="Z24" s="3612"/>
      <c r="AA24" s="3613"/>
      <c r="AB24" s="3613"/>
      <c r="AC24" s="3613"/>
    </row>
    <row r="25" spans="1:29" ht="57">
      <c r="A25" s="3523"/>
      <c r="B25" s="3633" t="s">
        <v>3042</v>
      </c>
      <c r="C25" s="3622" t="str">
        <f>[1]估价对象房地状况!C20</f>
        <v>区域自然环境：；人文环境；综合评价环境状况一般</v>
      </c>
      <c r="D25" s="3618">
        <v>100</v>
      </c>
      <c r="E25" s="3623"/>
      <c r="F25" s="3618">
        <f>SUMIF(98:98,E26,99:99)-SUMIF(98:98,C26,99:99)+100</f>
        <v>100</v>
      </c>
      <c r="G25" s="3623"/>
      <c r="H25" s="3618">
        <f>SUMIF(98:98,G26,99:99)-SUMIF(98:98,C26,99:99)+100</f>
        <v>100</v>
      </c>
      <c r="I25" s="3625"/>
      <c r="J25" s="3618">
        <f>SUMIF(98:98,I26,99:99)-SUMIF(98:98,C26,99:99)+100</f>
        <v>100</v>
      </c>
      <c r="K25" s="3587">
        <v>1</v>
      </c>
      <c r="L25" s="3597"/>
      <c r="M25" s="3513"/>
      <c r="N25" s="3513"/>
      <c r="O25" s="3589"/>
      <c r="P25" s="3620"/>
      <c r="Q25" s="3609" t="str">
        <f t="shared" si="8"/>
        <v>自然及人文环境状况</v>
      </c>
      <c r="R25" s="3610" t="s">
        <v>3017</v>
      </c>
      <c r="S25" s="3611">
        <f>F25</f>
        <v>100</v>
      </c>
      <c r="T25" s="3610" t="s">
        <v>3017</v>
      </c>
      <c r="U25" s="3611">
        <f>H25</f>
        <v>100</v>
      </c>
      <c r="V25" s="3610" t="s">
        <v>3017</v>
      </c>
      <c r="W25" s="3611">
        <f>J25</f>
        <v>100</v>
      </c>
      <c r="X25" s="3519"/>
      <c r="Y25" s="3620"/>
      <c r="Z25" s="3612" t="str">
        <f>Q25</f>
        <v>自然及人文环境状况</v>
      </c>
      <c r="AA25" s="3613">
        <f t="shared" si="3"/>
        <v>1</v>
      </c>
      <c r="AB25" s="3613">
        <f t="shared" si="4"/>
        <v>1</v>
      </c>
      <c r="AC25" s="3613">
        <f t="shared" si="5"/>
        <v>1</v>
      </c>
    </row>
    <row r="26" spans="1:29" ht="15">
      <c r="A26" s="3523"/>
      <c r="B26" s="3626"/>
      <c r="C26" s="3615" t="s">
        <v>3036</v>
      </c>
      <c r="D26" s="3616"/>
      <c r="E26" s="3637" t="s">
        <v>3036</v>
      </c>
      <c r="F26" s="3616"/>
      <c r="G26" s="3637" t="s">
        <v>3036</v>
      </c>
      <c r="H26" s="3616"/>
      <c r="I26" s="3615" t="s">
        <v>3036</v>
      </c>
      <c r="J26" s="3616"/>
      <c r="K26" s="3579"/>
      <c r="L26" s="3597"/>
      <c r="M26" s="3513"/>
      <c r="N26" s="3513"/>
      <c r="O26" s="3589"/>
      <c r="P26" s="3620"/>
      <c r="Q26" s="3609"/>
      <c r="R26" s="3610"/>
      <c r="S26" s="3611"/>
      <c r="T26" s="3610"/>
      <c r="U26" s="3611"/>
      <c r="V26" s="3610"/>
      <c r="W26" s="3611"/>
      <c r="X26" s="3519"/>
      <c r="Y26" s="3620"/>
      <c r="Z26" s="3612"/>
      <c r="AA26" s="3613">
        <v>1</v>
      </c>
      <c r="AB26" s="3613">
        <v>1</v>
      </c>
      <c r="AC26" s="3613">
        <v>1</v>
      </c>
    </row>
    <row r="27" spans="1:29" s="3562" customFormat="1" ht="42.75">
      <c r="A27" s="3638"/>
      <c r="B27" s="3633" t="s">
        <v>3043</v>
      </c>
      <c r="C27" s="3632" t="str">
        <f>[1]估价对象房地状况!C21</f>
        <v>估价对象所在区域公共配套设施齐备情况</v>
      </c>
      <c r="D27" s="3618">
        <v>100</v>
      </c>
      <c r="E27" s="3623"/>
      <c r="F27" s="3618">
        <f>SUMIF(100:100,E28,101:101)-SUMIF(100:100,C28,101:101)+100</f>
        <v>100</v>
      </c>
      <c r="G27" s="3623"/>
      <c r="H27" s="3618">
        <f>SUMIF(100:100,G28,101:101)-SUMIF(100:100,C28,101:101)+100</f>
        <v>95</v>
      </c>
      <c r="I27" s="3625"/>
      <c r="J27" s="3618">
        <f>SUMIF(100:100,I28,101:101)-SUMIF(100:100,C28,101:101)+100</f>
        <v>95</v>
      </c>
      <c r="K27" s="3587">
        <v>5</v>
      </c>
      <c r="L27" s="3553"/>
      <c r="M27" s="3554"/>
      <c r="N27" s="3554"/>
      <c r="O27" s="3568"/>
      <c r="P27" s="3620"/>
      <c r="Q27" s="3570" t="str">
        <f t="shared" si="8"/>
        <v>公共配套设施</v>
      </c>
      <c r="R27" s="3557" t="s">
        <v>3017</v>
      </c>
      <c r="S27" s="3558">
        <f>F27</f>
        <v>100</v>
      </c>
      <c r="T27" s="3557" t="s">
        <v>3017</v>
      </c>
      <c r="U27" s="3558">
        <f>H27</f>
        <v>95</v>
      </c>
      <c r="V27" s="3557" t="s">
        <v>3017</v>
      </c>
      <c r="W27" s="3558">
        <f>J27</f>
        <v>95</v>
      </c>
      <c r="X27" s="3559"/>
      <c r="Y27" s="3620"/>
      <c r="Z27" s="3572" t="str">
        <f>Q27</f>
        <v>公共配套设施</v>
      </c>
      <c r="AA27" s="3613">
        <f>D27/F27</f>
        <v>1</v>
      </c>
      <c r="AB27" s="3613">
        <f>D27/H27</f>
        <v>1.0526315789473684</v>
      </c>
      <c r="AC27" s="3613">
        <f>D27/J27</f>
        <v>1.0526315789473684</v>
      </c>
    </row>
    <row r="28" spans="1:29" s="3562" customFormat="1" ht="15">
      <c r="A28" s="3638"/>
      <c r="B28" s="3626"/>
      <c r="C28" s="3639" t="s">
        <v>3037</v>
      </c>
      <c r="D28" s="3616"/>
      <c r="E28" s="3637" t="s">
        <v>3037</v>
      </c>
      <c r="F28" s="3616"/>
      <c r="G28" s="3637" t="s">
        <v>3036</v>
      </c>
      <c r="H28" s="3616"/>
      <c r="I28" s="3615" t="s">
        <v>3036</v>
      </c>
      <c r="J28" s="3616"/>
      <c r="K28" s="3579"/>
      <c r="L28" s="3553"/>
      <c r="M28" s="3554"/>
      <c r="N28" s="3554"/>
      <c r="O28" s="3568"/>
      <c r="P28" s="3620"/>
      <c r="Q28" s="3570"/>
      <c r="R28" s="3557"/>
      <c r="S28" s="3558"/>
      <c r="T28" s="3557"/>
      <c r="U28" s="3558"/>
      <c r="V28" s="3557"/>
      <c r="W28" s="3558"/>
      <c r="X28" s="3559"/>
      <c r="Y28" s="3620"/>
      <c r="Z28" s="3572"/>
      <c r="AA28" s="3613">
        <v>1</v>
      </c>
      <c r="AB28" s="3613">
        <v>1</v>
      </c>
      <c r="AC28" s="3613">
        <v>1</v>
      </c>
    </row>
    <row r="29" spans="1:29" s="3562" customFormat="1" ht="28.5">
      <c r="A29" s="3638"/>
      <c r="B29" s="3633" t="s">
        <v>3044</v>
      </c>
      <c r="C29" s="3632" t="str">
        <f>[1]估价对象房地状况!C22</f>
        <v>估价对象所在区域基础设施水平</v>
      </c>
      <c r="D29" s="3618">
        <v>100</v>
      </c>
      <c r="E29" s="3623"/>
      <c r="F29" s="3618">
        <f>SUMIF(102:102,E30,103:103)-SUMIF(102:102,C30,103:103)+100</f>
        <v>100</v>
      </c>
      <c r="G29" s="3623"/>
      <c r="H29" s="3618">
        <f>SUMIF(102:102,G30,103:103)-SUMIF(102:102,C30,103:103)+100</f>
        <v>100</v>
      </c>
      <c r="I29" s="3625"/>
      <c r="J29" s="3618">
        <f>SUMIF(102:102,I30,103:103)-SUMIF(102:102,C30,103:103)+100</f>
        <v>100</v>
      </c>
      <c r="K29" s="3587"/>
      <c r="L29" s="3553"/>
      <c r="M29" s="3554"/>
      <c r="N29" s="3554"/>
      <c r="O29" s="3568"/>
      <c r="P29" s="3620"/>
      <c r="Q29" s="3570" t="str">
        <f t="shared" ref="Q29" si="9">B29</f>
        <v>基础设施水平</v>
      </c>
      <c r="R29" s="3557" t="s">
        <v>3017</v>
      </c>
      <c r="S29" s="3558">
        <f>F29</f>
        <v>100</v>
      </c>
      <c r="T29" s="3557" t="s">
        <v>3017</v>
      </c>
      <c r="U29" s="3558">
        <f>H29</f>
        <v>100</v>
      </c>
      <c r="V29" s="3557" t="s">
        <v>3017</v>
      </c>
      <c r="W29" s="3558">
        <f>J29</f>
        <v>100</v>
      </c>
      <c r="X29" s="3559"/>
      <c r="Y29" s="3620"/>
      <c r="Z29" s="3572" t="str">
        <f>Q29</f>
        <v>基础设施水平</v>
      </c>
      <c r="AA29" s="3613">
        <f>D29/F29</f>
        <v>1</v>
      </c>
      <c r="AB29" s="3613">
        <f>D29/H29</f>
        <v>1</v>
      </c>
      <c r="AC29" s="3613">
        <f>D29/J29</f>
        <v>1</v>
      </c>
    </row>
    <row r="30" spans="1:29" s="3562" customFormat="1" ht="15">
      <c r="A30" s="3638"/>
      <c r="B30" s="3626"/>
      <c r="C30" s="3639" t="s">
        <v>3045</v>
      </c>
      <c r="D30" s="3616"/>
      <c r="E30" s="3640" t="s">
        <v>3045</v>
      </c>
      <c r="F30" s="3616"/>
      <c r="G30" s="3640" t="s">
        <v>3045</v>
      </c>
      <c r="H30" s="3616"/>
      <c r="I30" s="3640" t="s">
        <v>3045</v>
      </c>
      <c r="J30" s="3616"/>
      <c r="K30" s="3579"/>
      <c r="L30" s="3553"/>
      <c r="M30" s="3554"/>
      <c r="N30" s="3554"/>
      <c r="O30" s="3568"/>
      <c r="P30" s="3620"/>
      <c r="Q30" s="3570"/>
      <c r="R30" s="3557"/>
      <c r="S30" s="3558"/>
      <c r="T30" s="3557"/>
      <c r="U30" s="3558"/>
      <c r="V30" s="3557"/>
      <c r="W30" s="3558"/>
      <c r="X30" s="3559"/>
      <c r="Y30" s="3620"/>
      <c r="Z30" s="3572"/>
      <c r="AA30" s="3613">
        <v>1</v>
      </c>
      <c r="AB30" s="3613">
        <v>1</v>
      </c>
      <c r="AC30" s="3613">
        <v>1</v>
      </c>
    </row>
    <row r="31" spans="1:29" ht="15">
      <c r="A31" s="3584"/>
      <c r="B31" s="3626" t="s">
        <v>3046</v>
      </c>
      <c r="C31" s="3635" t="s">
        <v>3047</v>
      </c>
      <c r="D31" s="3594">
        <v>100</v>
      </c>
      <c r="E31" s="3641" t="s">
        <v>3047</v>
      </c>
      <c r="F31" s="3594">
        <f>SUMIF(104:104,E31,105:105)-SUMIF(104:104,C31,105:105)+100</f>
        <v>100</v>
      </c>
      <c r="G31" s="3641" t="s">
        <v>3047</v>
      </c>
      <c r="H31" s="3594">
        <f>SUMIF(104:104,G31,105:105)-SUMIF(104:104,C31,105:105)+100</f>
        <v>100</v>
      </c>
      <c r="I31" s="3641" t="s">
        <v>3047</v>
      </c>
      <c r="J31" s="3594">
        <f>SUMIF(104:104,I31,105:105)-SUMIF(104:104,C31,105:105)+100</f>
        <v>100</v>
      </c>
      <c r="K31" s="3587"/>
      <c r="L31" s="3597"/>
      <c r="M31" s="3513"/>
      <c r="N31" s="3513"/>
      <c r="O31" s="3589"/>
      <c r="P31" s="3620"/>
      <c r="Q31" s="3609" t="str">
        <f t="shared" si="8"/>
        <v>临街状况</v>
      </c>
      <c r="R31" s="3610" t="s">
        <v>3017</v>
      </c>
      <c r="S31" s="3611">
        <f t="shared" ref="S31:S45" si="10">F31</f>
        <v>100</v>
      </c>
      <c r="T31" s="3610" t="s">
        <v>3017</v>
      </c>
      <c r="U31" s="3611">
        <f t="shared" ref="U31:U45" si="11">H31</f>
        <v>100</v>
      </c>
      <c r="V31" s="3610" t="s">
        <v>3017</v>
      </c>
      <c r="W31" s="3611">
        <f t="shared" ref="W31:W45" si="12">J31</f>
        <v>100</v>
      </c>
      <c r="X31" s="3519"/>
      <c r="Y31" s="3620"/>
      <c r="Z31" s="3612" t="str">
        <f t="shared" ref="Z31:Z45" si="13">Q31</f>
        <v>临街状况</v>
      </c>
      <c r="AA31" s="3613">
        <f t="shared" si="3"/>
        <v>1</v>
      </c>
      <c r="AB31" s="3613">
        <f t="shared" si="4"/>
        <v>1</v>
      </c>
      <c r="AC31" s="3613">
        <f t="shared" si="5"/>
        <v>1</v>
      </c>
    </row>
    <row r="32" spans="1:29" ht="27">
      <c r="A32" s="3584"/>
      <c r="B32" s="3633" t="s">
        <v>3048</v>
      </c>
      <c r="C32" s="3625"/>
      <c r="D32" s="3618">
        <v>100</v>
      </c>
      <c r="E32" s="3623"/>
      <c r="F32" s="3618">
        <f>SUMIF(106:106,E33,107:107)-SUMIF(106:106,C33,107:107)+100</f>
        <v>100</v>
      </c>
      <c r="G32" s="3623"/>
      <c r="H32" s="3618">
        <f>SUMIF(106:106,G33,107:107)-SUMIF(106:106,C33,107:107)+100</f>
        <v>100</v>
      </c>
      <c r="I32" s="3625"/>
      <c r="J32" s="3618">
        <f>SUMIF(106:106,I33,107:107)-SUMIF(106:106,C33,107:107)+100</f>
        <v>100</v>
      </c>
      <c r="K32" s="3587"/>
      <c r="L32" s="3597"/>
      <c r="M32" s="3513"/>
      <c r="N32" s="3513"/>
      <c r="O32" s="3589"/>
      <c r="P32" s="3620"/>
      <c r="Q32" s="3609" t="str">
        <f t="shared" si="8"/>
        <v>毗邻道路的类型与等级</v>
      </c>
      <c r="R32" s="3610" t="s">
        <v>3017</v>
      </c>
      <c r="S32" s="3611">
        <f t="shared" si="10"/>
        <v>100</v>
      </c>
      <c r="T32" s="3610" t="s">
        <v>3017</v>
      </c>
      <c r="U32" s="3611">
        <f t="shared" si="11"/>
        <v>100</v>
      </c>
      <c r="V32" s="3610" t="s">
        <v>3017</v>
      </c>
      <c r="W32" s="3611">
        <f t="shared" si="12"/>
        <v>100</v>
      </c>
      <c r="X32" s="3519"/>
      <c r="Y32" s="3620"/>
      <c r="Z32" s="3612" t="str">
        <f t="shared" si="13"/>
        <v>毗邻道路的类型与等级</v>
      </c>
      <c r="AA32" s="3613">
        <f t="shared" si="3"/>
        <v>1</v>
      </c>
      <c r="AB32" s="3613">
        <f t="shared" si="4"/>
        <v>1</v>
      </c>
      <c r="AC32" s="3613">
        <f t="shared" si="5"/>
        <v>1</v>
      </c>
    </row>
    <row r="33" spans="1:29" ht="15.75" thickBot="1">
      <c r="A33" s="3584"/>
      <c r="B33" s="3626"/>
      <c r="C33" s="3615" t="s">
        <v>3049</v>
      </c>
      <c r="D33" s="3616"/>
      <c r="E33" s="3637" t="s">
        <v>3049</v>
      </c>
      <c r="F33" s="3616"/>
      <c r="G33" s="3637" t="s">
        <v>3049</v>
      </c>
      <c r="H33" s="3616"/>
      <c r="I33" s="3615" t="s">
        <v>3049</v>
      </c>
      <c r="J33" s="3616"/>
      <c r="K33" s="3642"/>
      <c r="L33" s="3597"/>
      <c r="M33" s="3513"/>
      <c r="N33" s="3513"/>
      <c r="O33" s="3589"/>
      <c r="P33" s="3620"/>
      <c r="Q33" s="3609"/>
      <c r="R33" s="3610"/>
      <c r="S33" s="3611"/>
      <c r="T33" s="3610"/>
      <c r="U33" s="3611"/>
      <c r="V33" s="3610"/>
      <c r="W33" s="3611"/>
      <c r="X33" s="3519"/>
      <c r="Y33" s="3620"/>
      <c r="Z33" s="3612"/>
      <c r="AA33" s="3613">
        <v>1</v>
      </c>
      <c r="AB33" s="3613">
        <v>1</v>
      </c>
      <c r="AC33" s="3613">
        <v>1</v>
      </c>
    </row>
    <row r="34" spans="1:29" ht="15.75" hidden="1" thickBot="1">
      <c r="A34" s="3584"/>
      <c r="B34" s="3574" t="s">
        <v>3050</v>
      </c>
      <c r="C34" s="3635"/>
      <c r="D34" s="3594">
        <v>100</v>
      </c>
      <c r="E34" s="3641"/>
      <c r="F34" s="3594">
        <f>SUMIF(108:108,E34,109:109)-SUMIF(108:108,C34,109:109)+100</f>
        <v>100</v>
      </c>
      <c r="G34" s="3641"/>
      <c r="H34" s="3594">
        <f>SUMIF(108:108,G34,109:109)-SUMIF(108:108,C34,109:109)+100</f>
        <v>100</v>
      </c>
      <c r="I34" s="3635"/>
      <c r="J34" s="3594">
        <f>SUMIF(108:108,I34,109:109)-SUMIF(108:108,C34,109:109)+100</f>
        <v>100</v>
      </c>
      <c r="K34" s="3643"/>
      <c r="L34" s="3597"/>
      <c r="M34" s="3513"/>
      <c r="N34" s="3513"/>
      <c r="O34" s="3589"/>
      <c r="P34" s="3620"/>
      <c r="Q34" s="3609" t="str">
        <f t="shared" si="8"/>
        <v>土地级别</v>
      </c>
      <c r="R34" s="3610" t="s">
        <v>3017</v>
      </c>
      <c r="S34" s="3611">
        <f t="shared" si="10"/>
        <v>100</v>
      </c>
      <c r="T34" s="3610" t="s">
        <v>3017</v>
      </c>
      <c r="U34" s="3611">
        <f t="shared" si="11"/>
        <v>100</v>
      </c>
      <c r="V34" s="3610" t="s">
        <v>3017</v>
      </c>
      <c r="W34" s="3611">
        <f t="shared" si="12"/>
        <v>100</v>
      </c>
      <c r="X34" s="3519"/>
      <c r="Y34" s="3620"/>
      <c r="Z34" s="3612" t="str">
        <f t="shared" si="13"/>
        <v>土地级别</v>
      </c>
      <c r="AA34" s="3613">
        <f t="shared" si="3"/>
        <v>1</v>
      </c>
      <c r="AB34" s="3613">
        <f t="shared" si="4"/>
        <v>1</v>
      </c>
      <c r="AC34" s="3613">
        <f t="shared" si="5"/>
        <v>1</v>
      </c>
    </row>
    <row r="35" spans="1:29" ht="15.75" hidden="1" thickBot="1">
      <c r="A35" s="3523"/>
      <c r="B35" s="3644">
        <v>111</v>
      </c>
      <c r="C35" s="3596"/>
      <c r="D35" s="3594">
        <v>100</v>
      </c>
      <c r="E35" s="3645"/>
      <c r="F35" s="3594">
        <f>SUMIF(110:110,E35,111:111)-SUMIF(110:110,C35,111:111)+100</f>
        <v>100</v>
      </c>
      <c r="G35" s="3645"/>
      <c r="H35" s="3594">
        <f>SUMIF(110:110,G35,111:111)-SUMIF(110:110,C35,111:111)+100</f>
        <v>100</v>
      </c>
      <c r="I35" s="3596"/>
      <c r="J35" s="3594">
        <f>SUMIF(110:110,I35,111:111)-SUMIF(110:110,C35,111:111)+100</f>
        <v>100</v>
      </c>
      <c r="K35" s="3642"/>
      <c r="L35" s="3597"/>
      <c r="M35" s="3513"/>
      <c r="N35" s="3513"/>
      <c r="O35" s="3589"/>
      <c r="P35" s="3620"/>
      <c r="Q35" s="3609">
        <f t="shared" si="8"/>
        <v>111</v>
      </c>
      <c r="R35" s="3610" t="s">
        <v>3017</v>
      </c>
      <c r="S35" s="3611">
        <f t="shared" si="10"/>
        <v>100</v>
      </c>
      <c r="T35" s="3610" t="s">
        <v>3017</v>
      </c>
      <c r="U35" s="3611">
        <f t="shared" si="11"/>
        <v>100</v>
      </c>
      <c r="V35" s="3610" t="s">
        <v>3017</v>
      </c>
      <c r="W35" s="3611">
        <f t="shared" si="12"/>
        <v>100</v>
      </c>
      <c r="X35" s="3519"/>
      <c r="Y35" s="3620"/>
      <c r="Z35" s="3612">
        <f t="shared" si="13"/>
        <v>111</v>
      </c>
      <c r="AA35" s="3613">
        <f t="shared" si="3"/>
        <v>1</v>
      </c>
      <c r="AB35" s="3613">
        <f t="shared" si="4"/>
        <v>1</v>
      </c>
      <c r="AC35" s="3613">
        <f t="shared" si="5"/>
        <v>1</v>
      </c>
    </row>
    <row r="36" spans="1:29" ht="15.75" hidden="1" thickBot="1">
      <c r="A36" s="3646"/>
      <c r="B36" s="3647">
        <v>111</v>
      </c>
      <c r="C36" s="3596"/>
      <c r="D36" s="3594">
        <v>100</v>
      </c>
      <c r="E36" s="3645"/>
      <c r="F36" s="3594">
        <f>SUMIF(112:112,E37,113:113)-SUMIF(112:112,C37,113:113)+100</f>
        <v>100</v>
      </c>
      <c r="G36" s="3645"/>
      <c r="H36" s="3594">
        <f>SUMIF(112:112,G36,113:113)-SUMIF(112:112,C36,113:113)+100</f>
        <v>100</v>
      </c>
      <c r="I36" s="3596"/>
      <c r="J36" s="3594">
        <f>SUMIF(112:112,I36,113:113)-SUMIF(112:112,C36,113:113)+100</f>
        <v>100</v>
      </c>
      <c r="K36" s="3642"/>
      <c r="L36" s="3597"/>
      <c r="M36" s="3513"/>
      <c r="N36" s="3513"/>
      <c r="O36" s="3589"/>
      <c r="P36" s="3648" t="s">
        <v>3052</v>
      </c>
      <c r="Q36" s="3609">
        <f t="shared" si="8"/>
        <v>111</v>
      </c>
      <c r="R36" s="3610" t="s">
        <v>3017</v>
      </c>
      <c r="S36" s="3611">
        <f t="shared" si="10"/>
        <v>100</v>
      </c>
      <c r="T36" s="3610" t="s">
        <v>3017</v>
      </c>
      <c r="U36" s="3611">
        <f t="shared" si="11"/>
        <v>100</v>
      </c>
      <c r="V36" s="3610" t="s">
        <v>3017</v>
      </c>
      <c r="W36" s="3611">
        <f t="shared" si="12"/>
        <v>100</v>
      </c>
      <c r="X36" s="3519"/>
      <c r="Y36" s="3649" t="s">
        <v>3052</v>
      </c>
      <c r="Z36" s="3612">
        <f t="shared" si="13"/>
        <v>111</v>
      </c>
      <c r="AA36" s="3613">
        <f t="shared" si="3"/>
        <v>1</v>
      </c>
      <c r="AB36" s="3613">
        <f t="shared" si="4"/>
        <v>1</v>
      </c>
      <c r="AC36" s="3613">
        <f t="shared" si="5"/>
        <v>1</v>
      </c>
    </row>
    <row r="37" spans="1:29" s="3661" customFormat="1" ht="15.75" hidden="1" thickBot="1">
      <c r="A37" s="3650"/>
      <c r="B37" s="3651">
        <v>111</v>
      </c>
      <c r="C37" s="3652"/>
      <c r="D37" s="3653">
        <v>100</v>
      </c>
      <c r="E37" s="3654"/>
      <c r="F37" s="3601">
        <f>SUMIF(114:114,E37,115:115)-SUMIF(114:114,C37,115:115)+100</f>
        <v>100</v>
      </c>
      <c r="G37" s="3654"/>
      <c r="H37" s="3601">
        <f>SUMIF(114:114,G37,115:115)-SUMIF(114:114,C37,115:115)+100</f>
        <v>100</v>
      </c>
      <c r="I37" s="3652"/>
      <c r="J37" s="3601">
        <f>SUMIF(114:114,I37,115:115)-SUMIF(114:114,C37,115:115)+100</f>
        <v>100</v>
      </c>
      <c r="K37" s="3642"/>
      <c r="L37" s="3588"/>
      <c r="M37" s="3655"/>
      <c r="N37" s="3655"/>
      <c r="O37" s="3656"/>
      <c r="P37" s="3649"/>
      <c r="Q37" s="3609">
        <f t="shared" si="8"/>
        <v>111</v>
      </c>
      <c r="R37" s="3657" t="s">
        <v>3017</v>
      </c>
      <c r="S37" s="3658">
        <f t="shared" si="10"/>
        <v>100</v>
      </c>
      <c r="T37" s="3657" t="s">
        <v>3017</v>
      </c>
      <c r="U37" s="3658">
        <f t="shared" si="11"/>
        <v>100</v>
      </c>
      <c r="V37" s="3657" t="s">
        <v>3017</v>
      </c>
      <c r="W37" s="3658">
        <f t="shared" si="12"/>
        <v>100</v>
      </c>
      <c r="X37" s="3659"/>
      <c r="Y37" s="3649"/>
      <c r="Z37" s="3660">
        <f t="shared" si="13"/>
        <v>111</v>
      </c>
      <c r="AA37" s="3613">
        <f t="shared" si="3"/>
        <v>1</v>
      </c>
      <c r="AB37" s="3613">
        <f t="shared" si="4"/>
        <v>1</v>
      </c>
      <c r="AC37" s="3613">
        <f t="shared" si="5"/>
        <v>1</v>
      </c>
    </row>
    <row r="38" spans="1:29" ht="15">
      <c r="A38" s="3662" t="s">
        <v>3053</v>
      </c>
      <c r="B38" s="3626" t="s">
        <v>3054</v>
      </c>
      <c r="C38" s="3663">
        <f>'[1]数据-基础表'!A3</f>
        <v>43861.485999999997</v>
      </c>
      <c r="D38" s="3664">
        <v>100</v>
      </c>
      <c r="E38" s="3663">
        <v>31000</v>
      </c>
      <c r="F38" s="3664">
        <f>LOOKUP(E38,117:117,118:118)-LOOKUP(C38,117:117,118:118)+100</f>
        <v>100</v>
      </c>
      <c r="G38" s="3663">
        <v>81786.884999999995</v>
      </c>
      <c r="H38" s="3664">
        <f>LOOKUP(G38,117:117,118:118)-LOOKUP(C38,117:117,118:118)+100</f>
        <v>100</v>
      </c>
      <c r="I38" s="3665">
        <v>77874.453999999998</v>
      </c>
      <c r="J38" s="3664">
        <f>LOOKUP(I38,117:117,118:118)-LOOKUP(C38,117:117,118:118)+100</f>
        <v>100</v>
      </c>
      <c r="K38" s="3642"/>
      <c r="L38" s="3597"/>
      <c r="M38" s="3513"/>
      <c r="N38" s="3513"/>
      <c r="O38" s="3589"/>
      <c r="P38" s="3649"/>
      <c r="Q38" s="3609" t="str">
        <f>B38</f>
        <v>宗地面积</v>
      </c>
      <c r="R38" s="3610" t="s">
        <v>3017</v>
      </c>
      <c r="S38" s="3611">
        <f t="shared" si="10"/>
        <v>100</v>
      </c>
      <c r="T38" s="3610" t="s">
        <v>3017</v>
      </c>
      <c r="U38" s="3611">
        <f t="shared" si="11"/>
        <v>100</v>
      </c>
      <c r="V38" s="3610" t="s">
        <v>3017</v>
      </c>
      <c r="W38" s="3611">
        <f t="shared" si="12"/>
        <v>100</v>
      </c>
      <c r="X38" s="3519"/>
      <c r="Y38" s="3649"/>
      <c r="Z38" s="3612" t="str">
        <f t="shared" si="13"/>
        <v>宗地面积</v>
      </c>
      <c r="AA38" s="3613">
        <f t="shared" si="3"/>
        <v>1</v>
      </c>
      <c r="AB38" s="3613">
        <f t="shared" si="4"/>
        <v>1</v>
      </c>
      <c r="AC38" s="3613">
        <f t="shared" si="5"/>
        <v>1</v>
      </c>
    </row>
    <row r="39" spans="1:29" ht="15">
      <c r="A39" s="3662"/>
      <c r="B39" s="3574" t="s">
        <v>3055</v>
      </c>
      <c r="C39" s="3666" t="s">
        <v>3056</v>
      </c>
      <c r="D39" s="3594">
        <v>100</v>
      </c>
      <c r="E39" s="3666" t="s">
        <v>3036</v>
      </c>
      <c r="F39" s="3594">
        <f>SUMIF(119:119,E39,120:120)-SUMIF(119:119,C39,120:120)+100</f>
        <v>95</v>
      </c>
      <c r="G39" s="3666" t="s">
        <v>3036</v>
      </c>
      <c r="H39" s="3594">
        <f>SUMIF(119:119,G39,120:120)-SUMIF(119:119,C39,120:120)+100</f>
        <v>95</v>
      </c>
      <c r="I39" s="3666" t="s">
        <v>3056</v>
      </c>
      <c r="J39" s="3594">
        <f>SUMIF(119:119,I39,120:120)-SUMIF(119:119,C39,120:120)+100</f>
        <v>100</v>
      </c>
      <c r="K39" s="3643">
        <v>5</v>
      </c>
      <c r="L39" s="3597"/>
      <c r="M39" s="3513"/>
      <c r="N39" s="3513"/>
      <c r="O39" s="3589"/>
      <c r="P39" s="3649"/>
      <c r="Q39" s="3609" t="str">
        <f t="shared" ref="Q39:Q45" si="14">B39</f>
        <v>宗地形状</v>
      </c>
      <c r="R39" s="3610" t="s">
        <v>3017</v>
      </c>
      <c r="S39" s="3611">
        <f t="shared" si="10"/>
        <v>95</v>
      </c>
      <c r="T39" s="3610" t="s">
        <v>3017</v>
      </c>
      <c r="U39" s="3611">
        <f t="shared" si="11"/>
        <v>95</v>
      </c>
      <c r="V39" s="3610" t="s">
        <v>3017</v>
      </c>
      <c r="W39" s="3611">
        <f t="shared" si="12"/>
        <v>100</v>
      </c>
      <c r="X39" s="3519"/>
      <c r="Y39" s="3649"/>
      <c r="Z39" s="3612" t="str">
        <f t="shared" si="13"/>
        <v>宗地形状</v>
      </c>
      <c r="AA39" s="3613">
        <f t="shared" si="3"/>
        <v>1.0526315789473684</v>
      </c>
      <c r="AB39" s="3613">
        <f t="shared" si="4"/>
        <v>1.0526315789473684</v>
      </c>
      <c r="AC39" s="3613">
        <f t="shared" si="5"/>
        <v>1</v>
      </c>
    </row>
    <row r="40" spans="1:29" ht="15" hidden="1">
      <c r="A40" s="3662"/>
      <c r="B40" s="3574" t="s">
        <v>3057</v>
      </c>
      <c r="C40" s="3666"/>
      <c r="D40" s="3594">
        <v>100</v>
      </c>
      <c r="E40" s="3666"/>
      <c r="F40" s="3594">
        <f>SUMIF(121:121,E40,122:122)-SUMIF(121:121,C40,122:122)+100</f>
        <v>100</v>
      </c>
      <c r="G40" s="3666"/>
      <c r="H40" s="3594">
        <f>SUMIF(121:121,G40,122:122)-SUMIF(121:121,C40,122:122)+100</f>
        <v>100</v>
      </c>
      <c r="I40" s="3666"/>
      <c r="J40" s="3594">
        <f>SUMIF(121:121,I40,122:122)-SUMIF(121:121,C40,122:122)+100</f>
        <v>100</v>
      </c>
      <c r="K40" s="3643"/>
      <c r="L40" s="3597"/>
      <c r="M40" s="3513"/>
      <c r="N40" s="3513"/>
      <c r="O40" s="3589"/>
      <c r="P40" s="3649"/>
      <c r="Q40" s="3609" t="str">
        <f t="shared" si="14"/>
        <v>临街宽度及深度</v>
      </c>
      <c r="R40" s="3610" t="s">
        <v>3017</v>
      </c>
      <c r="S40" s="3611">
        <f t="shared" si="10"/>
        <v>100</v>
      </c>
      <c r="T40" s="3610" t="s">
        <v>3017</v>
      </c>
      <c r="U40" s="3611">
        <f t="shared" si="11"/>
        <v>100</v>
      </c>
      <c r="V40" s="3610" t="s">
        <v>3017</v>
      </c>
      <c r="W40" s="3611">
        <f t="shared" si="12"/>
        <v>100</v>
      </c>
      <c r="X40" s="3519"/>
      <c r="Y40" s="3649"/>
      <c r="Z40" s="3612" t="str">
        <f t="shared" si="13"/>
        <v>临街宽度及深度</v>
      </c>
      <c r="AA40" s="3613">
        <f t="shared" si="3"/>
        <v>1</v>
      </c>
      <c r="AB40" s="3613">
        <f t="shared" si="4"/>
        <v>1</v>
      </c>
      <c r="AC40" s="3613">
        <f t="shared" si="5"/>
        <v>1</v>
      </c>
    </row>
    <row r="41" spans="1:29" s="3562" customFormat="1" ht="15.75" thickBot="1">
      <c r="A41" s="3667"/>
      <c r="B41" s="3574" t="s">
        <v>3058</v>
      </c>
      <c r="C41" s="3668" t="s">
        <v>3059</v>
      </c>
      <c r="D41" s="3576">
        <v>100</v>
      </c>
      <c r="E41" s="3668" t="s">
        <v>3060</v>
      </c>
      <c r="F41" s="3594">
        <f>SUMIF(123:123,E41,124:124)-SUMIF(123:123,C41,124:124)+100</f>
        <v>100.5</v>
      </c>
      <c r="G41" s="3668" t="s">
        <v>3060</v>
      </c>
      <c r="H41" s="3594">
        <f>SUMIF(123:123,G41,124:124)-SUMIF(123:123,C41,124:124)+100</f>
        <v>100.5</v>
      </c>
      <c r="I41" s="3668" t="s">
        <v>3060</v>
      </c>
      <c r="J41" s="3594">
        <f>SUMIF(123:123,I41,124:124)-SUMIF(123:123,C41,124:124)+100</f>
        <v>100.5</v>
      </c>
      <c r="K41" s="3643">
        <v>0.5</v>
      </c>
      <c r="L41" s="3553"/>
      <c r="M41" s="3554"/>
      <c r="N41" s="3554"/>
      <c r="O41" s="3568"/>
      <c r="P41" s="3649"/>
      <c r="Q41" s="3609" t="str">
        <f t="shared" si="14"/>
        <v>宗地开发程度</v>
      </c>
      <c r="R41" s="3557" t="s">
        <v>3016</v>
      </c>
      <c r="S41" s="3558">
        <f t="shared" si="10"/>
        <v>100.5</v>
      </c>
      <c r="T41" s="3557" t="s">
        <v>3016</v>
      </c>
      <c r="U41" s="3558">
        <f t="shared" si="11"/>
        <v>100.5</v>
      </c>
      <c r="V41" s="3557" t="s">
        <v>3016</v>
      </c>
      <c r="W41" s="3558">
        <f t="shared" si="12"/>
        <v>100.5</v>
      </c>
      <c r="X41" s="3559"/>
      <c r="Y41" s="3649"/>
      <c r="Z41" s="3572" t="str">
        <f t="shared" si="13"/>
        <v>宗地开发程度</v>
      </c>
      <c r="AA41" s="3561">
        <f t="shared" si="3"/>
        <v>0.99502487562189057</v>
      </c>
      <c r="AB41" s="3561">
        <f t="shared" si="4"/>
        <v>0.99502487562189057</v>
      </c>
      <c r="AC41" s="3561">
        <f t="shared" si="5"/>
        <v>0.99502487562189057</v>
      </c>
    </row>
    <row r="42" spans="1:29" ht="15.75" hidden="1" thickBot="1">
      <c r="A42" s="3662"/>
      <c r="B42" s="3574" t="s">
        <v>3061</v>
      </c>
      <c r="C42" s="3666"/>
      <c r="D42" s="3594">
        <v>100</v>
      </c>
      <c r="E42" s="3666"/>
      <c r="F42" s="3594">
        <f>SUMIF(125:125,E42,126:126)-SUMIF(125:125,C42,126:126)+100</f>
        <v>100</v>
      </c>
      <c r="G42" s="3666"/>
      <c r="H42" s="3594">
        <f>SUMIF(125:125,G42,126:126)-SUMIF(125:125,C42,126:126)+100</f>
        <v>100</v>
      </c>
      <c r="I42" s="3666"/>
      <c r="J42" s="3594">
        <f>SUMIF(125:125,I42,126:126)-SUMIF(125:125,C42,126:126)+100</f>
        <v>100</v>
      </c>
      <c r="K42" s="3643"/>
      <c r="L42" s="3597"/>
      <c r="M42" s="3513"/>
      <c r="N42" s="3513"/>
      <c r="O42" s="3589"/>
      <c r="P42" s="3649" t="s">
        <v>3051</v>
      </c>
      <c r="Q42" s="3609" t="str">
        <f t="shared" si="14"/>
        <v>工程地质条件</v>
      </c>
      <c r="R42" s="3610" t="s">
        <v>3017</v>
      </c>
      <c r="S42" s="3611">
        <f t="shared" si="10"/>
        <v>100</v>
      </c>
      <c r="T42" s="3610" t="s">
        <v>3017</v>
      </c>
      <c r="U42" s="3611">
        <f t="shared" si="11"/>
        <v>100</v>
      </c>
      <c r="V42" s="3610" t="s">
        <v>3017</v>
      </c>
      <c r="W42" s="3611">
        <f t="shared" si="12"/>
        <v>100</v>
      </c>
      <c r="X42" s="3519"/>
      <c r="Y42" s="3649" t="s">
        <v>3052</v>
      </c>
      <c r="Z42" s="3612" t="str">
        <f t="shared" si="13"/>
        <v>工程地质条件</v>
      </c>
      <c r="AA42" s="3613">
        <f t="shared" si="3"/>
        <v>1</v>
      </c>
      <c r="AB42" s="3613">
        <f t="shared" si="4"/>
        <v>1</v>
      </c>
      <c r="AC42" s="3613">
        <f t="shared" si="5"/>
        <v>1</v>
      </c>
    </row>
    <row r="43" spans="1:29" ht="15.75" hidden="1" thickBot="1">
      <c r="A43" s="3662"/>
      <c r="B43" s="3647">
        <v>111</v>
      </c>
      <c r="C43" s="3596"/>
      <c r="D43" s="3594">
        <v>100</v>
      </c>
      <c r="E43" s="3596"/>
      <c r="F43" s="3594">
        <f>SUMIF(127:127,E43,128:128)-SUMIF(127:127,C43,128:128)+100</f>
        <v>100</v>
      </c>
      <c r="G43" s="3596"/>
      <c r="H43" s="3594">
        <f>SUMIF(127:127,G43,128:128)-SUMIF(127:127,C43,128:128)+100</f>
        <v>100</v>
      </c>
      <c r="I43" s="3595"/>
      <c r="J43" s="3594">
        <f>SUMIF(127:127,I43,128:128)-SUMIF(127:127,C43,128:128)+100</f>
        <v>100</v>
      </c>
      <c r="K43" s="3642"/>
      <c r="L43" s="3597"/>
      <c r="M43" s="3513"/>
      <c r="N43" s="3513"/>
      <c r="O43" s="3589"/>
      <c r="P43" s="3649"/>
      <c r="Q43" s="3609">
        <f t="shared" si="14"/>
        <v>111</v>
      </c>
      <c r="R43" s="3610" t="s">
        <v>3016</v>
      </c>
      <c r="S43" s="3611">
        <f t="shared" si="10"/>
        <v>100</v>
      </c>
      <c r="T43" s="3610" t="s">
        <v>3016</v>
      </c>
      <c r="U43" s="3611">
        <f t="shared" si="11"/>
        <v>100</v>
      </c>
      <c r="V43" s="3610" t="s">
        <v>3016</v>
      </c>
      <c r="W43" s="3611">
        <f t="shared" si="12"/>
        <v>100</v>
      </c>
      <c r="X43" s="3519"/>
      <c r="Y43" s="3649"/>
      <c r="Z43" s="3612">
        <f t="shared" si="13"/>
        <v>111</v>
      </c>
      <c r="AA43" s="3613">
        <f t="shared" si="3"/>
        <v>1</v>
      </c>
      <c r="AB43" s="3613">
        <f t="shared" si="4"/>
        <v>1</v>
      </c>
      <c r="AC43" s="3613">
        <f t="shared" si="5"/>
        <v>1</v>
      </c>
    </row>
    <row r="44" spans="1:29" ht="15.75" hidden="1" thickBot="1">
      <c r="A44" s="3662"/>
      <c r="B44" s="3647">
        <v>111</v>
      </c>
      <c r="C44" s="3596"/>
      <c r="D44" s="3594">
        <v>100</v>
      </c>
      <c r="E44" s="3596"/>
      <c r="F44" s="3594">
        <f>SUMIF(129:129,E44,130:130)-SUMIF(129:129,C44,130:130)+100</f>
        <v>100</v>
      </c>
      <c r="G44" s="3596"/>
      <c r="H44" s="3594">
        <f>SUMIF(129:129,G44,130:130)-SUMIF(129:129,C44,130:130)+100</f>
        <v>100</v>
      </c>
      <c r="I44" s="3595"/>
      <c r="J44" s="3594">
        <f>SUMIF(129:129,I44,130:130)-SUMIF(129:129,C44,130:130)+100</f>
        <v>100</v>
      </c>
      <c r="K44" s="3642"/>
      <c r="L44" s="3597"/>
      <c r="M44" s="3513"/>
      <c r="N44" s="3513"/>
      <c r="O44" s="3589"/>
      <c r="P44" s="3649"/>
      <c r="Q44" s="3609">
        <f t="shared" si="14"/>
        <v>111</v>
      </c>
      <c r="R44" s="3610" t="s">
        <v>3016</v>
      </c>
      <c r="S44" s="3611">
        <f t="shared" si="10"/>
        <v>100</v>
      </c>
      <c r="T44" s="3610" t="s">
        <v>3016</v>
      </c>
      <c r="U44" s="3611">
        <f t="shared" si="11"/>
        <v>100</v>
      </c>
      <c r="V44" s="3610" t="s">
        <v>3016</v>
      </c>
      <c r="W44" s="3611">
        <f t="shared" si="12"/>
        <v>100</v>
      </c>
      <c r="X44" s="3519"/>
      <c r="Y44" s="3649"/>
      <c r="Z44" s="3612">
        <f t="shared" si="13"/>
        <v>111</v>
      </c>
      <c r="AA44" s="3613">
        <f t="shared" si="3"/>
        <v>1</v>
      </c>
      <c r="AB44" s="3613">
        <f t="shared" si="4"/>
        <v>1</v>
      </c>
      <c r="AC44" s="3613">
        <f t="shared" si="5"/>
        <v>1</v>
      </c>
    </row>
    <row r="45" spans="1:29" s="3661" customFormat="1" ht="15.75" hidden="1" thickBot="1">
      <c r="A45" s="3669"/>
      <c r="B45" s="3647">
        <v>111</v>
      </c>
      <c r="C45" s="3670"/>
      <c r="D45" s="3671">
        <v>100</v>
      </c>
      <c r="E45" s="3596"/>
      <c r="F45" s="3601">
        <f>SUMIF(131:131,E45,132:132)-SUMIF(131:131,C45,132:132)+100</f>
        <v>100</v>
      </c>
      <c r="G45" s="3596"/>
      <c r="H45" s="3601">
        <f>SUMIF(131:131,G45,132:132)-SUMIF(131:131,C45,132:132)+100</f>
        <v>100</v>
      </c>
      <c r="I45" s="3596"/>
      <c r="J45" s="3601">
        <f>SUMIF(131:131,I45,132:132)-SUMIF(131:131,C45,132:132)+100</f>
        <v>100</v>
      </c>
      <c r="K45" s="3672"/>
      <c r="L45" s="3588"/>
      <c r="M45" s="3655"/>
      <c r="N45" s="3655"/>
      <c r="O45" s="3656"/>
      <c r="P45" s="3649"/>
      <c r="Q45" s="3609">
        <f t="shared" si="14"/>
        <v>111</v>
      </c>
      <c r="R45" s="3657" t="s">
        <v>3016</v>
      </c>
      <c r="S45" s="3658">
        <f t="shared" si="10"/>
        <v>100</v>
      </c>
      <c r="T45" s="3657" t="s">
        <v>3016</v>
      </c>
      <c r="U45" s="3658">
        <f t="shared" si="11"/>
        <v>100</v>
      </c>
      <c r="V45" s="3657" t="s">
        <v>3016</v>
      </c>
      <c r="W45" s="3658">
        <f t="shared" si="12"/>
        <v>100</v>
      </c>
      <c r="X45" s="3659"/>
      <c r="Y45" s="3649"/>
      <c r="Z45" s="3660">
        <f t="shared" si="13"/>
        <v>111</v>
      </c>
      <c r="AA45" s="3613">
        <f t="shared" si="3"/>
        <v>1</v>
      </c>
      <c r="AB45" s="3613">
        <f t="shared" si="4"/>
        <v>1</v>
      </c>
      <c r="AC45" s="3613">
        <f t="shared" si="5"/>
        <v>1</v>
      </c>
    </row>
    <row r="46" spans="1:29" ht="15">
      <c r="A46" s="3673" t="s">
        <v>3062</v>
      </c>
      <c r="B46" s="3674" t="s">
        <v>3063</v>
      </c>
      <c r="C46" s="3675" t="s">
        <v>1764</v>
      </c>
      <c r="D46" s="3676"/>
      <c r="E46" s="3677">
        <v>8800</v>
      </c>
      <c r="F46" s="3678"/>
      <c r="G46" s="3679">
        <v>13000</v>
      </c>
      <c r="H46" s="3680"/>
      <c r="I46" s="3677">
        <v>10691</v>
      </c>
      <c r="J46" s="3680"/>
      <c r="K46" s="3681"/>
      <c r="L46" s="3682"/>
      <c r="M46" s="3683"/>
      <c r="N46" s="3513"/>
      <c r="O46" s="3683"/>
      <c r="P46" s="3569" t="str">
        <f>A46</f>
        <v>成交单价</v>
      </c>
      <c r="Q46" s="3569"/>
      <c r="R46" s="3518">
        <f>E46</f>
        <v>8800</v>
      </c>
      <c r="S46" s="3518"/>
      <c r="T46" s="3518">
        <f>G46</f>
        <v>13000</v>
      </c>
      <c r="U46" s="3518"/>
      <c r="V46" s="3518">
        <f>I46</f>
        <v>10691</v>
      </c>
      <c r="W46" s="3518"/>
      <c r="X46" s="3684"/>
      <c r="Y46" s="3685"/>
      <c r="Z46" s="3684"/>
      <c r="AA46" s="3684"/>
      <c r="AB46" s="3684"/>
      <c r="AC46" s="3684"/>
    </row>
    <row r="47" spans="1:29" ht="15.75" thickBot="1">
      <c r="A47" s="3686" t="s">
        <v>3064</v>
      </c>
      <c r="B47" s="3687"/>
      <c r="C47" s="3688">
        <f>R48</f>
        <v>12510</v>
      </c>
      <c r="D47" s="3689"/>
      <c r="E47" s="3688">
        <f>R47</f>
        <v>9900</v>
      </c>
      <c r="F47" s="3690"/>
      <c r="G47" s="3691">
        <f>T47</f>
        <v>16205</v>
      </c>
      <c r="H47" s="3689"/>
      <c r="I47" s="3688">
        <f>V47</f>
        <v>11426</v>
      </c>
      <c r="J47" s="3689"/>
      <c r="K47" s="3692"/>
      <c r="L47" s="3682"/>
      <c r="M47" s="3683"/>
      <c r="N47" s="3683"/>
      <c r="O47" s="3683"/>
      <c r="P47" s="3569" t="str">
        <f>A47</f>
        <v>比较价值（元/平方米）</v>
      </c>
      <c r="Q47" s="3569"/>
      <c r="R47" s="3693">
        <f>ROUND(PRODUCT(R46,AA7:AA45),0)</f>
        <v>9900</v>
      </c>
      <c r="S47" s="3693"/>
      <c r="T47" s="3693">
        <f>ROUND(PRODUCT(T46,AB7:AB45),0)</f>
        <v>16205</v>
      </c>
      <c r="U47" s="3693"/>
      <c r="V47" s="3693">
        <f>ROUND(PRODUCT(V46,AC7:AC45),0)</f>
        <v>11426</v>
      </c>
      <c r="W47" s="3693"/>
      <c r="X47" s="3684"/>
      <c r="Y47" s="3684"/>
      <c r="Z47" s="3684"/>
      <c r="AA47" s="3684"/>
      <c r="AB47" s="3684"/>
      <c r="AC47" s="3684"/>
    </row>
    <row r="48" spans="1:29" ht="15.75" thickBot="1">
      <c r="A48" s="3694" t="s">
        <v>3065</v>
      </c>
      <c r="B48" s="3695"/>
      <c r="C48" s="3696">
        <f>R48</f>
        <v>12510</v>
      </c>
      <c r="D48" s="3696"/>
      <c r="E48" s="3696"/>
      <c r="F48" s="3696"/>
      <c r="G48" s="3696"/>
      <c r="H48" s="3696"/>
      <c r="I48" s="3696"/>
      <c r="J48" s="3696"/>
      <c r="K48" s="3697"/>
      <c r="L48" s="3682"/>
      <c r="M48" s="3683"/>
      <c r="N48" s="3683"/>
      <c r="O48" s="3683"/>
      <c r="P48" s="3698" t="str">
        <f>A48</f>
        <v>估价对象住宅用房的比较价值（楼面单价，元/平方米）</v>
      </c>
      <c r="Q48" s="3699"/>
      <c r="R48" s="3700">
        <f>ROUND(AVERAGE(R47:V47),0)</f>
        <v>12510</v>
      </c>
      <c r="S48" s="3700"/>
      <c r="T48" s="3700"/>
      <c r="U48" s="3700"/>
      <c r="V48" s="3700"/>
      <c r="W48" s="3700"/>
      <c r="X48" s="3684"/>
      <c r="Y48" s="3684"/>
      <c r="Z48" s="3684"/>
      <c r="AA48" s="3684"/>
      <c r="AB48" s="3684"/>
      <c r="AC48" s="3684"/>
    </row>
    <row r="49" spans="1:15">
      <c r="A49" s="3683"/>
      <c r="B49" s="3683"/>
      <c r="C49" s="3683"/>
      <c r="D49" s="3683"/>
      <c r="E49" s="3683"/>
      <c r="F49" s="3683"/>
      <c r="G49" s="3701"/>
      <c r="H49" s="3683"/>
      <c r="I49" s="3683"/>
      <c r="J49" s="3683"/>
      <c r="K49" s="3702"/>
      <c r="L49" s="3703"/>
      <c r="M49" s="3683"/>
      <c r="N49" s="3683"/>
      <c r="O49" s="3683"/>
    </row>
    <row r="50" spans="1:15">
      <c r="A50" s="3683"/>
      <c r="B50" s="3683"/>
      <c r="C50" s="3683"/>
      <c r="D50" s="3683"/>
      <c r="E50" s="3683"/>
      <c r="F50" s="3683"/>
      <c r="G50" s="3683"/>
      <c r="H50" s="3683"/>
      <c r="I50" s="3683"/>
      <c r="J50" s="3683"/>
      <c r="K50" s="3702"/>
      <c r="L50" s="3703"/>
      <c r="M50" s="3683"/>
      <c r="N50" s="3683"/>
      <c r="O50" s="3683"/>
    </row>
    <row r="51" spans="1:15" ht="13.5" customHeight="1">
      <c r="A51" s="3683"/>
      <c r="B51" s="3683"/>
      <c r="C51" s="3704" t="s">
        <v>3066</v>
      </c>
      <c r="D51" s="3705"/>
      <c r="E51" s="3706">
        <f>IF(E46&lt;E47,E47/E46-1,E46/E47-1)</f>
        <v>0.125</v>
      </c>
      <c r="F51" s="3707" t="str">
        <f>IF(OR(E51&gt;=0.3,E51&lt;=-0.3),"超过30%","")</f>
        <v/>
      </c>
      <c r="G51" s="3706">
        <f>IF(G46&lt;G47,G47/G46-1,G46/G47-1)</f>
        <v>0.2465384615384616</v>
      </c>
      <c r="H51" s="3707" t="str">
        <f>IF(OR(G51&gt;=0.3,G51&lt;=-0.3),"超过30%","")</f>
        <v/>
      </c>
      <c r="I51" s="3706">
        <f>IF(I46&lt;I47,I47/I46-1,I46/I47-1)</f>
        <v>6.8749415396127667E-2</v>
      </c>
      <c r="J51" s="3707" t="str">
        <f>IF(OR(I51&gt;=0.3,I51&lt;=-0.3),"超过30%","")</f>
        <v/>
      </c>
      <c r="K51" s="3702"/>
      <c r="L51" s="3703"/>
      <c r="M51" s="3683"/>
      <c r="N51" s="3683"/>
      <c r="O51" s="3683"/>
    </row>
    <row r="52" spans="1:15" ht="13.5" customHeight="1">
      <c r="A52" s="3683"/>
      <c r="B52" s="3683"/>
      <c r="C52" s="3704" t="s">
        <v>3067</v>
      </c>
      <c r="D52" s="3708"/>
      <c r="E52" s="3706">
        <f>IF(E47&lt;G47,G47/E47-1,E47/G47-1)</f>
        <v>0.63686868686868681</v>
      </c>
      <c r="F52" s="3707" t="str">
        <f>IF(OR(E52&gt;=0.2,E52&lt;=-0.2),"超过20%","")</f>
        <v>超过20%</v>
      </c>
      <c r="G52" s="3706">
        <f>IF(G47&lt;I47,I47/G47-1,G47/I47-1)</f>
        <v>0.41825660773674067</v>
      </c>
      <c r="H52" s="3707" t="str">
        <f>IF(OR(G52&gt;=0.2,G52&lt;=-0.2),"超过20%","")</f>
        <v>超过20%</v>
      </c>
      <c r="I52" s="3706">
        <f>IF(I47&lt;E47,E47/I47-1,I47/E47-1)</f>
        <v>0.15414141414141413</v>
      </c>
      <c r="J52" s="3707" t="str">
        <f>IF(OR(I52&gt;=0.2,I52&lt;=-0.2),"超过20%","")</f>
        <v/>
      </c>
      <c r="K52" s="3702"/>
      <c r="L52" s="3703"/>
      <c r="M52" s="3683"/>
      <c r="N52" s="3683"/>
      <c r="O52" s="3683"/>
    </row>
    <row r="53" spans="1:15" s="3712" customFormat="1" ht="13.5" customHeight="1">
      <c r="A53" s="3709"/>
      <c r="B53" s="3709"/>
      <c r="C53" s="3704" t="s">
        <v>3068</v>
      </c>
      <c r="D53" s="3708"/>
      <c r="E53" s="3706">
        <f>IF(E46&lt;G46,G46/E46-1,E46/G46-1)</f>
        <v>0.47727272727272729</v>
      </c>
      <c r="F53" s="3707" t="str">
        <f>IF(OR(E53&gt;=0.3,E53&lt;=-0.3),"超过30%","")</f>
        <v>超过30%</v>
      </c>
      <c r="G53" s="3706">
        <f>IF(G46&lt;I46,I46/G46-1,G46/I46-1)</f>
        <v>0.21597605462538594</v>
      </c>
      <c r="H53" s="3707" t="str">
        <f>IF(OR(G53&gt;=0.3,G53&lt;=-0.3),"超过30%","")</f>
        <v/>
      </c>
      <c r="I53" s="3706">
        <f>IF(I46&lt;E46,E46/I46-1,I46/E46-1)</f>
        <v>0.2148863636363636</v>
      </c>
      <c r="J53" s="3707" t="str">
        <f>IF(OR(I53&gt;=0.3,I53&lt;=-0.3),"超过30%","")</f>
        <v/>
      </c>
      <c r="K53" s="3710"/>
      <c r="L53" s="3711"/>
      <c r="M53" s="3709"/>
      <c r="N53" s="3709"/>
      <c r="O53" s="3709"/>
    </row>
    <row r="54" spans="1:15" s="3712" customFormat="1" ht="15" thickBot="1">
      <c r="A54" s="3709"/>
      <c r="B54" s="3713"/>
      <c r="C54" s="3714"/>
      <c r="D54" s="3715"/>
      <c r="E54" s="3715"/>
      <c r="F54" s="3715"/>
      <c r="G54" s="3715"/>
      <c r="H54" s="3715"/>
      <c r="I54" s="3715"/>
      <c r="J54" s="3715"/>
      <c r="K54" s="3710"/>
      <c r="L54" s="3711"/>
      <c r="M54" s="3709"/>
      <c r="N54" s="3709"/>
      <c r="O54" s="3709"/>
    </row>
    <row r="55" spans="1:15" ht="27" customHeight="1">
      <c r="A55" s="3716" t="s">
        <v>3069</v>
      </c>
      <c r="B55" s="3717" t="s">
        <v>3070</v>
      </c>
      <c r="C55" s="3718" t="s">
        <v>3071</v>
      </c>
      <c r="D55" s="3719" t="s">
        <v>3072</v>
      </c>
      <c r="E55" s="3720" t="s">
        <v>3073</v>
      </c>
      <c r="F55" s="3721" t="s">
        <v>3074</v>
      </c>
      <c r="G55" s="3507" t="s">
        <v>3075</v>
      </c>
      <c r="H55" s="3722"/>
      <c r="I55" s="3723" t="s">
        <v>3076</v>
      </c>
      <c r="J55" s="3724">
        <f>[1]项目基本情况!F35</f>
        <v>0</v>
      </c>
      <c r="K55" s="3725" t="s">
        <v>3077</v>
      </c>
      <c r="L55" s="3703"/>
      <c r="M55" s="3683"/>
      <c r="N55" s="3683"/>
      <c r="O55" s="3683"/>
    </row>
    <row r="56" spans="1:15" s="3733" customFormat="1">
      <c r="A56" s="3726" t="s">
        <v>3078</v>
      </c>
      <c r="B56" s="634">
        <f>C48</f>
        <v>12510</v>
      </c>
      <c r="C56" s="3727">
        <v>1</v>
      </c>
      <c r="D56" s="3728">
        <v>1</v>
      </c>
      <c r="E56" s="3727">
        <f>'[1]数据-汇总表'!E8+'[1]数据-汇总表'!E9</f>
        <v>87711.97</v>
      </c>
      <c r="F56" s="1936">
        <f t="shared" ref="F56:F65" si="15">ROUND(B56*E56/10000,0)</f>
        <v>109728</v>
      </c>
      <c r="G56" s="3729"/>
      <c r="H56" s="3569"/>
      <c r="I56" s="3730">
        <v>1</v>
      </c>
      <c r="J56" s="3731">
        <v>1</v>
      </c>
      <c r="K56" s="3709"/>
      <c r="L56" s="3732"/>
      <c r="M56" s="3732"/>
      <c r="N56" s="3732"/>
      <c r="O56" s="3732"/>
    </row>
    <row r="57" spans="1:15" s="3733" customFormat="1">
      <c r="A57" s="637" t="s">
        <v>3079</v>
      </c>
      <c r="B57" s="638">
        <f>ROUND($C$48*C57*D57,0)</f>
        <v>0</v>
      </c>
      <c r="C57" s="3734">
        <f t="shared" ref="C57:C65" si="16">IF($C$55="北京市系数",I57,J57)</f>
        <v>0</v>
      </c>
      <c r="D57" s="3735">
        <v>0.25</v>
      </c>
      <c r="E57" s="639"/>
      <c r="F57" s="1936">
        <f t="shared" si="15"/>
        <v>0</v>
      </c>
      <c r="G57" s="3736" t="s">
        <v>3080</v>
      </c>
      <c r="H57" s="3737">
        <f>[1]项目基本情况!B37</f>
        <v>0</v>
      </c>
      <c r="I57" s="3730">
        <f>SUMIF([1]修正!A45:A56,H57,[1]修正!B45:B56)</f>
        <v>0</v>
      </c>
      <c r="J57" s="3738"/>
      <c r="K57" s="3683"/>
      <c r="L57" s="3732"/>
      <c r="M57" s="3732"/>
      <c r="N57" s="3732"/>
      <c r="O57" s="3732"/>
    </row>
    <row r="58" spans="1:15" s="3733" customFormat="1">
      <c r="A58" s="637" t="s">
        <v>3081</v>
      </c>
      <c r="B58" s="638">
        <f t="shared" ref="B58:B65" si="17">ROUND($C$48*C58*D58,0)</f>
        <v>0</v>
      </c>
      <c r="C58" s="3734">
        <f t="shared" si="16"/>
        <v>0</v>
      </c>
      <c r="D58" s="3735">
        <v>0.25</v>
      </c>
      <c r="E58" s="639"/>
      <c r="F58" s="1936">
        <f t="shared" si="15"/>
        <v>0</v>
      </c>
      <c r="G58" s="3736"/>
      <c r="H58" s="3737">
        <f>[1]项目基本情况!B37</f>
        <v>0</v>
      </c>
      <c r="I58" s="3730">
        <f>SUMIF([1]修正!A45:A56,H58,[1]修正!C45:C56)</f>
        <v>0</v>
      </c>
      <c r="J58" s="3738"/>
      <c r="K58" s="3709"/>
      <c r="L58" s="3732"/>
      <c r="M58" s="3732"/>
      <c r="N58" s="3732"/>
      <c r="O58" s="3732"/>
    </row>
    <row r="59" spans="1:15" s="3733" customFormat="1">
      <c r="A59" s="637" t="s">
        <v>3082</v>
      </c>
      <c r="B59" s="638">
        <f t="shared" si="17"/>
        <v>0</v>
      </c>
      <c r="C59" s="3734">
        <f t="shared" si="16"/>
        <v>0</v>
      </c>
      <c r="D59" s="3735">
        <v>0.25</v>
      </c>
      <c r="E59" s="639"/>
      <c r="F59" s="1936">
        <f t="shared" si="15"/>
        <v>0</v>
      </c>
      <c r="G59" s="3736"/>
      <c r="H59" s="3737">
        <f>[1]项目基本情况!B37</f>
        <v>0</v>
      </c>
      <c r="I59" s="3730">
        <f>SUMIF([1]修正!A45:A56,H59,[1]修正!D45:D56)</f>
        <v>0</v>
      </c>
      <c r="J59" s="3738"/>
      <c r="K59" s="3683"/>
      <c r="L59" s="3732"/>
      <c r="M59" s="3732"/>
      <c r="N59" s="3732"/>
      <c r="O59" s="3732"/>
    </row>
    <row r="60" spans="1:15" s="3733" customFormat="1">
      <c r="A60" s="637" t="s">
        <v>3083</v>
      </c>
      <c r="B60" s="638">
        <f t="shared" si="17"/>
        <v>0</v>
      </c>
      <c r="C60" s="3734">
        <f t="shared" si="16"/>
        <v>0</v>
      </c>
      <c r="D60" s="3735">
        <v>0.25</v>
      </c>
      <c r="E60" s="639"/>
      <c r="F60" s="1936">
        <f t="shared" si="15"/>
        <v>0</v>
      </c>
      <c r="G60" s="3736"/>
      <c r="H60" s="3737">
        <f>[1]项目基本情况!B37</f>
        <v>0</v>
      </c>
      <c r="I60" s="3730">
        <f>SUMIF([1]修正!A45:A56,H60,[1]修正!E45:E56)</f>
        <v>0</v>
      </c>
      <c r="J60" s="3738"/>
      <c r="K60" s="3709"/>
      <c r="L60" s="3732"/>
      <c r="M60" s="3732"/>
      <c r="N60" s="3732"/>
      <c r="O60" s="3732"/>
    </row>
    <row r="61" spans="1:15" s="3733" customFormat="1">
      <c r="A61" s="637" t="s">
        <v>3084</v>
      </c>
      <c r="B61" s="638">
        <f t="shared" si="17"/>
        <v>0</v>
      </c>
      <c r="C61" s="3734">
        <f t="shared" si="16"/>
        <v>0</v>
      </c>
      <c r="D61" s="3735">
        <v>0.25</v>
      </c>
      <c r="E61" s="641">
        <f>'[1]数据-汇总表'!E11</f>
        <v>0</v>
      </c>
      <c r="F61" s="1936">
        <f t="shared" si="15"/>
        <v>0</v>
      </c>
      <c r="G61" s="3739" t="s">
        <v>3085</v>
      </c>
      <c r="H61" s="3737">
        <f>[1]项目基本情况!C37</f>
        <v>0</v>
      </c>
      <c r="I61" s="3730">
        <f>SUMIF([1]修正!A45:A56,H61,[1]修正!F45:F56)</f>
        <v>0</v>
      </c>
      <c r="J61" s="3738"/>
      <c r="K61" s="3683"/>
      <c r="L61" s="3732"/>
      <c r="M61" s="3732"/>
      <c r="N61" s="3732"/>
      <c r="O61" s="3732"/>
    </row>
    <row r="62" spans="1:15" s="3733" customFormat="1">
      <c r="A62" s="637" t="s">
        <v>3086</v>
      </c>
      <c r="B62" s="638">
        <f t="shared" si="17"/>
        <v>0</v>
      </c>
      <c r="C62" s="3734">
        <f t="shared" si="16"/>
        <v>0</v>
      </c>
      <c r="D62" s="3735">
        <v>0.25</v>
      </c>
      <c r="E62" s="641">
        <f>'[1]数据-汇总表'!E12</f>
        <v>0</v>
      </c>
      <c r="F62" s="1936">
        <f t="shared" si="15"/>
        <v>0</v>
      </c>
      <c r="G62" s="3740" t="s">
        <v>3087</v>
      </c>
      <c r="H62" s="3737">
        <f>IF(G62="商业",[1]项目基本情况!B37,IF(G62="办公",[1]项目基本情况!C37,IF(G62="住宅",[1]项目基本情况!D37,[1]项目基本情况!E37)))</f>
        <v>0</v>
      </c>
      <c r="I62" s="3730">
        <f>SUMIF([1]修正!A45:A56,H62,[1]修正!G45:G56)</f>
        <v>0</v>
      </c>
      <c r="J62" s="3738"/>
      <c r="K62" s="3709"/>
      <c r="L62" s="3732"/>
      <c r="M62" s="3732"/>
      <c r="N62" s="3732"/>
      <c r="O62" s="3732"/>
    </row>
    <row r="63" spans="1:15" s="3733" customFormat="1">
      <c r="A63" s="637" t="s">
        <v>3088</v>
      </c>
      <c r="B63" s="638">
        <f t="shared" si="17"/>
        <v>0</v>
      </c>
      <c r="C63" s="3734">
        <f t="shared" si="16"/>
        <v>0</v>
      </c>
      <c r="D63" s="3735">
        <v>0.25</v>
      </c>
      <c r="E63" s="641">
        <f>'[1]数据-汇总表'!E13</f>
        <v>0</v>
      </c>
      <c r="F63" s="1936">
        <f t="shared" si="15"/>
        <v>0</v>
      </c>
      <c r="G63" s="3740" t="s">
        <v>3089</v>
      </c>
      <c r="H63" s="3737">
        <f>IF(G63="商业",[1]项目基本情况!B37,IF(G63="办公",[1]项目基本情况!C37,IF(G63="住宅",[1]项目基本情况!D37,[1]项目基本情况!E37)))</f>
        <v>0</v>
      </c>
      <c r="I63" s="3730">
        <f>SUMIF([1]修正!A45:A56,H63,[1]修正!H45:H56)</f>
        <v>0</v>
      </c>
      <c r="J63" s="3738"/>
      <c r="K63" s="3683"/>
      <c r="L63" s="3732"/>
      <c r="M63" s="3732"/>
      <c r="N63" s="3732"/>
      <c r="O63" s="3732"/>
    </row>
    <row r="64" spans="1:15" s="3733" customFormat="1">
      <c r="A64" s="637" t="s">
        <v>3090</v>
      </c>
      <c r="B64" s="638">
        <f t="shared" si="17"/>
        <v>0</v>
      </c>
      <c r="C64" s="3734">
        <f t="shared" si="16"/>
        <v>0</v>
      </c>
      <c r="D64" s="3735">
        <v>0.25</v>
      </c>
      <c r="E64" s="641">
        <f>'[1]数据-汇总表'!E14</f>
        <v>0</v>
      </c>
      <c r="F64" s="1936">
        <f t="shared" si="15"/>
        <v>0</v>
      </c>
      <c r="G64" s="3739" t="s">
        <v>3080</v>
      </c>
      <c r="H64" s="3737">
        <f>[1]项目基本情况!B37</f>
        <v>0</v>
      </c>
      <c r="I64" s="3730">
        <f>SUMIF([1]修正!A45:A56,H64,[1]修正!H45:H56)</f>
        <v>0</v>
      </c>
      <c r="J64" s="3738"/>
      <c r="K64" s="3709"/>
      <c r="L64" s="3732"/>
      <c r="M64" s="3732"/>
      <c r="N64" s="3732"/>
      <c r="O64" s="3732"/>
    </row>
    <row r="65" spans="1:17" s="3733" customFormat="1" ht="15" thickBot="1">
      <c r="A65" s="637" t="s">
        <v>3091</v>
      </c>
      <c r="B65" s="638">
        <f t="shared" si="17"/>
        <v>0</v>
      </c>
      <c r="C65" s="3734">
        <f t="shared" si="16"/>
        <v>0</v>
      </c>
      <c r="D65" s="3735">
        <v>0.25</v>
      </c>
      <c r="E65" s="641">
        <f>'[1]数据-汇总表'!E15</f>
        <v>0</v>
      </c>
      <c r="F65" s="1936">
        <f t="shared" si="15"/>
        <v>0</v>
      </c>
      <c r="G65" s="3741" t="s">
        <v>3092</v>
      </c>
      <c r="H65" s="3742">
        <f>[1]项目基本情况!C37</f>
        <v>0</v>
      </c>
      <c r="I65" s="3743">
        <f>SUMIF([1]修正!A45:A56,H65,[1]修正!H45:H56)</f>
        <v>0</v>
      </c>
      <c r="J65" s="3744"/>
      <c r="K65" s="3683"/>
      <c r="L65" s="3732"/>
      <c r="M65" s="3732"/>
      <c r="N65" s="3732"/>
      <c r="O65" s="3732"/>
    </row>
    <row r="66" spans="1:17" s="3733" customFormat="1" ht="13.5" thickBot="1">
      <c r="A66" s="642" t="s">
        <v>3093</v>
      </c>
      <c r="B66" s="3745" t="s">
        <v>3094</v>
      </c>
      <c r="C66" s="3745" t="s">
        <v>3094</v>
      </c>
      <c r="D66" s="3745" t="s">
        <v>3094</v>
      </c>
      <c r="E66" s="3745">
        <f>IF(B46="楼面地价",SUM(E56:E65),'[1]数据-汇总表'!D3)</f>
        <v>87711.97</v>
      </c>
      <c r="F66" s="3746">
        <f>IF(B46="楼面地价",SUM(F56:F65),ROUND(C48*E66/10000,0))</f>
        <v>109728</v>
      </c>
      <c r="G66" s="3747"/>
      <c r="H66" s="3747"/>
      <c r="I66" s="3747"/>
      <c r="J66" s="3747"/>
      <c r="K66" s="3748"/>
      <c r="L66" s="3732"/>
      <c r="M66" s="3732"/>
      <c r="N66" s="3732"/>
      <c r="O66" s="3732"/>
    </row>
    <row r="67" spans="1:17">
      <c r="A67" s="3684"/>
      <c r="B67" s="3749"/>
      <c r="C67" s="3714"/>
      <c r="D67" s="3684"/>
      <c r="E67" s="3684"/>
      <c r="F67" s="3684"/>
      <c r="G67" s="3684"/>
      <c r="H67" s="3684"/>
      <c r="I67" s="3684"/>
      <c r="J67" s="3683"/>
      <c r="K67" s="3702"/>
      <c r="L67" s="3703"/>
      <c r="M67" s="3683"/>
      <c r="N67" s="3683"/>
      <c r="O67" s="3683"/>
    </row>
    <row r="68" spans="1:17">
      <c r="A68" s="3684"/>
      <c r="B68" s="3749"/>
      <c r="C68" s="3749" t="str">
        <f>YEAR(C7)&amp;"-"&amp;MONTH(C7)&amp;"-1"</f>
        <v>2019-4-1</v>
      </c>
      <c r="D68" s="3749">
        <f>EDATE(C68,-3)</f>
        <v>43466</v>
      </c>
      <c r="E68" s="3749">
        <f>EDATE(D68,-3)</f>
        <v>43374</v>
      </c>
      <c r="F68" s="3749">
        <f t="shared" ref="F68:O68" si="18">EDATE(E68,-3)</f>
        <v>43282</v>
      </c>
      <c r="G68" s="3749">
        <f t="shared" si="18"/>
        <v>43191</v>
      </c>
      <c r="H68" s="3749">
        <f t="shared" si="18"/>
        <v>43101</v>
      </c>
      <c r="I68" s="3749">
        <f t="shared" si="18"/>
        <v>43009</v>
      </c>
      <c r="J68" s="3749">
        <f t="shared" si="18"/>
        <v>42917</v>
      </c>
      <c r="K68" s="3749">
        <f t="shared" si="18"/>
        <v>42826</v>
      </c>
      <c r="L68" s="3749">
        <f t="shared" si="18"/>
        <v>42736</v>
      </c>
      <c r="M68" s="3749">
        <f t="shared" si="18"/>
        <v>42644</v>
      </c>
      <c r="N68" s="3749">
        <f t="shared" si="18"/>
        <v>42552</v>
      </c>
      <c r="O68" s="3749">
        <f t="shared" si="18"/>
        <v>42461</v>
      </c>
    </row>
    <row r="69" spans="1:17" ht="21.75" thickBot="1">
      <c r="A69" s="3750" t="s">
        <v>3095</v>
      </c>
      <c r="B69" s="3684"/>
      <c r="C69" s="3751"/>
      <c r="D69" s="3751"/>
      <c r="E69" s="3751"/>
      <c r="F69" s="3752"/>
      <c r="G69" s="3752"/>
      <c r="H69" s="3751"/>
      <c r="I69" s="3751"/>
      <c r="J69" s="3753"/>
      <c r="K69" s="3754"/>
      <c r="L69" s="3755"/>
      <c r="M69" s="3753"/>
      <c r="N69" s="3753"/>
      <c r="O69" s="3753"/>
      <c r="P69" s="3756"/>
      <c r="Q69" s="3757"/>
    </row>
    <row r="70" spans="1:17" s="3762" customFormat="1" ht="15">
      <c r="A70" s="3758" t="s">
        <v>3096</v>
      </c>
      <c r="B70" s="3759"/>
      <c r="C70" s="3760" t="str">
        <f>YEAR(C68)&amp;"-"&amp;ROUNDUP(MONTH(C68)/3,0)</f>
        <v>2019-2</v>
      </c>
      <c r="D70" s="3760" t="str">
        <f>YEAR(D68)&amp;"-"&amp;ROUNDUP(MONTH(D68)/3,0)</f>
        <v>2019-1</v>
      </c>
      <c r="E70" s="3760" t="str">
        <f t="shared" ref="E70:O70" si="19">YEAR(E68)&amp;"-"&amp;ROUNDUP(MONTH(E68)/3,0)</f>
        <v>2018-4</v>
      </c>
      <c r="F70" s="3760" t="str">
        <f t="shared" si="19"/>
        <v>2018-3</v>
      </c>
      <c r="G70" s="3760" t="str">
        <f t="shared" si="19"/>
        <v>2018-2</v>
      </c>
      <c r="H70" s="3760" t="str">
        <f t="shared" si="19"/>
        <v>2018-1</v>
      </c>
      <c r="I70" s="3760" t="str">
        <f t="shared" si="19"/>
        <v>2017-4</v>
      </c>
      <c r="J70" s="3760" t="str">
        <f t="shared" si="19"/>
        <v>2017-3</v>
      </c>
      <c r="K70" s="3760" t="str">
        <f t="shared" si="19"/>
        <v>2017-2</v>
      </c>
      <c r="L70" s="3760" t="str">
        <f t="shared" si="19"/>
        <v>2017-1</v>
      </c>
      <c r="M70" s="3760" t="str">
        <f t="shared" si="19"/>
        <v>2016-4</v>
      </c>
      <c r="N70" s="3760" t="str">
        <f t="shared" si="19"/>
        <v>2016-3</v>
      </c>
      <c r="O70" s="3760" t="str">
        <f t="shared" si="19"/>
        <v>2016-2</v>
      </c>
      <c r="P70" s="3761"/>
    </row>
    <row r="71" spans="1:17" s="3562" customFormat="1" ht="30" customHeight="1">
      <c r="A71" s="3763" t="s">
        <v>3097</v>
      </c>
      <c r="B71" s="3764" t="str">
        <f>"北京市平均增长率"&amp;TEXT(SUMIF([1]基准地价修正!N21:N25,A71,[1]基准地价修正!P21:P25),"0.00%")</f>
        <v>北京市平均增长率2.26%</v>
      </c>
      <c r="C71" s="3765">
        <v>100</v>
      </c>
      <c r="D71" s="3766">
        <v>100</v>
      </c>
      <c r="E71" s="3766">
        <v>99</v>
      </c>
      <c r="F71" s="3766">
        <v>99</v>
      </c>
      <c r="G71" s="3766">
        <v>98</v>
      </c>
      <c r="H71" s="3766">
        <v>98</v>
      </c>
      <c r="I71" s="3766"/>
      <c r="J71" s="3766"/>
      <c r="K71" s="3766"/>
      <c r="L71" s="3766"/>
      <c r="M71" s="3767"/>
      <c r="N71" s="3766"/>
      <c r="O71" s="3768"/>
      <c r="P71" s="3757"/>
    </row>
    <row r="72" spans="1:17" s="3562" customFormat="1" ht="15.75" thickBot="1">
      <c r="A72" s="3769" t="s">
        <v>3098</v>
      </c>
      <c r="B72" s="3770"/>
      <c r="C72" s="3771"/>
      <c r="D72" s="3772"/>
      <c r="E72" s="3772"/>
      <c r="F72" s="3772"/>
      <c r="G72" s="3772"/>
      <c r="H72" s="3772"/>
      <c r="I72" s="3772"/>
      <c r="J72" s="3772"/>
      <c r="K72" s="3772"/>
      <c r="L72" s="3772"/>
      <c r="M72" s="3773"/>
      <c r="N72" s="3772"/>
      <c r="O72" s="3774"/>
      <c r="P72" s="3757"/>
      <c r="Q72" s="3757"/>
    </row>
    <row r="73" spans="1:17" s="3562" customFormat="1" ht="15">
      <c r="A73" s="3775" t="s">
        <v>3099</v>
      </c>
      <c r="B73" s="3776"/>
      <c r="C73" s="3777" t="s">
        <v>3100</v>
      </c>
      <c r="D73" s="3778"/>
      <c r="E73" s="3778"/>
      <c r="F73" s="3778"/>
      <c r="G73" s="3778"/>
      <c r="H73" s="3778"/>
      <c r="I73" s="3778"/>
      <c r="J73" s="3778"/>
      <c r="K73" s="3778"/>
      <c r="L73" s="3779"/>
      <c r="M73" s="3780"/>
      <c r="N73" s="3781"/>
      <c r="O73" s="3781"/>
      <c r="P73" s="3782"/>
      <c r="Q73" s="3757"/>
    </row>
    <row r="74" spans="1:17" s="3562" customFormat="1" ht="15.75" thickBot="1">
      <c r="A74" s="3775"/>
      <c r="B74" s="3776"/>
      <c r="C74" s="3783">
        <v>100</v>
      </c>
      <c r="D74" s="3784"/>
      <c r="E74" s="3784"/>
      <c r="F74" s="3784"/>
      <c r="G74" s="3784"/>
      <c r="H74" s="3784"/>
      <c r="I74" s="3784"/>
      <c r="J74" s="3784"/>
      <c r="K74" s="3784"/>
      <c r="L74" s="3784"/>
      <c r="M74" s="3785"/>
      <c r="N74" s="3781"/>
      <c r="O74" s="3781"/>
      <c r="P74" s="3757"/>
      <c r="Q74" s="3757"/>
    </row>
    <row r="75" spans="1:17" ht="40.5">
      <c r="A75" s="3786" t="s">
        <v>3101</v>
      </c>
      <c r="B75" s="3787" t="s">
        <v>3102</v>
      </c>
      <c r="C75" s="3788" t="s">
        <v>3103</v>
      </c>
      <c r="D75" s="3665"/>
      <c r="E75" s="3665"/>
      <c r="F75" s="3665"/>
      <c r="G75" s="3665"/>
      <c r="H75" s="3665"/>
      <c r="I75" s="3665"/>
      <c r="J75" s="3665"/>
      <c r="K75" s="3789"/>
      <c r="L75" s="3790"/>
      <c r="M75" s="3791"/>
      <c r="N75" s="3792"/>
      <c r="O75" s="3792"/>
      <c r="P75" s="3793"/>
      <c r="Q75" s="3757"/>
    </row>
    <row r="76" spans="1:17" ht="15.75" thickBot="1">
      <c r="A76" s="3794"/>
      <c r="B76" s="3795"/>
      <c r="C76" s="3796">
        <v>100</v>
      </c>
      <c r="D76" s="3796"/>
      <c r="E76" s="3796"/>
      <c r="F76" s="3796"/>
      <c r="G76" s="3796"/>
      <c r="H76" s="3796"/>
      <c r="I76" s="3796"/>
      <c r="J76" s="3796"/>
      <c r="K76" s="3796"/>
      <c r="L76" s="3796"/>
      <c r="M76" s="3797"/>
      <c r="N76" s="3798"/>
      <c r="O76" s="3798"/>
      <c r="P76" s="3793"/>
      <c r="Q76" s="3757"/>
    </row>
    <row r="77" spans="1:17" ht="27.75" thickTop="1">
      <c r="A77" s="3794"/>
      <c r="B77" s="3799" t="s">
        <v>3104</v>
      </c>
      <c r="C77" s="3800"/>
      <c r="D77" s="3800"/>
      <c r="E77" s="3800"/>
      <c r="F77" s="3800"/>
      <c r="G77" s="3800"/>
      <c r="H77" s="3800"/>
      <c r="I77" s="3800"/>
      <c r="J77" s="3800"/>
      <c r="K77" s="3801"/>
      <c r="L77" s="3802"/>
      <c r="M77" s="3803"/>
      <c r="N77" s="3792"/>
      <c r="O77" s="3792"/>
      <c r="P77" s="3793"/>
      <c r="Q77" s="3757"/>
    </row>
    <row r="78" spans="1:17" ht="15.75" thickBot="1">
      <c r="A78" s="3794"/>
      <c r="B78" s="3804"/>
      <c r="C78" s="3805"/>
      <c r="D78" s="3805"/>
      <c r="E78" s="3805"/>
      <c r="F78" s="3805"/>
      <c r="G78" s="3805"/>
      <c r="H78" s="3805"/>
      <c r="I78" s="3805"/>
      <c r="J78" s="3805"/>
      <c r="K78" s="3805"/>
      <c r="L78" s="3805"/>
      <c r="M78" s="3806"/>
      <c r="N78" s="3798"/>
      <c r="O78" s="3798"/>
      <c r="P78" s="3793"/>
      <c r="Q78" s="3757"/>
    </row>
    <row r="79" spans="1:17" ht="15.75" thickTop="1">
      <c r="A79" s="3794"/>
      <c r="B79" s="3807" t="s">
        <v>3105</v>
      </c>
      <c r="C79" s="3808" t="str">
        <f>C80&amp;"（含）"&amp;"-"&amp;D80</f>
        <v>0（含）-2.5</v>
      </c>
      <c r="D79" s="3808" t="str">
        <f t="shared" ref="D79:L79" si="20">D80&amp;"（含）"&amp;"-"&amp;E80</f>
        <v>2.5（含）-3</v>
      </c>
      <c r="E79" s="3808" t="str">
        <f t="shared" si="20"/>
        <v>3（含）-</v>
      </c>
      <c r="F79" s="3808" t="str">
        <f t="shared" si="20"/>
        <v>（含）-</v>
      </c>
      <c r="G79" s="3808" t="str">
        <f t="shared" si="20"/>
        <v>（含）-</v>
      </c>
      <c r="H79" s="3808" t="str">
        <f t="shared" si="20"/>
        <v>（含）-</v>
      </c>
      <c r="I79" s="3808" t="str">
        <f t="shared" si="20"/>
        <v>（含）-</v>
      </c>
      <c r="J79" s="3808" t="str">
        <f t="shared" si="20"/>
        <v>（含）-</v>
      </c>
      <c r="K79" s="3808" t="str">
        <f t="shared" si="20"/>
        <v>（含）-</v>
      </c>
      <c r="L79" s="3808" t="str">
        <f t="shared" si="20"/>
        <v>（含）-</v>
      </c>
      <c r="M79" s="3616" t="str">
        <f>M80&amp;"（含）"&amp;"-"&amp;P80</f>
        <v>（含）-</v>
      </c>
      <c r="N79" s="3798"/>
      <c r="O79" s="3798"/>
      <c r="P79" s="3793"/>
      <c r="Q79" s="3757"/>
    </row>
    <row r="80" spans="1:17" ht="15">
      <c r="A80" s="3794"/>
      <c r="B80" s="3809"/>
      <c r="C80" s="3595">
        <v>0</v>
      </c>
      <c r="D80" s="3595">
        <v>2.5</v>
      </c>
      <c r="E80" s="3595">
        <v>3</v>
      </c>
      <c r="F80" s="3595"/>
      <c r="G80" s="3595"/>
      <c r="H80" s="3595"/>
      <c r="I80" s="3595"/>
      <c r="J80" s="3595"/>
      <c r="K80" s="3810"/>
      <c r="L80" s="3811"/>
      <c r="M80" s="3812"/>
      <c r="N80" s="3792"/>
      <c r="O80" s="3792"/>
      <c r="P80" s="3793"/>
      <c r="Q80" s="3757"/>
    </row>
    <row r="81" spans="1:17" ht="15.75" thickBot="1">
      <c r="A81" s="3794"/>
      <c r="B81" s="3795"/>
      <c r="C81" s="3805">
        <v>100</v>
      </c>
      <c r="D81" s="3805">
        <f t="shared" ref="D81:M81" si="21">IF($B$46="单位面积地价",C81+$K11,C81-$K11)</f>
        <v>95</v>
      </c>
      <c r="E81" s="3805">
        <f t="shared" si="21"/>
        <v>90</v>
      </c>
      <c r="F81" s="3805">
        <f t="shared" si="21"/>
        <v>85</v>
      </c>
      <c r="G81" s="3805">
        <f t="shared" si="21"/>
        <v>80</v>
      </c>
      <c r="H81" s="3805">
        <f t="shared" si="21"/>
        <v>75</v>
      </c>
      <c r="I81" s="3805">
        <f t="shared" si="21"/>
        <v>70</v>
      </c>
      <c r="J81" s="3805">
        <f t="shared" si="21"/>
        <v>65</v>
      </c>
      <c r="K81" s="3805">
        <f t="shared" si="21"/>
        <v>60</v>
      </c>
      <c r="L81" s="3805">
        <f t="shared" si="21"/>
        <v>55</v>
      </c>
      <c r="M81" s="3805">
        <f t="shared" si="21"/>
        <v>50</v>
      </c>
      <c r="N81" s="3798"/>
      <c r="O81" s="3798"/>
      <c r="P81" s="3793"/>
      <c r="Q81" s="3757"/>
    </row>
    <row r="82" spans="1:17" s="3661" customFormat="1" ht="15.75" thickTop="1">
      <c r="A82" s="3813"/>
      <c r="B82" s="3799" t="str">
        <f>B12</f>
        <v>配建</v>
      </c>
      <c r="C82" s="3814"/>
      <c r="D82" s="3814"/>
      <c r="E82" s="3814"/>
      <c r="F82" s="3814"/>
      <c r="G82" s="3814"/>
      <c r="H82" s="3815"/>
      <c r="I82" s="3815"/>
      <c r="J82" s="3815"/>
      <c r="K82" s="3815"/>
      <c r="L82" s="3816"/>
      <c r="M82" s="3817"/>
      <c r="N82" s="3818"/>
      <c r="O82" s="3818"/>
      <c r="P82" s="3819"/>
      <c r="Q82" s="3820"/>
    </row>
    <row r="83" spans="1:17" s="3661" customFormat="1" ht="15.75" thickBot="1">
      <c r="A83" s="3813"/>
      <c r="B83" s="3804"/>
      <c r="C83" s="3821"/>
      <c r="D83" s="3796"/>
      <c r="E83" s="3796"/>
      <c r="F83" s="3796"/>
      <c r="G83" s="3796"/>
      <c r="H83" s="3796"/>
      <c r="I83" s="3796"/>
      <c r="J83" s="3796"/>
      <c r="K83" s="3796"/>
      <c r="L83" s="3796"/>
      <c r="M83" s="3797"/>
      <c r="N83" s="3798"/>
      <c r="O83" s="3798"/>
      <c r="P83" s="3819"/>
      <c r="Q83" s="3820"/>
    </row>
    <row r="84" spans="1:17" s="3661" customFormat="1" ht="15.75" thickTop="1">
      <c r="A84" s="3813"/>
      <c r="B84" s="3799">
        <f>B13</f>
        <v>111</v>
      </c>
      <c r="C84" s="3814"/>
      <c r="D84" s="3814"/>
      <c r="E84" s="3814"/>
      <c r="F84" s="3814"/>
      <c r="G84" s="3814"/>
      <c r="H84" s="3815"/>
      <c r="I84" s="3815"/>
      <c r="J84" s="3815"/>
      <c r="K84" s="3815"/>
      <c r="L84" s="3816"/>
      <c r="M84" s="3817"/>
      <c r="N84" s="3818"/>
      <c r="O84" s="3818"/>
      <c r="P84" s="3822"/>
      <c r="Q84" s="3823"/>
    </row>
    <row r="85" spans="1:17" s="3661" customFormat="1" ht="15.75" thickBot="1">
      <c r="A85" s="3813"/>
      <c r="B85" s="3804"/>
      <c r="C85" s="3821"/>
      <c r="D85" s="3821"/>
      <c r="E85" s="3821"/>
      <c r="F85" s="3821"/>
      <c r="G85" s="3821"/>
      <c r="H85" s="3824"/>
      <c r="I85" s="3824"/>
      <c r="J85" s="3824"/>
      <c r="K85" s="3824"/>
      <c r="L85" s="3824"/>
      <c r="M85" s="3825"/>
      <c r="N85" s="3818"/>
      <c r="O85" s="3818"/>
      <c r="P85" s="3819"/>
      <c r="Q85" s="3820"/>
    </row>
    <row r="86" spans="1:17" s="3661" customFormat="1" ht="15.75" thickTop="1">
      <c r="A86" s="3813"/>
      <c r="B86" s="3807">
        <f>B14</f>
        <v>111</v>
      </c>
      <c r="C86" s="3778"/>
      <c r="D86" s="3778"/>
      <c r="E86" s="3778"/>
      <c r="F86" s="3778"/>
      <c r="G86" s="3778"/>
      <c r="H86" s="3826"/>
      <c r="I86" s="3826"/>
      <c r="J86" s="3826"/>
      <c r="K86" s="3826"/>
      <c r="L86" s="3827"/>
      <c r="M86" s="3828"/>
      <c r="N86" s="3818"/>
      <c r="O86" s="3818"/>
      <c r="P86" s="3829"/>
      <c r="Q86" s="3820"/>
    </row>
    <row r="87" spans="1:17" s="3661" customFormat="1" ht="15.75" thickBot="1">
      <c r="A87" s="3830"/>
      <c r="B87" s="3831"/>
      <c r="C87" s="3832"/>
      <c r="D87" s="3832"/>
      <c r="E87" s="3832"/>
      <c r="F87" s="3832"/>
      <c r="G87" s="3832"/>
      <c r="H87" s="3833"/>
      <c r="I87" s="3833"/>
      <c r="J87" s="3833"/>
      <c r="K87" s="3833"/>
      <c r="L87" s="3833"/>
      <c r="M87" s="3834"/>
      <c r="N87" s="3818"/>
      <c r="O87" s="3818"/>
      <c r="P87" s="3819"/>
      <c r="Q87" s="3820"/>
    </row>
    <row r="88" spans="1:17">
      <c r="A88" s="3786" t="s">
        <v>3033</v>
      </c>
      <c r="B88" s="3787" t="s">
        <v>3106</v>
      </c>
      <c r="C88" s="3835" t="s">
        <v>3107</v>
      </c>
      <c r="D88" s="3835" t="s">
        <v>3108</v>
      </c>
      <c r="E88" s="3835" t="s">
        <v>3109</v>
      </c>
      <c r="F88" s="3835" t="s">
        <v>3110</v>
      </c>
      <c r="G88" s="3835" t="s">
        <v>3111</v>
      </c>
      <c r="H88" s="3836"/>
      <c r="I88" s="3836"/>
      <c r="J88" s="3836"/>
      <c r="K88" s="3837"/>
      <c r="L88" s="3838"/>
      <c r="M88" s="3839"/>
      <c r="N88" s="3792"/>
      <c r="O88" s="3792"/>
      <c r="P88" s="3840"/>
      <c r="Q88" s="3757"/>
    </row>
    <row r="89" spans="1:17" ht="15.75" thickBot="1">
      <c r="A89" s="3794"/>
      <c r="B89" s="3804"/>
      <c r="C89" s="3805">
        <v>100</v>
      </c>
      <c r="D89" s="3805">
        <f>C89-$K15</f>
        <v>99.5</v>
      </c>
      <c r="E89" s="3805">
        <f>D89-$K15</f>
        <v>99</v>
      </c>
      <c r="F89" s="3805">
        <f>E89-$K15</f>
        <v>98.5</v>
      </c>
      <c r="G89" s="3805">
        <f>F89-$K15</f>
        <v>98</v>
      </c>
      <c r="H89" s="3805"/>
      <c r="I89" s="3805"/>
      <c r="J89" s="3805"/>
      <c r="K89" s="3805"/>
      <c r="L89" s="3805"/>
      <c r="M89" s="3806"/>
      <c r="N89" s="3798"/>
      <c r="O89" s="3798"/>
      <c r="P89" s="3793"/>
      <c r="Q89" s="3757"/>
    </row>
    <row r="90" spans="1:17" ht="15.75" thickTop="1">
      <c r="A90" s="3794"/>
      <c r="B90" s="3799" t="s">
        <v>3038</v>
      </c>
      <c r="C90" s="3841" t="s">
        <v>3107</v>
      </c>
      <c r="D90" s="3841" t="s">
        <v>3108</v>
      </c>
      <c r="E90" s="3841" t="s">
        <v>3109</v>
      </c>
      <c r="F90" s="3841" t="s">
        <v>3110</v>
      </c>
      <c r="G90" s="3841" t="s">
        <v>3111</v>
      </c>
      <c r="H90" s="3800"/>
      <c r="I90" s="3800"/>
      <c r="J90" s="3800"/>
      <c r="K90" s="3801"/>
      <c r="L90" s="3802"/>
      <c r="M90" s="3803"/>
      <c r="N90" s="3792"/>
      <c r="O90" s="3792"/>
      <c r="P90" s="3793"/>
      <c r="Q90" s="3757"/>
    </row>
    <row r="91" spans="1:17" ht="15.75" thickBot="1">
      <c r="A91" s="3794"/>
      <c r="B91" s="3804"/>
      <c r="C91" s="3805">
        <v>100</v>
      </c>
      <c r="D91" s="3805">
        <f>C91-$K17</f>
        <v>100</v>
      </c>
      <c r="E91" s="3805">
        <f>D91-$K17</f>
        <v>100</v>
      </c>
      <c r="F91" s="3805">
        <f>E91-$K17</f>
        <v>100</v>
      </c>
      <c r="G91" s="3805">
        <f>F91-$K17</f>
        <v>100</v>
      </c>
      <c r="H91" s="3805"/>
      <c r="I91" s="3805"/>
      <c r="J91" s="3805"/>
      <c r="K91" s="3805"/>
      <c r="L91" s="3805"/>
      <c r="M91" s="3806"/>
      <c r="N91" s="3798"/>
      <c r="O91" s="3798"/>
      <c r="P91" s="3793"/>
      <c r="Q91" s="3757"/>
    </row>
    <row r="92" spans="1:17" ht="15.75" thickTop="1">
      <c r="A92" s="3794"/>
      <c r="B92" s="3799" t="s">
        <v>3039</v>
      </c>
      <c r="C92" s="3841" t="s">
        <v>3107</v>
      </c>
      <c r="D92" s="3841" t="s">
        <v>3108</v>
      </c>
      <c r="E92" s="3841" t="s">
        <v>3109</v>
      </c>
      <c r="F92" s="3841" t="s">
        <v>3110</v>
      </c>
      <c r="G92" s="3841" t="s">
        <v>3111</v>
      </c>
      <c r="H92" s="3800"/>
      <c r="I92" s="3800"/>
      <c r="J92" s="3800"/>
      <c r="K92" s="3801"/>
      <c r="L92" s="3802"/>
      <c r="M92" s="3803"/>
      <c r="N92" s="3792"/>
      <c r="O92" s="3792"/>
      <c r="P92" s="3793"/>
      <c r="Q92" s="3757"/>
    </row>
    <row r="93" spans="1:17" ht="15.75" thickBot="1">
      <c r="A93" s="3794"/>
      <c r="B93" s="3804"/>
      <c r="C93" s="3805">
        <v>100</v>
      </c>
      <c r="D93" s="3805">
        <f>C93-$K19</f>
        <v>100</v>
      </c>
      <c r="E93" s="3805">
        <f>D93-$K19</f>
        <v>100</v>
      </c>
      <c r="F93" s="3805">
        <f>E93-$K19</f>
        <v>100</v>
      </c>
      <c r="G93" s="3805">
        <f>F93-$K19</f>
        <v>100</v>
      </c>
      <c r="H93" s="3805"/>
      <c r="I93" s="3805"/>
      <c r="J93" s="3805"/>
      <c r="K93" s="3805"/>
      <c r="L93" s="3805"/>
      <c r="M93" s="3806"/>
      <c r="N93" s="3798"/>
      <c r="O93" s="3798"/>
      <c r="P93" s="3793"/>
      <c r="Q93" s="3757"/>
    </row>
    <row r="94" spans="1:17" ht="15.75" thickTop="1">
      <c r="A94" s="3794"/>
      <c r="B94" s="3799" t="s">
        <v>3040</v>
      </c>
      <c r="C94" s="3841" t="s">
        <v>3107</v>
      </c>
      <c r="D94" s="3841" t="s">
        <v>3108</v>
      </c>
      <c r="E94" s="3841" t="s">
        <v>3109</v>
      </c>
      <c r="F94" s="3841" t="s">
        <v>3110</v>
      </c>
      <c r="G94" s="3841" t="s">
        <v>3111</v>
      </c>
      <c r="H94" s="3800"/>
      <c r="I94" s="3800"/>
      <c r="J94" s="3800"/>
      <c r="K94" s="3801"/>
      <c r="L94" s="3802"/>
      <c r="M94" s="3803"/>
      <c r="N94" s="3792"/>
      <c r="O94" s="3792"/>
      <c r="P94" s="3793"/>
      <c r="Q94" s="3757"/>
    </row>
    <row r="95" spans="1:17" ht="15.75" thickBot="1">
      <c r="A95" s="3794"/>
      <c r="B95" s="3804"/>
      <c r="C95" s="3805">
        <v>100</v>
      </c>
      <c r="D95" s="3805">
        <f>C95-$K21</f>
        <v>95</v>
      </c>
      <c r="E95" s="3805">
        <f>D95-$K21</f>
        <v>90</v>
      </c>
      <c r="F95" s="3805">
        <f>E95-$K21</f>
        <v>85</v>
      </c>
      <c r="G95" s="3805">
        <f>F95-$K21</f>
        <v>80</v>
      </c>
      <c r="H95" s="3805"/>
      <c r="I95" s="3805"/>
      <c r="J95" s="3805"/>
      <c r="K95" s="3805"/>
      <c r="L95" s="3805"/>
      <c r="M95" s="3806"/>
      <c r="N95" s="3798"/>
      <c r="O95" s="3798"/>
      <c r="P95" s="3793"/>
      <c r="Q95" s="3757"/>
    </row>
    <row r="96" spans="1:17" s="3562" customFormat="1" ht="15.75" thickTop="1">
      <c r="A96" s="3842"/>
      <c r="B96" s="3799" t="s">
        <v>3041</v>
      </c>
      <c r="C96" s="3841" t="s">
        <v>3107</v>
      </c>
      <c r="D96" s="3841" t="s">
        <v>3108</v>
      </c>
      <c r="E96" s="3841" t="s">
        <v>3109</v>
      </c>
      <c r="F96" s="3841" t="s">
        <v>3110</v>
      </c>
      <c r="G96" s="3841" t="s">
        <v>3111</v>
      </c>
      <c r="H96" s="3841"/>
      <c r="I96" s="3841"/>
      <c r="J96" s="3841"/>
      <c r="K96" s="3841"/>
      <c r="L96" s="3843"/>
      <c r="M96" s="3844"/>
      <c r="N96" s="3781"/>
      <c r="O96" s="3781"/>
      <c r="P96" s="3793"/>
      <c r="Q96" s="3757"/>
    </row>
    <row r="97" spans="1:17" s="3562" customFormat="1" ht="15.75" thickBot="1">
      <c r="A97" s="3842"/>
      <c r="B97" s="3804"/>
      <c r="C97" s="3845">
        <v>100</v>
      </c>
      <c r="D97" s="3805">
        <f>C97-$K23</f>
        <v>99.5</v>
      </c>
      <c r="E97" s="3805">
        <f>D97-$K23</f>
        <v>99</v>
      </c>
      <c r="F97" s="3805">
        <f>E97-$K23</f>
        <v>98.5</v>
      </c>
      <c r="G97" s="3805">
        <f>F97-$K23</f>
        <v>98</v>
      </c>
      <c r="H97" s="3805"/>
      <c r="I97" s="3805"/>
      <c r="J97" s="3805"/>
      <c r="K97" s="3805"/>
      <c r="L97" s="3805"/>
      <c r="M97" s="3806"/>
      <c r="N97" s="3798"/>
      <c r="O97" s="3798"/>
      <c r="P97" s="3793"/>
      <c r="Q97" s="3757"/>
    </row>
    <row r="98" spans="1:17" s="3562" customFormat="1" ht="27.75" thickTop="1">
      <c r="A98" s="3842"/>
      <c r="B98" s="3799" t="s">
        <v>3112</v>
      </c>
      <c r="C98" s="3835" t="s">
        <v>3107</v>
      </c>
      <c r="D98" s="3835" t="s">
        <v>3108</v>
      </c>
      <c r="E98" s="3835" t="s">
        <v>3109</v>
      </c>
      <c r="F98" s="3835" t="s">
        <v>3110</v>
      </c>
      <c r="G98" s="3835" t="s">
        <v>3111</v>
      </c>
      <c r="H98" s="3841"/>
      <c r="I98" s="3841"/>
      <c r="J98" s="3841"/>
      <c r="K98" s="3841"/>
      <c r="L98" s="3841"/>
      <c r="M98" s="3844"/>
      <c r="N98" s="3781"/>
      <c r="O98" s="3781"/>
      <c r="P98" s="3793"/>
      <c r="Q98" s="3757"/>
    </row>
    <row r="99" spans="1:17" s="3562" customFormat="1" ht="15.75" thickBot="1">
      <c r="A99" s="3842"/>
      <c r="B99" s="3804"/>
      <c r="C99" s="3805">
        <v>100</v>
      </c>
      <c r="D99" s="3805">
        <f>C99-$K25</f>
        <v>99</v>
      </c>
      <c r="E99" s="3805">
        <f>D99-$K25</f>
        <v>98</v>
      </c>
      <c r="F99" s="3805">
        <f>E99-$K25</f>
        <v>97</v>
      </c>
      <c r="G99" s="3805">
        <f>F99-$K25</f>
        <v>96</v>
      </c>
      <c r="H99" s="3805"/>
      <c r="I99" s="3805"/>
      <c r="J99" s="3805"/>
      <c r="K99" s="3805"/>
      <c r="L99" s="3805"/>
      <c r="M99" s="3806"/>
      <c r="N99" s="3798"/>
      <c r="O99" s="3798"/>
      <c r="P99" s="3793"/>
      <c r="Q99" s="3757"/>
    </row>
    <row r="100" spans="1:17" s="3661" customFormat="1" ht="15.75" thickTop="1">
      <c r="A100" s="3813"/>
      <c r="B100" s="3799" t="s">
        <v>3043</v>
      </c>
      <c r="C100" s="3835" t="s">
        <v>3107</v>
      </c>
      <c r="D100" s="3835" t="s">
        <v>3108</v>
      </c>
      <c r="E100" s="3835" t="s">
        <v>3109</v>
      </c>
      <c r="F100" s="3835" t="s">
        <v>3110</v>
      </c>
      <c r="G100" s="3835" t="s">
        <v>3111</v>
      </c>
      <c r="H100" s="3846"/>
      <c r="I100" s="3846"/>
      <c r="J100" s="3846"/>
      <c r="K100" s="3846"/>
      <c r="L100" s="3847"/>
      <c r="M100" s="3848"/>
      <c r="N100" s="3818"/>
      <c r="O100" s="3818"/>
      <c r="P100" s="3819"/>
      <c r="Q100" s="3820"/>
    </row>
    <row r="101" spans="1:17" s="3661" customFormat="1" ht="15.75" thickBot="1">
      <c r="A101" s="3813"/>
      <c r="B101" s="3804"/>
      <c r="C101" s="3805">
        <v>100</v>
      </c>
      <c r="D101" s="3805">
        <f>C101-$K27</f>
        <v>95</v>
      </c>
      <c r="E101" s="3805">
        <f>D101-$K27</f>
        <v>90</v>
      </c>
      <c r="F101" s="3805">
        <f>E101-$K27</f>
        <v>85</v>
      </c>
      <c r="G101" s="3805">
        <f>F101-$K27</f>
        <v>80</v>
      </c>
      <c r="H101" s="3849"/>
      <c r="I101" s="3849"/>
      <c r="J101" s="3849"/>
      <c r="K101" s="3849"/>
      <c r="L101" s="3849"/>
      <c r="M101" s="3850"/>
      <c r="N101" s="3818"/>
      <c r="O101" s="3818"/>
      <c r="P101" s="3819"/>
      <c r="Q101" s="3820"/>
    </row>
    <row r="102" spans="1:17" s="3661" customFormat="1" ht="15.75" thickTop="1">
      <c r="A102" s="3813"/>
      <c r="B102" s="3807" t="s">
        <v>3044</v>
      </c>
      <c r="C102" s="3851" t="s">
        <v>3113</v>
      </c>
      <c r="D102" s="3851" t="s">
        <v>3114</v>
      </c>
      <c r="E102" s="3851" t="s">
        <v>3115</v>
      </c>
      <c r="F102" s="3851" t="s">
        <v>3116</v>
      </c>
      <c r="G102" s="3851" t="s">
        <v>3117</v>
      </c>
      <c r="H102" s="3846"/>
      <c r="I102" s="3846"/>
      <c r="J102" s="3846"/>
      <c r="K102" s="3846"/>
      <c r="L102" s="3846"/>
      <c r="M102" s="3852"/>
      <c r="N102" s="3818"/>
      <c r="O102" s="3818"/>
      <c r="P102" s="3819"/>
      <c r="Q102" s="3820"/>
    </row>
    <row r="103" spans="1:17" s="3661" customFormat="1" ht="15.75" thickBot="1">
      <c r="A103" s="3813"/>
      <c r="B103" s="3807"/>
      <c r="C103" s="3805">
        <v>100</v>
      </c>
      <c r="D103" s="3805">
        <f>C103-$K29</f>
        <v>100</v>
      </c>
      <c r="E103" s="3805">
        <f>D103-$K29</f>
        <v>100</v>
      </c>
      <c r="F103" s="3805">
        <f>E103-$K29</f>
        <v>100</v>
      </c>
      <c r="G103" s="3805">
        <f>F103-$K29</f>
        <v>100</v>
      </c>
      <c r="H103" s="3809"/>
      <c r="I103" s="3809"/>
      <c r="J103" s="3809"/>
      <c r="K103" s="3809"/>
      <c r="L103" s="3809"/>
      <c r="M103" s="3852"/>
      <c r="N103" s="3818"/>
      <c r="O103" s="3818"/>
      <c r="P103" s="3819"/>
      <c r="Q103" s="3820"/>
    </row>
    <row r="104" spans="1:17" ht="15.75" thickTop="1">
      <c r="A104" s="3794"/>
      <c r="B104" s="3799" t="str">
        <f>B31</f>
        <v>临街状况</v>
      </c>
      <c r="C104" s="3800" t="s">
        <v>3118</v>
      </c>
      <c r="D104" s="3800" t="s">
        <v>3119</v>
      </c>
      <c r="E104" s="3800" t="s">
        <v>3120</v>
      </c>
      <c r="F104" s="3800" t="s">
        <v>3121</v>
      </c>
      <c r="G104" s="3800"/>
      <c r="H104" s="3800"/>
      <c r="I104" s="3800"/>
      <c r="J104" s="3800"/>
      <c r="K104" s="3801"/>
      <c r="L104" s="3802"/>
      <c r="M104" s="3803"/>
      <c r="N104" s="3792"/>
      <c r="O104" s="3792"/>
      <c r="P104" s="3793"/>
      <c r="Q104" s="3757"/>
    </row>
    <row r="105" spans="1:17" ht="15.75" thickBot="1">
      <c r="A105" s="3794"/>
      <c r="B105" s="3804"/>
      <c r="C105" s="3805">
        <v>100</v>
      </c>
      <c r="D105" s="3805">
        <f>C105-$K31</f>
        <v>100</v>
      </c>
      <c r="E105" s="3805">
        <f t="shared" ref="E105:M105" si="22">D105-$K31</f>
        <v>100</v>
      </c>
      <c r="F105" s="3805">
        <f t="shared" si="22"/>
        <v>100</v>
      </c>
      <c r="G105" s="3805">
        <f t="shared" si="22"/>
        <v>100</v>
      </c>
      <c r="H105" s="3805">
        <f t="shared" si="22"/>
        <v>100</v>
      </c>
      <c r="I105" s="3805">
        <f t="shared" si="22"/>
        <v>100</v>
      </c>
      <c r="J105" s="3805">
        <f t="shared" si="22"/>
        <v>100</v>
      </c>
      <c r="K105" s="3805">
        <f t="shared" si="22"/>
        <v>100</v>
      </c>
      <c r="L105" s="3805">
        <f t="shared" si="22"/>
        <v>100</v>
      </c>
      <c r="M105" s="3805">
        <f t="shared" si="22"/>
        <v>100</v>
      </c>
      <c r="N105" s="3798"/>
      <c r="O105" s="3798"/>
      <c r="P105" s="3793"/>
      <c r="Q105" s="3757"/>
    </row>
    <row r="106" spans="1:17" ht="27.75" thickTop="1">
      <c r="A106" s="3794"/>
      <c r="B106" s="3799" t="s">
        <v>3048</v>
      </c>
      <c r="C106" s="3853" t="s">
        <v>3122</v>
      </c>
      <c r="D106" s="3814"/>
      <c r="E106" s="3814"/>
      <c r="F106" s="3814"/>
      <c r="G106" s="3814"/>
      <c r="H106" s="3854"/>
      <c r="I106" s="3854"/>
      <c r="J106" s="3854"/>
      <c r="K106" s="3855"/>
      <c r="L106" s="3856"/>
      <c r="M106" s="3857"/>
      <c r="N106" s="3792"/>
      <c r="O106" s="3792"/>
      <c r="P106" s="3793"/>
      <c r="Q106" s="3757"/>
    </row>
    <row r="107" spans="1:17" ht="15.75" thickBot="1">
      <c r="A107" s="3794"/>
      <c r="B107" s="3804"/>
      <c r="C107" s="3805">
        <v>100</v>
      </c>
      <c r="D107" s="3805">
        <f>C107-$K32</f>
        <v>100</v>
      </c>
      <c r="E107" s="3805">
        <f t="shared" ref="E107:M107" si="23">D107-$K32</f>
        <v>100</v>
      </c>
      <c r="F107" s="3805">
        <f t="shared" si="23"/>
        <v>100</v>
      </c>
      <c r="G107" s="3805">
        <f t="shared" si="23"/>
        <v>100</v>
      </c>
      <c r="H107" s="3805">
        <f t="shared" si="23"/>
        <v>100</v>
      </c>
      <c r="I107" s="3805">
        <f t="shared" si="23"/>
        <v>100</v>
      </c>
      <c r="J107" s="3805">
        <f t="shared" si="23"/>
        <v>100</v>
      </c>
      <c r="K107" s="3805">
        <f t="shared" si="23"/>
        <v>100</v>
      </c>
      <c r="L107" s="3805">
        <f t="shared" si="23"/>
        <v>100</v>
      </c>
      <c r="M107" s="3805">
        <f t="shared" si="23"/>
        <v>100</v>
      </c>
      <c r="N107" s="3798"/>
      <c r="O107" s="3798"/>
      <c r="P107" s="3793"/>
      <c r="Q107" s="3757"/>
    </row>
    <row r="108" spans="1:17" ht="15.75" thickTop="1">
      <c r="A108" s="3794"/>
      <c r="B108" s="3799" t="s">
        <v>3050</v>
      </c>
      <c r="C108" s="3854"/>
      <c r="D108" s="3854"/>
      <c r="E108" s="3854"/>
      <c r="F108" s="3854"/>
      <c r="G108" s="3854"/>
      <c r="H108" s="3854"/>
      <c r="I108" s="3854"/>
      <c r="J108" s="3854"/>
      <c r="K108" s="3855"/>
      <c r="L108" s="3856"/>
      <c r="M108" s="3857"/>
      <c r="N108" s="3792"/>
      <c r="O108" s="3792"/>
      <c r="P108" s="3793"/>
      <c r="Q108" s="3757"/>
    </row>
    <row r="109" spans="1:17" ht="15.75" thickBot="1">
      <c r="A109" s="3794"/>
      <c r="B109" s="3804"/>
      <c r="C109" s="3805">
        <v>100</v>
      </c>
      <c r="D109" s="3805">
        <f>C109-$K34</f>
        <v>100</v>
      </c>
      <c r="E109" s="3805">
        <f t="shared" ref="E109:M109" si="24">D109-$K34</f>
        <v>100</v>
      </c>
      <c r="F109" s="3805">
        <f t="shared" si="24"/>
        <v>100</v>
      </c>
      <c r="G109" s="3805">
        <f t="shared" si="24"/>
        <v>100</v>
      </c>
      <c r="H109" s="3805">
        <f t="shared" si="24"/>
        <v>100</v>
      </c>
      <c r="I109" s="3805">
        <f t="shared" si="24"/>
        <v>100</v>
      </c>
      <c r="J109" s="3805">
        <f t="shared" si="24"/>
        <v>100</v>
      </c>
      <c r="K109" s="3805">
        <f t="shared" si="24"/>
        <v>100</v>
      </c>
      <c r="L109" s="3805">
        <f t="shared" si="24"/>
        <v>100</v>
      </c>
      <c r="M109" s="3805">
        <f t="shared" si="24"/>
        <v>100</v>
      </c>
      <c r="N109" s="3798"/>
      <c r="O109" s="3798"/>
      <c r="P109" s="3793"/>
      <c r="Q109" s="3757"/>
    </row>
    <row r="110" spans="1:17" ht="15.75" thickTop="1">
      <c r="A110" s="3794"/>
      <c r="B110" s="3807">
        <f>B35</f>
        <v>111</v>
      </c>
      <c r="C110" s="3814"/>
      <c r="D110" s="3814"/>
      <c r="E110" s="3814"/>
      <c r="F110" s="3814"/>
      <c r="G110" s="3858"/>
      <c r="H110" s="3858"/>
      <c r="I110" s="3858"/>
      <c r="J110" s="3858"/>
      <c r="K110" s="3859"/>
      <c r="L110" s="3860"/>
      <c r="M110" s="3861"/>
      <c r="N110" s="3792"/>
      <c r="O110" s="3792"/>
      <c r="P110" s="3793"/>
      <c r="Q110" s="3757"/>
    </row>
    <row r="111" spans="1:17" ht="15.75" thickBot="1">
      <c r="A111" s="3794"/>
      <c r="B111" s="3831"/>
      <c r="C111" s="3821"/>
      <c r="D111" s="3821"/>
      <c r="E111" s="3821"/>
      <c r="F111" s="3821"/>
      <c r="G111" s="3862"/>
      <c r="H111" s="3862"/>
      <c r="I111" s="3862"/>
      <c r="J111" s="3862"/>
      <c r="K111" s="3862"/>
      <c r="L111" s="3862"/>
      <c r="M111" s="3863"/>
      <c r="N111" s="3798"/>
      <c r="O111" s="3798"/>
      <c r="P111" s="3793"/>
      <c r="Q111" s="3757"/>
    </row>
    <row r="112" spans="1:17" ht="15" thickTop="1">
      <c r="A112" s="3646"/>
      <c r="B112" s="3799">
        <f>B36</f>
        <v>111</v>
      </c>
      <c r="C112" s="3778"/>
      <c r="D112" s="3778"/>
      <c r="E112" s="3778"/>
      <c r="F112" s="3778"/>
      <c r="G112" s="3854"/>
      <c r="H112" s="3854"/>
      <c r="I112" s="3854"/>
      <c r="J112" s="3854"/>
      <c r="K112" s="3855"/>
      <c r="L112" s="3856"/>
      <c r="M112" s="3857"/>
      <c r="N112" s="3792"/>
      <c r="O112" s="3792"/>
      <c r="P112" s="3793"/>
      <c r="Q112" s="3757"/>
    </row>
    <row r="113" spans="1:17" ht="15.75" thickBot="1">
      <c r="A113" s="3794"/>
      <c r="B113" s="3804"/>
      <c r="C113" s="3832"/>
      <c r="D113" s="3832"/>
      <c r="E113" s="3832"/>
      <c r="F113" s="3832"/>
      <c r="G113" s="3796"/>
      <c r="H113" s="3796"/>
      <c r="I113" s="3796"/>
      <c r="J113" s="3796"/>
      <c r="K113" s="3796"/>
      <c r="L113" s="3796"/>
      <c r="M113" s="3797"/>
      <c r="N113" s="3798"/>
      <c r="O113" s="3798"/>
      <c r="P113" s="3793"/>
      <c r="Q113" s="3757"/>
    </row>
    <row r="114" spans="1:17" s="3661" customFormat="1" ht="15" thickTop="1">
      <c r="A114" s="3864"/>
      <c r="B114" s="3865">
        <f>B37</f>
        <v>111</v>
      </c>
      <c r="C114" s="3766"/>
      <c r="D114" s="3766"/>
      <c r="E114" s="3766"/>
      <c r="F114" s="3766"/>
      <c r="G114" s="3766"/>
      <c r="H114" s="3766"/>
      <c r="I114" s="3766"/>
      <c r="J114" s="3866"/>
      <c r="K114" s="3866"/>
      <c r="L114" s="3867"/>
      <c r="M114" s="3868"/>
      <c r="N114" s="3818"/>
      <c r="O114" s="3818"/>
      <c r="P114" s="3819"/>
      <c r="Q114" s="3820"/>
    </row>
    <row r="115" spans="1:17" s="3661" customFormat="1" ht="15.75" thickBot="1">
      <c r="A115" s="3813"/>
      <c r="B115" s="3807"/>
      <c r="C115" s="3784"/>
      <c r="D115" s="3869"/>
      <c r="E115" s="3869"/>
      <c r="F115" s="3869"/>
      <c r="G115" s="3869"/>
      <c r="H115" s="3869"/>
      <c r="I115" s="3869"/>
      <c r="J115" s="3869"/>
      <c r="K115" s="3869"/>
      <c r="L115" s="3869"/>
      <c r="M115" s="3870"/>
      <c r="N115" s="3798"/>
      <c r="O115" s="3798"/>
      <c r="P115" s="3819"/>
      <c r="Q115" s="3820"/>
    </row>
    <row r="116" spans="1:17" ht="28.5">
      <c r="A116" s="3786" t="s">
        <v>3053</v>
      </c>
      <c r="B116" s="3787" t="s">
        <v>3054</v>
      </c>
      <c r="C116" s="3836" t="str">
        <f>C117&amp;"(含)"&amp;"-"&amp;D117</f>
        <v>0(含)-100000</v>
      </c>
      <c r="D116" s="3836" t="str">
        <f t="shared" ref="D116:M116" si="25">D117&amp;"(含)"&amp;"-"&amp;E117</f>
        <v>100000(含)-200000</v>
      </c>
      <c r="E116" s="3836" t="str">
        <f t="shared" si="25"/>
        <v>200000(含)-300000</v>
      </c>
      <c r="F116" s="3836" t="str">
        <f t="shared" si="25"/>
        <v>300000(含)-400000</v>
      </c>
      <c r="G116" s="3836" t="str">
        <f t="shared" si="25"/>
        <v>400000(含)-</v>
      </c>
      <c r="H116" s="3836" t="str">
        <f t="shared" si="25"/>
        <v>(含)-</v>
      </c>
      <c r="I116" s="3836" t="str">
        <f t="shared" si="25"/>
        <v>(含)-</v>
      </c>
      <c r="J116" s="3836" t="str">
        <f t="shared" si="25"/>
        <v>(含)-</v>
      </c>
      <c r="K116" s="3836" t="str">
        <f t="shared" si="25"/>
        <v>(含)-</v>
      </c>
      <c r="L116" s="3836" t="str">
        <f t="shared" si="25"/>
        <v>(含)-</v>
      </c>
      <c r="M116" s="3836" t="str">
        <f t="shared" si="25"/>
        <v>(含)-</v>
      </c>
      <c r="N116" s="3792"/>
      <c r="O116" s="3792"/>
      <c r="P116" s="3793"/>
      <c r="Q116" s="3757"/>
    </row>
    <row r="117" spans="1:17" ht="15">
      <c r="A117" s="3794"/>
      <c r="B117" s="3807"/>
      <c r="C117" s="3766">
        <v>0</v>
      </c>
      <c r="D117" s="3766">
        <v>100000</v>
      </c>
      <c r="E117" s="3766">
        <v>200000</v>
      </c>
      <c r="F117" s="3766">
        <v>300000</v>
      </c>
      <c r="G117" s="3766">
        <v>400000</v>
      </c>
      <c r="H117" s="3766"/>
      <c r="I117" s="3766"/>
      <c r="J117" s="3866"/>
      <c r="K117" s="3866"/>
      <c r="L117" s="3867"/>
      <c r="M117" s="3868"/>
      <c r="N117" s="3792"/>
      <c r="O117" s="3792"/>
      <c r="P117" s="3793"/>
      <c r="Q117" s="3757"/>
    </row>
    <row r="118" spans="1:17" ht="15.75" thickBot="1">
      <c r="A118" s="3794"/>
      <c r="B118" s="3804"/>
      <c r="C118" s="3832">
        <v>100</v>
      </c>
      <c r="D118" s="3862">
        <v>102</v>
      </c>
      <c r="E118" s="3862">
        <v>104</v>
      </c>
      <c r="F118" s="3862">
        <v>106</v>
      </c>
      <c r="G118" s="3862">
        <v>108</v>
      </c>
      <c r="H118" s="3862"/>
      <c r="I118" s="3862"/>
      <c r="J118" s="3862"/>
      <c r="K118" s="3862"/>
      <c r="L118" s="3862"/>
      <c r="M118" s="3863"/>
      <c r="N118" s="3798"/>
      <c r="O118" s="3798"/>
      <c r="P118" s="3793"/>
      <c r="Q118" s="3757"/>
    </row>
    <row r="119" spans="1:17" ht="15" thickTop="1">
      <c r="A119" s="3871"/>
      <c r="B119" s="3799" t="s">
        <v>3055</v>
      </c>
      <c r="C119" s="3872" t="s">
        <v>3123</v>
      </c>
      <c r="D119" s="3872" t="s">
        <v>3145</v>
      </c>
      <c r="E119" s="3854"/>
      <c r="F119" s="3854"/>
      <c r="G119" s="3854"/>
      <c r="H119" s="3854"/>
      <c r="I119" s="3854"/>
      <c r="J119" s="3854"/>
      <c r="K119" s="3855"/>
      <c r="L119" s="3856"/>
      <c r="M119" s="3857"/>
      <c r="N119" s="3792"/>
      <c r="O119" s="3792"/>
      <c r="P119" s="3793"/>
      <c r="Q119" s="3757"/>
    </row>
    <row r="120" spans="1:17" ht="15.75" thickBot="1">
      <c r="A120" s="3794"/>
      <c r="B120" s="3804"/>
      <c r="C120" s="3805">
        <v>100</v>
      </c>
      <c r="D120" s="3805">
        <f t="shared" ref="D120:M120" si="26">C120-$K39</f>
        <v>95</v>
      </c>
      <c r="E120" s="3805">
        <f t="shared" si="26"/>
        <v>90</v>
      </c>
      <c r="F120" s="3805">
        <f t="shared" si="26"/>
        <v>85</v>
      </c>
      <c r="G120" s="3805">
        <f t="shared" si="26"/>
        <v>80</v>
      </c>
      <c r="H120" s="3805">
        <f t="shared" si="26"/>
        <v>75</v>
      </c>
      <c r="I120" s="3805">
        <f t="shared" si="26"/>
        <v>70</v>
      </c>
      <c r="J120" s="3805">
        <f t="shared" si="26"/>
        <v>65</v>
      </c>
      <c r="K120" s="3805">
        <f t="shared" si="26"/>
        <v>60</v>
      </c>
      <c r="L120" s="3805">
        <f t="shared" si="26"/>
        <v>55</v>
      </c>
      <c r="M120" s="3806">
        <f t="shared" si="26"/>
        <v>50</v>
      </c>
      <c r="N120" s="3798"/>
      <c r="O120" s="3798"/>
      <c r="P120" s="3793"/>
      <c r="Q120" s="3757"/>
    </row>
    <row r="121" spans="1:17" ht="15" thickTop="1">
      <c r="A121" s="3871"/>
      <c r="B121" s="3799" t="s">
        <v>3057</v>
      </c>
      <c r="C121" s="3814"/>
      <c r="D121" s="3814"/>
      <c r="E121" s="3814"/>
      <c r="F121" s="3854"/>
      <c r="G121" s="3854"/>
      <c r="H121" s="3854"/>
      <c r="I121" s="3854"/>
      <c r="J121" s="3854"/>
      <c r="K121" s="3855"/>
      <c r="L121" s="3856"/>
      <c r="M121" s="3857"/>
      <c r="N121" s="3792"/>
      <c r="O121" s="3792"/>
      <c r="P121" s="3793"/>
      <c r="Q121" s="3757"/>
    </row>
    <row r="122" spans="1:17" ht="15.75" thickBot="1">
      <c r="A122" s="3794"/>
      <c r="B122" s="3804"/>
      <c r="C122" s="3805">
        <v>100</v>
      </c>
      <c r="D122" s="3805">
        <f t="shared" ref="D122:M122" si="27">C122-$K40</f>
        <v>100</v>
      </c>
      <c r="E122" s="3805">
        <f t="shared" si="27"/>
        <v>100</v>
      </c>
      <c r="F122" s="3805">
        <f t="shared" si="27"/>
        <v>100</v>
      </c>
      <c r="G122" s="3805">
        <f t="shared" si="27"/>
        <v>100</v>
      </c>
      <c r="H122" s="3805">
        <f t="shared" si="27"/>
        <v>100</v>
      </c>
      <c r="I122" s="3805">
        <f t="shared" si="27"/>
        <v>100</v>
      </c>
      <c r="J122" s="3805">
        <f t="shared" si="27"/>
        <v>100</v>
      </c>
      <c r="K122" s="3805">
        <f t="shared" si="27"/>
        <v>100</v>
      </c>
      <c r="L122" s="3805">
        <f t="shared" si="27"/>
        <v>100</v>
      </c>
      <c r="M122" s="3806">
        <f t="shared" si="27"/>
        <v>100</v>
      </c>
      <c r="N122" s="3798"/>
      <c r="O122" s="3798"/>
      <c r="P122" s="3793"/>
      <c r="Q122" s="3757"/>
    </row>
    <row r="123" spans="1:17" s="3661" customFormat="1" ht="15" thickTop="1">
      <c r="A123" s="3864"/>
      <c r="B123" s="3799" t="s">
        <v>3124</v>
      </c>
      <c r="C123" s="3853" t="s">
        <v>3125</v>
      </c>
      <c r="D123" s="3853" t="s">
        <v>3126</v>
      </c>
      <c r="E123" s="3853" t="s">
        <v>3127</v>
      </c>
      <c r="F123" s="3814"/>
      <c r="G123" s="3814"/>
      <c r="H123" s="3854"/>
      <c r="I123" s="3854"/>
      <c r="J123" s="3854"/>
      <c r="K123" s="3855"/>
      <c r="L123" s="3856"/>
      <c r="M123" s="3857"/>
      <c r="N123" s="3818"/>
      <c r="O123" s="3818"/>
      <c r="P123" s="3819"/>
      <c r="Q123" s="3820"/>
    </row>
    <row r="124" spans="1:17" s="3661" customFormat="1" ht="15.75" thickBot="1">
      <c r="A124" s="3813"/>
      <c r="B124" s="3804"/>
      <c r="C124" s="3805">
        <v>100</v>
      </c>
      <c r="D124" s="3805">
        <f>C124-$K41</f>
        <v>99.5</v>
      </c>
      <c r="E124" s="3805">
        <f t="shared" ref="E124:M124" si="28">D124-$K41</f>
        <v>99</v>
      </c>
      <c r="F124" s="3805">
        <f t="shared" si="28"/>
        <v>98.5</v>
      </c>
      <c r="G124" s="3805">
        <f t="shared" si="28"/>
        <v>98</v>
      </c>
      <c r="H124" s="3805">
        <f t="shared" si="28"/>
        <v>97.5</v>
      </c>
      <c r="I124" s="3805">
        <f t="shared" si="28"/>
        <v>97</v>
      </c>
      <c r="J124" s="3805">
        <f t="shared" si="28"/>
        <v>96.5</v>
      </c>
      <c r="K124" s="3805">
        <f t="shared" si="28"/>
        <v>96</v>
      </c>
      <c r="L124" s="3805">
        <f t="shared" si="28"/>
        <v>95.5</v>
      </c>
      <c r="M124" s="3806">
        <f t="shared" si="28"/>
        <v>95</v>
      </c>
      <c r="N124" s="3818"/>
      <c r="O124" s="3818"/>
      <c r="P124" s="3819"/>
      <c r="Q124" s="3820"/>
    </row>
    <row r="125" spans="1:17" ht="15" thickTop="1">
      <c r="A125" s="3871"/>
      <c r="B125" s="3799" t="s">
        <v>3128</v>
      </c>
      <c r="C125" s="3814"/>
      <c r="D125" s="3814"/>
      <c r="E125" s="3854"/>
      <c r="F125" s="3854"/>
      <c r="G125" s="3854"/>
      <c r="H125" s="3854"/>
      <c r="I125" s="3854"/>
      <c r="J125" s="3854"/>
      <c r="K125" s="3855"/>
      <c r="L125" s="3856"/>
      <c r="M125" s="3857"/>
      <c r="N125" s="3792"/>
      <c r="O125" s="3792"/>
      <c r="P125" s="3793"/>
      <c r="Q125" s="3757"/>
    </row>
    <row r="126" spans="1:17" ht="15.75" thickBot="1">
      <c r="A126" s="3794"/>
      <c r="B126" s="3804"/>
      <c r="C126" s="3805">
        <v>100</v>
      </c>
      <c r="D126" s="3805">
        <f t="shared" ref="D126:M126" si="29">C126-$K42</f>
        <v>100</v>
      </c>
      <c r="E126" s="3805">
        <f t="shared" si="29"/>
        <v>100</v>
      </c>
      <c r="F126" s="3805">
        <f t="shared" si="29"/>
        <v>100</v>
      </c>
      <c r="G126" s="3805">
        <f t="shared" si="29"/>
        <v>100</v>
      </c>
      <c r="H126" s="3805">
        <f t="shared" si="29"/>
        <v>100</v>
      </c>
      <c r="I126" s="3805">
        <f t="shared" si="29"/>
        <v>100</v>
      </c>
      <c r="J126" s="3805">
        <f t="shared" si="29"/>
        <v>100</v>
      </c>
      <c r="K126" s="3805">
        <f t="shared" si="29"/>
        <v>100</v>
      </c>
      <c r="L126" s="3805">
        <f t="shared" si="29"/>
        <v>100</v>
      </c>
      <c r="M126" s="3806">
        <f t="shared" si="29"/>
        <v>100</v>
      </c>
      <c r="N126" s="3798"/>
      <c r="O126" s="3798"/>
      <c r="P126" s="3793"/>
      <c r="Q126" s="3757"/>
    </row>
    <row r="127" spans="1:17" ht="15" thickTop="1">
      <c r="A127" s="3871"/>
      <c r="B127" s="3799">
        <f>B43</f>
        <v>111</v>
      </c>
      <c r="C127" s="3814"/>
      <c r="D127" s="3814"/>
      <c r="E127" s="3814"/>
      <c r="F127" s="3814"/>
      <c r="G127" s="3814"/>
      <c r="H127" s="3854"/>
      <c r="I127" s="3854"/>
      <c r="J127" s="3854"/>
      <c r="K127" s="3855"/>
      <c r="L127" s="3856"/>
      <c r="M127" s="3857"/>
      <c r="N127" s="3792"/>
      <c r="O127" s="3792"/>
      <c r="P127" s="3793"/>
      <c r="Q127" s="3757"/>
    </row>
    <row r="128" spans="1:17" ht="15.75" thickBot="1">
      <c r="A128" s="3794"/>
      <c r="B128" s="3804"/>
      <c r="C128" s="3821"/>
      <c r="D128" s="3821"/>
      <c r="E128" s="3821"/>
      <c r="F128" s="3821"/>
      <c r="G128" s="3796"/>
      <c r="H128" s="3796"/>
      <c r="I128" s="3796"/>
      <c r="J128" s="3796"/>
      <c r="K128" s="3796"/>
      <c r="L128" s="3796"/>
      <c r="M128" s="3797"/>
      <c r="N128" s="3798"/>
      <c r="O128" s="3798"/>
      <c r="P128" s="3793"/>
      <c r="Q128" s="3757"/>
    </row>
    <row r="129" spans="1:17" ht="15" thickTop="1">
      <c r="A129" s="3871"/>
      <c r="B129" s="3799">
        <f>B44</f>
        <v>111</v>
      </c>
      <c r="C129" s="3778"/>
      <c r="D129" s="3778"/>
      <c r="E129" s="3778"/>
      <c r="F129" s="3778"/>
      <c r="G129" s="3854"/>
      <c r="H129" s="3854"/>
      <c r="I129" s="3854"/>
      <c r="J129" s="3854"/>
      <c r="K129" s="3855"/>
      <c r="L129" s="3856"/>
      <c r="M129" s="3857"/>
      <c r="N129" s="3792"/>
      <c r="O129" s="3792"/>
      <c r="P129" s="3793"/>
      <c r="Q129" s="3757"/>
    </row>
    <row r="130" spans="1:17" ht="15.75" thickBot="1">
      <c r="A130" s="3794"/>
      <c r="B130" s="3804"/>
      <c r="C130" s="3832"/>
      <c r="D130" s="3832"/>
      <c r="E130" s="3832"/>
      <c r="F130" s="3832"/>
      <c r="G130" s="3796"/>
      <c r="H130" s="3796"/>
      <c r="I130" s="3796"/>
      <c r="J130" s="3796"/>
      <c r="K130" s="3796"/>
      <c r="L130" s="3796"/>
      <c r="M130" s="3797"/>
      <c r="N130" s="3798"/>
      <c r="O130" s="3798"/>
      <c r="P130" s="3793"/>
      <c r="Q130" s="3757"/>
    </row>
    <row r="131" spans="1:17" s="3661" customFormat="1" ht="15" thickTop="1">
      <c r="A131" s="3864"/>
      <c r="B131" s="3799">
        <f>B45</f>
        <v>111</v>
      </c>
      <c r="C131" s="3778"/>
      <c r="D131" s="3778"/>
      <c r="E131" s="3778"/>
      <c r="F131" s="3778"/>
      <c r="G131" s="3815"/>
      <c r="H131" s="3815"/>
      <c r="I131" s="3815"/>
      <c r="J131" s="3815"/>
      <c r="K131" s="3815"/>
      <c r="L131" s="3816"/>
      <c r="M131" s="3817"/>
      <c r="N131" s="3818"/>
      <c r="O131" s="3818"/>
      <c r="P131" s="3819"/>
      <c r="Q131" s="3820"/>
    </row>
    <row r="132" spans="1:17" s="3661" customFormat="1" ht="15.75" thickBot="1">
      <c r="A132" s="3830"/>
      <c r="B132" s="3873"/>
      <c r="C132" s="3832"/>
      <c r="D132" s="3832"/>
      <c r="E132" s="3832"/>
      <c r="F132" s="3832"/>
      <c r="G132" s="3862"/>
      <c r="H132" s="3862"/>
      <c r="I132" s="3862"/>
      <c r="J132" s="3862"/>
      <c r="K132" s="3862"/>
      <c r="L132" s="3862"/>
      <c r="M132" s="3863"/>
      <c r="N132" s="3818"/>
      <c r="O132" s="3818"/>
      <c r="P132" s="3819"/>
      <c r="Q132" s="3820"/>
    </row>
  </sheetData>
  <sheetProtection password="C66D" sheet="1" objects="1" scenarios="1" formatCells="0" formatColumns="0" formatRows="0"/>
  <mergeCells count="42">
    <mergeCell ref="G55:H56"/>
    <mergeCell ref="G57:G60"/>
    <mergeCell ref="P47:Q47"/>
    <mergeCell ref="R47:S47"/>
    <mergeCell ref="T47:U47"/>
    <mergeCell ref="V47:W47"/>
    <mergeCell ref="P48:Q48"/>
    <mergeCell ref="R48:W48"/>
    <mergeCell ref="P36:P45"/>
    <mergeCell ref="Y36:Y45"/>
    <mergeCell ref="P46:Q46"/>
    <mergeCell ref="R46:S46"/>
    <mergeCell ref="T46:U46"/>
    <mergeCell ref="V46:W46"/>
    <mergeCell ref="P8:Q8"/>
    <mergeCell ref="Y8:Z8"/>
    <mergeCell ref="P9:P14"/>
    <mergeCell ref="Y9:Y14"/>
    <mergeCell ref="P15:P35"/>
    <mergeCell ref="Y15:Y35"/>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8"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43577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2038</v>
      </c>
      <c r="B1" s="3190"/>
      <c r="C1" s="3190"/>
      <c r="D1" s="3190"/>
      <c r="E1" s="3190"/>
      <c r="F1" s="3190"/>
      <c r="G1" s="3190"/>
      <c r="H1" s="3190"/>
      <c r="I1" s="3190"/>
      <c r="J1" s="3190"/>
      <c r="K1" s="3190"/>
      <c r="L1" s="3190"/>
      <c r="M1" s="3190"/>
      <c r="N1" s="3190"/>
      <c r="O1" s="3190"/>
      <c r="P1" s="3190"/>
      <c r="Q1" s="3190"/>
      <c r="R1" s="3190"/>
    </row>
    <row r="2" spans="1:18">
      <c r="A2" s="1793" t="s">
        <v>2040</v>
      </c>
      <c r="B2" s="1793"/>
      <c r="C2" s="1793"/>
      <c r="D2" s="1793"/>
      <c r="E2" s="1793"/>
      <c r="F2" s="1793"/>
      <c r="G2" s="1793"/>
      <c r="H2" s="1793"/>
      <c r="I2" s="1794"/>
      <c r="J2" s="1794"/>
      <c r="K2" s="1795" t="str">
        <f>"估价期日："&amp;TEXT(项目基本情况!D3,"yyyy年m月d日;;")</f>
        <v>估价期日：2019年4月22日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1" t="s">
        <v>2029</v>
      </c>
      <c r="B3" s="3191" t="s">
        <v>2731</v>
      </c>
      <c r="C3" s="3192" t="s">
        <v>2030</v>
      </c>
      <c r="D3" s="3191" t="s">
        <v>2735</v>
      </c>
      <c r="E3" s="3186" t="s">
        <v>2031</v>
      </c>
      <c r="F3" s="3186"/>
      <c r="G3" s="3186"/>
      <c r="H3" s="3186" t="s">
        <v>2032</v>
      </c>
      <c r="I3" s="3186"/>
      <c r="J3" s="3186"/>
      <c r="K3" s="3192" t="s">
        <v>2033</v>
      </c>
      <c r="L3" s="3192" t="s">
        <v>2034</v>
      </c>
      <c r="M3" s="3191" t="s">
        <v>2732</v>
      </c>
      <c r="N3" s="3193" t="str">
        <f>"（分摊）"&amp;项目基本情况!B16&amp;"国有建设用地使用权面积/㎡"</f>
        <v>（分摊）出让国有建设用地使用权面积/㎡</v>
      </c>
      <c r="O3" s="3191" t="s">
        <v>2063</v>
      </c>
      <c r="P3" s="3192" t="s">
        <v>2043</v>
      </c>
      <c r="Q3" s="3192" t="s">
        <v>2064</v>
      </c>
      <c r="R3" s="3192" t="s">
        <v>2035</v>
      </c>
    </row>
    <row r="4" spans="1:18" ht="36.75" customHeight="1">
      <c r="A4" s="3191"/>
      <c r="B4" s="3191"/>
      <c r="C4" s="3192"/>
      <c r="D4" s="3191"/>
      <c r="E4" s="2614" t="s">
        <v>2042</v>
      </c>
      <c r="F4" s="2614" t="s">
        <v>2744</v>
      </c>
      <c r="G4" s="2614" t="s">
        <v>2036</v>
      </c>
      <c r="H4" s="2614" t="s">
        <v>2037</v>
      </c>
      <c r="I4" s="2614" t="s">
        <v>2745</v>
      </c>
      <c r="J4" s="2614" t="s">
        <v>2036</v>
      </c>
      <c r="K4" s="3192"/>
      <c r="L4" s="3192"/>
      <c r="M4" s="3191"/>
      <c r="N4" s="3193"/>
      <c r="O4" s="3191"/>
      <c r="P4" s="3192"/>
      <c r="Q4" s="3192"/>
      <c r="R4" s="3192"/>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43861.49</v>
      </c>
      <c r="O5" s="1796">
        <f>项目基本情况!C21</f>
        <v>117266.29000000001</v>
      </c>
      <c r="P5" s="1796">
        <f ca="1">结果表!E42</f>
        <v>22350</v>
      </c>
      <c r="Q5" s="1796">
        <f ca="1">结果表!D42</f>
        <v>8360</v>
      </c>
      <c r="R5" s="1797">
        <f ca="1">结果表!C42</f>
        <v>98031</v>
      </c>
    </row>
    <row r="6" spans="1:18">
      <c r="A6" s="3187" t="str">
        <f>IF(项目基本情况!B9="市场价格","——","抵押价格")</f>
        <v>——</v>
      </c>
      <c r="B6" s="3188"/>
      <c r="C6" s="3188"/>
      <c r="D6" s="3188"/>
      <c r="E6" s="3188"/>
      <c r="F6" s="3188"/>
      <c r="G6" s="3188"/>
      <c r="H6" s="3188"/>
      <c r="I6" s="3188"/>
      <c r="J6" s="3188"/>
      <c r="K6" s="3188"/>
      <c r="L6" s="3188"/>
      <c r="M6" s="3188"/>
      <c r="N6" s="3188"/>
      <c r="O6" s="3188"/>
      <c r="P6" s="3188"/>
      <c r="Q6" s="3189"/>
      <c r="R6" s="1798" t="str">
        <f>结果表!O39</f>
        <v>——</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798"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5" t="s">
        <v>2065</v>
      </c>
      <c r="B1" s="3195"/>
      <c r="C1" s="3195"/>
      <c r="D1" s="3195"/>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4" t="s">
        <v>2066</v>
      </c>
      <c r="B5" s="3194"/>
      <c r="C5" s="3194"/>
      <c r="D5" s="3194"/>
    </row>
    <row r="6" spans="1:4">
      <c r="A6" s="3195" t="s">
        <v>2044</v>
      </c>
      <c r="B6" s="3195"/>
      <c r="C6" s="3195"/>
      <c r="D6" s="3195"/>
    </row>
    <row r="7" spans="1:4" ht="33" customHeight="1">
      <c r="A7" s="3195" t="s">
        <v>2575</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5"/>
      <c r="C8" s="3195"/>
      <c r="D8" s="3195"/>
    </row>
    <row r="9" spans="1:4" ht="33.75" customHeight="1">
      <c r="A9" s="3195" t="str">
        <f>IF(项目基本情况!B8="抵押","3.抵押双方在办理抵押登记手续时，应使用本公司出具的正式《土地估价报告》，特提请报告使用者注意。","——")</f>
        <v>——</v>
      </c>
      <c r="B9" s="3195"/>
      <c r="C9" s="3195"/>
      <c r="D9" s="3195"/>
    </row>
    <row r="10" spans="1:4">
      <c r="A10" s="3195" t="str">
        <f>IF(项目基本情况!B8="抵押","4.估价师所知悉的法定优先受偿款情况为：","——")</f>
        <v>——</v>
      </c>
      <c r="B10" s="3195"/>
      <c r="C10" s="3195"/>
      <c r="D10" s="3195"/>
    </row>
    <row r="11" spans="1:4" ht="37.5" customHeight="1">
      <c r="A11" s="3197" t="str">
        <f>IF(项目基本情况!B8="抵押","（1）"&amp;CONCATENATE(项目基本情况!L24,项目基本情况!L25,项目基本情况!L26),"——")</f>
        <v>——</v>
      </c>
      <c r="B11" s="3197"/>
      <c r="C11" s="3197"/>
      <c r="D11" s="3197"/>
    </row>
    <row r="12" spans="1:4" ht="168" customHeight="1">
      <c r="A12" s="3194" t="s">
        <v>2068</v>
      </c>
      <c r="B12" s="3194"/>
      <c r="C12" s="3194"/>
      <c r="D12" s="3194"/>
    </row>
    <row r="13" spans="1:4">
      <c r="A13" s="3198" t="s">
        <v>2746</v>
      </c>
      <c r="B13" s="3198"/>
      <c r="C13" s="3198"/>
      <c r="D13" s="3198"/>
    </row>
    <row r="14" spans="1:4">
      <c r="A14" s="3197" t="str">
        <f>IF(项目基本情况!B8="抵押","综上，"&amp;结果表!K47,"——")</f>
        <v>——</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2702</v>
      </c>
      <c r="B17" s="3195"/>
      <c r="C17" s="3195"/>
      <c r="D17" s="3195"/>
    </row>
    <row r="18" spans="1:4">
      <c r="A18" s="3195" t="s">
        <v>2694</v>
      </c>
      <c r="B18" s="3195"/>
      <c r="C18" s="3195"/>
      <c r="D18" s="3195"/>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5" t="s">
        <v>2699</v>
      </c>
      <c r="B23" s="3195"/>
      <c r="C23" s="3195"/>
      <c r="D23" s="3195"/>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6" t="s">
        <v>53</v>
      </c>
      <c r="B15" s="3207" t="s">
        <v>846</v>
      </c>
      <c r="C15" s="3203"/>
    </row>
    <row r="16" spans="1:7" ht="14.25">
      <c r="A16" s="3206"/>
      <c r="B16" s="3204" t="s">
        <v>54</v>
      </c>
      <c r="C16" s="1168" t="s">
        <v>53</v>
      </c>
    </row>
    <row r="17" spans="1:3" ht="14.25">
      <c r="A17" s="3206"/>
      <c r="B17" s="3204"/>
      <c r="C17" s="1168" t="s">
        <v>55</v>
      </c>
    </row>
    <row r="18" spans="1:3" ht="14.25">
      <c r="A18" s="3206"/>
      <c r="B18" s="3204"/>
      <c r="C18" s="1168" t="s">
        <v>56</v>
      </c>
    </row>
    <row r="19" spans="1:3" ht="14.25">
      <c r="A19" s="3206"/>
      <c r="B19" s="3202" t="s">
        <v>57</v>
      </c>
      <c r="C19" s="3203"/>
    </row>
    <row r="20" spans="1:3" ht="14.25">
      <c r="A20" s="1169" t="s">
        <v>58</v>
      </c>
      <c r="B20" s="1170"/>
      <c r="C20" s="1171"/>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2" t="s">
        <v>837</v>
      </c>
    </row>
    <row r="25" spans="1:3" ht="14.25">
      <c r="A25" s="3205"/>
      <c r="B25" s="3209"/>
      <c r="C25" s="1172" t="s">
        <v>838</v>
      </c>
    </row>
    <row r="26" spans="1:3" ht="14.25">
      <c r="A26" s="3205"/>
      <c r="B26" s="3209"/>
      <c r="C26" s="1172" t="s">
        <v>839</v>
      </c>
    </row>
    <row r="27" spans="1:3" ht="14.25">
      <c r="A27" s="3205"/>
      <c r="B27" s="3209"/>
      <c r="C27" s="1172" t="s">
        <v>840</v>
      </c>
    </row>
    <row r="28" spans="1:3" ht="14.25">
      <c r="A28" s="3205"/>
      <c r="B28" s="3209"/>
      <c r="C28" s="1172" t="s">
        <v>841</v>
      </c>
    </row>
    <row r="29" spans="1:3" ht="14.25">
      <c r="A29" s="3205"/>
      <c r="B29" s="3209"/>
      <c r="C29" s="1172" t="s">
        <v>842</v>
      </c>
    </row>
    <row r="30" spans="1:3" ht="14.25">
      <c r="A30" s="3205"/>
      <c r="B30" s="3209"/>
      <c r="C30" s="1172" t="s">
        <v>843</v>
      </c>
    </row>
    <row r="31" spans="1:3" ht="14.25">
      <c r="A31" s="3205"/>
      <c r="B31" s="3209"/>
      <c r="C31" s="1172" t="s">
        <v>844</v>
      </c>
    </row>
    <row r="32" spans="1:3" ht="14.25">
      <c r="A32" s="3205"/>
      <c r="B32" s="3209"/>
      <c r="C32" s="1172" t="s">
        <v>1646</v>
      </c>
    </row>
    <row r="33" spans="1:3" ht="14.25">
      <c r="A33" s="3205"/>
      <c r="B33" s="3199" t="s">
        <v>1652</v>
      </c>
      <c r="C33" s="1172" t="s">
        <v>1647</v>
      </c>
    </row>
    <row r="34" spans="1:3" ht="14.25">
      <c r="A34" s="3205"/>
      <c r="B34" s="3200"/>
      <c r="C34" s="1177" t="s">
        <v>1648</v>
      </c>
    </row>
    <row r="35" spans="1:3" ht="14.25">
      <c r="A35" s="3205"/>
      <c r="B35" s="3200"/>
      <c r="C35" s="1178" t="s">
        <v>1649</v>
      </c>
    </row>
    <row r="36" spans="1:3" ht="14.25">
      <c r="A36" s="3205"/>
      <c r="B36" s="3200"/>
      <c r="C36" s="1178" t="s">
        <v>1650</v>
      </c>
    </row>
    <row r="37" spans="1:3" ht="14.25">
      <c r="A37" s="3205"/>
      <c r="B37" s="3201"/>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43579</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0" t="s">
        <v>1926</v>
      </c>
      <c r="B25" s="3210"/>
      <c r="C25" s="3210"/>
      <c r="D25" s="3210"/>
      <c r="E25" s="3210"/>
      <c r="F25" s="3210"/>
      <c r="G25" s="3210"/>
    </row>
    <row r="26" spans="1:7" ht="20.25" customHeight="1">
      <c r="A26" s="3211" t="s">
        <v>1927</v>
      </c>
      <c r="B26" s="3211"/>
      <c r="C26" s="3211"/>
      <c r="D26" s="3211" t="s">
        <v>1928</v>
      </c>
      <c r="E26" s="3211"/>
      <c r="F26" s="3211"/>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西红门镇3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2"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c r="D53" s="1753"/>
      <c r="E53" s="1753"/>
    </row>
    <row r="54" spans="1:5">
      <c r="A54" s="3212"/>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2"/>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2"/>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2"/>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140</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土地比较法-住宅、综合</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'土地比较法-住宅、综合'!套工交易情况</vt:lpstr>
      <vt:lpstr>套工交易情况</vt:lpstr>
      <vt:lpstr>套工开发程度</vt:lpstr>
      <vt:lpstr>套工临街等级</vt:lpstr>
      <vt:lpstr>套工土地级别</vt:lpstr>
      <vt:lpstr>套工用途</vt:lpstr>
      <vt:lpstr>套工宗地形状</vt:lpstr>
      <vt:lpstr>'土地比较法-住宅、综合'!套综道路等级</vt:lpstr>
      <vt:lpstr>套综道路等级</vt:lpstr>
      <vt:lpstr>'土地比较法-住宅、综合'!套综工程地质条件</vt:lpstr>
      <vt:lpstr>套综工程地质条件</vt:lpstr>
      <vt:lpstr>'土地比较法-住宅、综合'!套综交易情况</vt:lpstr>
      <vt:lpstr>套综交易情况</vt:lpstr>
      <vt:lpstr>'土地比较法-住宅、综合'!套综临街宽度及深度</vt:lpstr>
      <vt:lpstr>套综临街宽度及深度</vt:lpstr>
      <vt:lpstr>'土地比较法-住宅、综合'!套综土地级别</vt:lpstr>
      <vt:lpstr>套综土地级别</vt:lpstr>
      <vt:lpstr>'土地比较法-住宅、综合'!套综用途</vt:lpstr>
      <vt:lpstr>套综用途</vt:lpstr>
      <vt:lpstr>'土地比较法-住宅、综合'!套综宗地内开发程度</vt:lpstr>
      <vt:lpstr>套综宗地内开发程度</vt:lpstr>
      <vt:lpstr>'土地比较法-住宅、综合'!套综宗地形状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2019-04-24T09:51:44Z</dcterms:modified>
</cp:coreProperties>
</file>