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7310" windowHeight="1063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<sst xmlns="http://schemas.openxmlformats.org/spreadsheetml/2006/main" count="8913" uniqueCount="2863">
  <si>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</si>
  <si>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</si>
  <si>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</si>
  <si>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</si>
  <si>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</si>
  <si>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</si>
  <si>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</si>
  <si>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</si>
  <si>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</si>
  <si>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</si>
  <si>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</si>
  <si>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</si>
  <si>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</si>
  <si>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</si>
  <si>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</si>
  <si>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</si>
  <si>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</si>
  <si>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</si>
  <si>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</si>
  <si>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</si>
  <si>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</si>
  <si>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</si>
  <si>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</si>
  <si>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</si>
  <si>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</si>
  <si>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</si>
  <si>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</si>
  <si>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</si>
  <si>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</si>
  <si>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</si>
  <si>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</si>
  <si>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</si>
  <si>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</si>
  <si>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</si>
  <si>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</si>
  <si>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</si>
  <si>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</si>
  <si>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</si>
  <si>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</si>
  <si>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</si>
  <si>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</si>
  <si>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</si>
  <si>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</si>
  <si>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</si>
  <si>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</si>
  <si>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</si>
  <si>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</si>
  <si>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</si>
  <si>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</si>
  <si>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</si>
  <si>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</si>
  <si>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</si>
  <si>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</si>
  <si>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</si>
  <si>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</si>
  <si>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</si>
  <si>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</si>
  <si>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</si>
  <si>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</si>
  <si>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</si>
  <si>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</si>
  <si>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</si>
  <si>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</si>
  <si>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</si>
  <si>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</si>
  <si>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</si>
  <si>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</si>
  <si>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</si>
  <si>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</si>
  <si>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</si>
  <si>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</si>
  <si>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</si>
  <si>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</si>
  <si>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</si>
  <si>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</si>
  <si>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</si>
  <si>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</si>
  <si>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</si>
  <si>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</si>
  <si>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</si>
  <si>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</si>
  <si>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</si>
  <si>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</si>
  <si>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</si>
  <si>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</si>
  <si>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</si>
  <si>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</si>
  <si>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</si>
  <si>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</si>
  <si>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</si>
  <si>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</si>
  <si>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</si>
  <si>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</si>
  <si>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</si>
  <si>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</si>
  <si>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</si>
  <si>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</si>
  <si>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</si>
  <si>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</si>
  <si>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</si>
  <si>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</si>
  <si>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</si>
  <si>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</si>
  <si>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</si>
  <si>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</si>
  <si>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</si>
  <si>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</si>
  <si>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</si>
  <si>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</si>
  <si>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</si>
  <si>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</si>
  <si>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</si>
  <si>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</si>
  <si>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</si>
  <si>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</si>
  <si>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</si>
  <si>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</si>
  <si>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</si>
  <si>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</si>
  <si>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</si>
  <si>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</si>
  <si>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</si>
  <si>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</si>
  <si>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</si>
  <si>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</si>
  <si>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</si>
  <si>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</si>
  <si>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</si>
  <si>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</si>
  <si>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</si>
  <si>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</si>
  <si>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</si>
  <si>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</si>
  <si>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</si>
  <si>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</si>
  <si>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</si>
  <si>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</si>
  <si>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</si>
  <si>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</si>
  <si>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</si>
  <si>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</si>
  <si>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</si>
  <si>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</si>
  <si>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</si>
  <si>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</si>
  <si>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</si>
  <si>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</si>
  <si>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</si>
  <si>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</si>
  <si>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</si>
  <si>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</si>
  <si>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</si>
  <si>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</si>
  <si>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</si>
  <si>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</si>
  <si>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</si>
  <si>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</si>
  <si>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</si>
  <si>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</si>
  <si>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</si>
  <si>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</si>
  <si>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</si>
  <si>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</si>
  <si>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</si>
  <si>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</si>
  <si>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</si>
  <si>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</si>
  <si>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</si>
  <si>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</si>
  <si>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</si>
  <si>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</si>
  <si>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</si>
  <si>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</si>
  <si>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</si>
  <si>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</si>
  <si>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</si>
  <si>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</si>
  <si>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</si>
  <si>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</si>
  <si>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</si>
  <si>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</si>
  <si>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</si>
  <si>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</si>
  <si>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</si>
  <si>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</si>
  <si>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</si>
  <si>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</si>
  <si>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</si>
  <si>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</si>
  <si>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</si>
  <si>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</si>
  <si>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</si>
  <si>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</si>
  <si>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</si>
  <si>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</si>
  <si>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</si>
  <si>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</si>
  <si>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</si>
  <si>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</si>
  <si>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</si>
  <si>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</si>
  <si>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</si>
  <si>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</si>
  <si>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</si>
  <si>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</si>
  <si>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</si>
  <si>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</si>
  <si>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</si>
  <si>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</si>
  <si>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</si>
  <si>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</si>
  <si>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</si>
  <si>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</si>
  <si>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</si>
  <si>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</si>
  <si>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</si>
  <si>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</si>
  <si>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</si>
  <si>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</si>
  <si>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</si>
  <si>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</si>
  <si>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</si>
  <si>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</si>
  <si>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</si>
  <si>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</si>
  <si>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</si>
  <si>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</si>
  <si>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</si>
  <si>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</si>
  <si>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</si>
  <si>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</si>
  <si>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</si>
  <si>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</si>
  <si>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</si>
  <si>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</si>
  <si>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</si>
  <si>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</si>
  <si>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</si>
  <si>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</si>
  <si>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</si>
  <si>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</si>
  <si>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</si>
  <si>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</si>
  <si>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</si>
  <si>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</si>
  <si>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</si>
  <si>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</si>
  <si>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</si>
  <si>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</si>
  <si>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</si>
  <si>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</si>
  <si>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</si>
  <si>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</si>
  <si>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</si>
  <si>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</si>
  <si>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</si>
  <si>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</si>
  <si>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</si>
  <si>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</si>
  <si>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</si>
  <si>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</si>
  <si>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</si>
  <si>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</si>
  <si>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</si>
  <si>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</si>
  <si>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</si>
  <si>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</si>
  <si>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</si>
  <si>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</si>
  <si>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</si>
  <si>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</si>
  <si>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</si>
  <si>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</si>
  <si>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</si>
  <si>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</si>
  <si>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</si>
  <si>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</si>
  <si>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</si>
  <si>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</si>
  <si>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</si>
  <si>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</si>
  <si>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</si>
  <si>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</si>
  <si>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</si>
  <si>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</si>
  <si>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</si>
  <si>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</si>
  <si>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</si>
  <si>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</si>
  <si>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</si>
  <si>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</si>
  <si>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</si>
  <si>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</si>
  <si>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</si>
  <si>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</si>
  <si>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</si>
  <si>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</si>
  <si>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</si>
  <si>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</si>
  <si>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</si>
  <si>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</si>
  <si>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</si>
  <si>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</si>
  <si>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</si>
  <si>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</si>
  <si>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</si>
  <si>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</si>
  <si>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</si>
  <si>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</si>
  <si>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</si>
  <si>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</si>
  <si>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</si>
  <si>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</si>
  <si>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</si>
  <si>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</si>
  <si>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</si>
  <si>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</si>
  <si>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</si>
  <si>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</si>
  <si>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</si>
  <si>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</si>
  <si>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</si>
  <si>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</si>
  <si>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</si>
  <si>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</si>
  <si>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</si>
  <si>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</si>
  <si>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</si>
  <si>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</si>
  <si>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</si>
  <si>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</si>
  <si>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</si>
  <si>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</si>
  <si>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</si>
  <si>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</si>
  <si>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</si>
  <si>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</si>
  <si>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</si>
  <si>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</si>
  <si>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</si>
  <si>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</si>
  <si>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</si>
  <si>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</si>
  <si>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</si>
  <si>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</si>
  <si>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</si>
  <si>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</si>
  <si>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</si>
  <si>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</si>
  <si>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</si>
  <si>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</si>
  <si>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</si>
  <si>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</si>
  <si>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</si>
  <si>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</si>
  <si>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</si>
  <si>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</si>
  <si>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</si>
  <si>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</si>
  <si>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</si>
  <si>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</si>
  <si>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</si>
  <si>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</si>
  <si>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</si>
  <si>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</si>
  <si>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</si>
  <si>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</si>
  <si>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</si>
  <si>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</si>
  <si>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</si>
  <si>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</si>
  <si>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</si>
  <si>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</si>
  <si>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</si>
  <si>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</si>
  <si>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</si>
  <si>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</si>
  <si>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</si>
  <si>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</si>
  <si>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</si>
  <si>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</si>
  <si>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</si>
  <si>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</si>
  <si>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</si>
  <si>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</si>
  <si>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</si>
  <si>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</si>
  <si>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</si>
  <si>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</si>
  <si>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</si>
  <si>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</si>
  <si>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</si>
  <si>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</si>
  <si>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</si>
  <si>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</si>
  <si>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</si>
  <si>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</si>
  <si>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</si>
  <si>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</si>
  <si>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</si>
  <si>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</si>
  <si>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</si>
  <si>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</si>
  <si>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</si>
  <si>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</si>
  <si>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</si>
  <si>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</si>
  <si>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</si>
  <si>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</si>
  <si>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</si>
  <si>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</si>
  <si>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</si>
  <si>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</si>
  <si>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</si>
  <si>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</si>
  <si>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</si>
  <si>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</si>
  <si>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</si>
  <si>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</si>
  <si>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</si>
  <si>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</si>
  <si>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</si>
  <si>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</si>
  <si>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</si>
  <si>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</si>
  <si>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</si>
  <si>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</si>
  <si>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</si>
  <si>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</si>
  <si>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</si>
  <si>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</si>
  <si>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</si>
  <si>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</si>
  <si>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</si>
  <si>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</si>
  <si>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</si>
  <si>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</si>
  <si>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</si>
  <si>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</si>
  <si>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</si>
  <si>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</si>
  <si>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</si>
  <si>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</si>
  <si>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</si>
  <si>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</si>
  <si>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</si>
  <si>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</si>
  <si>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</si>
  <si>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</si>
  <si>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</si>
  <si>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</si>
  <si>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</si>
  <si>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</si>
  <si>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</si>
  <si>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</si>
  <si>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</si>
  <si>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</si>
  <si>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</si>
  <si>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</si>
  <si>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</si>
  <si>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</si>
  <si>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</si>
  <si>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</si>
  <si>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</si>
  <si>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</si>
  <si>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</si>
  <si>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</si>
  <si>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</si>
  <si>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</si>
  <si>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</si>
  <si>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</si>
  <si>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</si>
  <si>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</si>
  <si>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</si>
  <si>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</si>
  <si>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</si>
  <si>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</si>
  <si>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</si>
  <si>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</si>
  <si>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</si>
  <si>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</si>
  <si>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</si>
  <si>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</si>
  <si>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</si>
  <si>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</si>
  <si>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</si>
  <si>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</si>
  <si>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</si>
  <si>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</si>
  <si>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</si>
  <si>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</si>
  <si>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</si>
  <si>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</si>
  <si>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</si>
  <si>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</si>
  <si>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</si>
  <si>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</si>
  <si>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</si>
  <si>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</si>
  <si>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</si>
  <si>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</si>
  <si>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</si>
  <si>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</si>
  <si>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</si>
  <si>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</si>
  <si>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</si>
  <si>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</si>
  <si>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</si>
  <si>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</si>
  <si>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</si>
  <si>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</si>
  <si>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</si>
  <si>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</si>
  <si>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</si>
  <si>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</si>
  <si>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</si>
  <si>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</si>
  <si>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</si>
  <si>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</si>
  <si>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</si>
  <si>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</si>
  <si>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</si>
  <si>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</si>
  <si>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</si>
  <si>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</si>
  <si>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</si>
  <si>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</si>
  <si>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</si>
  <si>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</si>
  <si>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</si>
  <si>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</si>
  <si>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</si>
  <si>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</si>
  <si>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</si>
  <si>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</si>
  <si>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</si>
  <si>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</si>
  <si>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</si>
  <si>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</si>
  <si>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</si>
  <si>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</si>
  <si>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</si>
  <si>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</si>
  <si>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</si>
  <si>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</si>
  <si>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</si>
  <si>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</si>
  <si>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</si>
  <si>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</si>
  <si>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</si>
  <si>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</si>
  <si>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</si>
  <si>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</si>
  <si>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</si>
  <si>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</si>
  <si>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</si>
  <si>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</si>
  <si>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</si>
  <si>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</si>
  <si>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</si>
  <si>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</si>
  <si>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</si>
  <si>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</si>
  <si>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</si>
  <si>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</si>
  <si>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</si>
  <si>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</si>
  <si>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</si>
  <si>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</si>
  <si>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</si>
  <si>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</si>
  <si>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</si>
  <si>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</si>
  <si>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</si>
  <si>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</si>
  <si>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</si>
  <si>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</si>
  <si>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</si>
  <si>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t>土地面积</t>
  </si>
  <si>
    <r>
      <rPr>
        <b/>
        <sz val="11"/>
        <color indexed="8"/>
        <rFont val="宋体"/>
        <charset val="134"/>
      </rPr>
      <t>建筑面积</t>
    </r>
  </si>
  <si>
    <r>
      <rPr>
        <sz val="11"/>
        <color indexed="8"/>
        <rFont val="宋体"/>
        <charset val="134"/>
      </rPr>
      <t>自定义容积率</t>
    </r>
  </si>
  <si>
    <t>建筑面积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</si>
  <si>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</si>
  <si>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</si>
  <si>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</si>
  <si>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</si>
  <si>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</si>
  <si>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</si>
  <si>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</si>
  <si>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</si>
  <si>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</si>
  <si>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</si>
  <si>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</si>
  <si>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</si>
  <si>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</si>
  <si>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</si>
  <si>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</si>
  <si>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</si>
  <si>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</si>
  <si>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</si>
  <si>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</si>
  <si>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</si>
  <si>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</si>
  <si>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</si>
  <si>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</si>
  <si>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</si>
  <si>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</si>
  <si>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</si>
  <si>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</si>
  <si>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</si>
  <si>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</si>
  <si>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</si>
  <si>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</si>
  <si>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</si>
  <si>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</si>
  <si>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</si>
  <si>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</si>
  <si>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</si>
  <si>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</si>
  <si>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</si>
  <si>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</si>
  <si>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</si>
  <si>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</si>
  <si>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</si>
  <si>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</si>
  <si>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</si>
  <si>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</si>
  <si>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</si>
  <si>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</si>
  <si>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</si>
  <si>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</si>
  <si>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</si>
  <si>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</si>
  <si>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</si>
  <si>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</si>
  <si>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</si>
  <si>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</si>
  <si>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</si>
  <si>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</si>
  <si>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</si>
  <si>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</si>
  <si>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</si>
  <si>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</si>
  <si>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</si>
  <si>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</si>
  <si>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</si>
  <si>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</si>
  <si>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</si>
  <si>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</si>
  <si>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</si>
  <si>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</si>
  <si>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</si>
  <si>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</si>
  <si>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</si>
  <si>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</si>
  <si>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</si>
  <si>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</si>
  <si>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</si>
  <si>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</si>
  <si>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</si>
  <si>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</si>
  <si>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</si>
  <si>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</si>
  <si>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</si>
  <si>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</si>
  <si>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</si>
  <si>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</si>
  <si>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</si>
  <si>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</si>
  <si>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</si>
  <si>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</si>
  <si>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</si>
  <si>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</si>
  <si>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</si>
  <si>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</si>
  <si>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</si>
  <si>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</si>
  <si>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</si>
  <si>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</si>
  <si>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</si>
  <si>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</si>
  <si>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</si>
  <si>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</si>
  <si>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</si>
  <si>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</si>
  <si>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</si>
  <si>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</si>
  <si>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</si>
  <si>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</si>
  <si>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</si>
  <si>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</si>
  <si>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</si>
  <si>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</si>
  <si>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</si>
  <si>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</si>
  <si>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</si>
  <si>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</si>
  <si>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</si>
  <si>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</si>
  <si>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</si>
  <si>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</si>
  <si>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</si>
  <si>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</si>
  <si>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</si>
  <si>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</si>
  <si>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</si>
  <si>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</si>
  <si>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</si>
  <si>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</si>
  <si>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</si>
  <si>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</si>
  <si>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</si>
  <si>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</si>
  <si>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</si>
  <si>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</si>
  <si>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</si>
  <si>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</si>
  <si>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</si>
  <si>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</si>
  <si>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</si>
  <si>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</si>
  <si>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</si>
  <si>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</si>
  <si>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</si>
  <si>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</si>
  <si>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</si>
  <si>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</si>
  <si>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</si>
  <si>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</si>
  <si>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</si>
  <si>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</si>
  <si>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</si>
  <si>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</si>
  <si>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</si>
  <si>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</si>
  <si>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</si>
  <si>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</si>
  <si>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</si>
  <si>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</si>
  <si>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所需面积</t>
  </si>
  <si>
    <t>面积</t>
  </si>
  <si>
    <t>有燃气</t>
  </si>
  <si>
    <t>周长</t>
  </si>
  <si>
    <t>直线折旧</t>
  </si>
  <si>
    <t>石棉瓦成本</t>
  </si>
  <si>
    <t>1800*720*5</t>
  </si>
  <si>
    <t>23.5元/张</t>
  </si>
  <si>
    <t>柱高</t>
  </si>
  <si>
    <t>观察</t>
  </si>
  <si>
    <t>所需张数</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</si>
  <si>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</si>
  <si>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</si>
  <si>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</si>
  <si>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</si>
  <si>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</si>
  <si>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</si>
  <si>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</si>
  <si>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</si>
  <si>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</si>
  <si>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</si>
  <si>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</si>
  <si>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</si>
  <si>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</si>
  <si>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</si>
  <si>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</si>
  <si>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</si>
  <si>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</si>
  <si>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</si>
  <si>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</si>
  <si>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</si>
  <si>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</si>
  <si>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</si>
  <si>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</si>
  <si>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</si>
  <si>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</si>
  <si>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</si>
  <si>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</si>
  <si>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</si>
  <si>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</si>
  <si>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</si>
  <si>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</si>
  <si>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</si>
  <si>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</si>
  <si>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</si>
  <si>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</si>
  <si>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</si>
  <si>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</si>
  <si>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</si>
  <si>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</si>
  <si>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</si>
  <si>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</si>
  <si>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</si>
  <si>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</si>
  <si>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</si>
  <si>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</si>
  <si>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</si>
  <si>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</si>
  <si>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</si>
  <si>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</si>
  <si>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</si>
  <si>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</si>
  <si>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</si>
  <si>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</si>
  <si>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</si>
  <si>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</si>
  <si>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</si>
  <si>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</si>
  <si>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</si>
  <si>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</si>
  <si>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</si>
  <si>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</si>
  <si>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</si>
  <si>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</si>
  <si>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</si>
  <si>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</si>
  <si>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</si>
  <si>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</si>
  <si>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</si>
  <si>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</si>
  <si>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</si>
  <si>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</si>
  <si>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</si>
  <si>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</si>
  <si>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</si>
  <si>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</si>
  <si>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</si>
  <si>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</si>
  <si>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</si>
  <si>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</si>
  <si>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</si>
  <si>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</si>
  <si>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</si>
  <si>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</si>
  <si>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</si>
  <si>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</si>
  <si>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</si>
  <si>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</si>
  <si>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</si>
  <si>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</si>
  <si>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</si>
  <si>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</si>
  <si>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</si>
  <si>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</si>
  <si>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</si>
  <si>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</si>
  <si>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</si>
  <si>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</si>
  <si>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</si>
  <si>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</si>
  <si>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</si>
  <si>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</si>
  <si>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</si>
  <si>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</si>
  <si>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</si>
  <si>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</si>
  <si>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</si>
  <si>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</si>
  <si>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</si>
  <si>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</si>
  <si>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</si>
  <si>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</si>
  <si>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</si>
  <si>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</si>
  <si>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</si>
  <si>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</si>
  <si>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</si>
  <si>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</si>
  <si>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</si>
  <si>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</si>
  <si>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</si>
  <si>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</si>
  <si>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</si>
  <si>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</si>
  <si>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</si>
  <si>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</si>
  <si>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</si>
  <si>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</si>
  <si>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</si>
  <si>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</si>
  <si>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</si>
  <si>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</si>
  <si>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</si>
  <si>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</si>
  <si>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</si>
  <si>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</si>
  <si>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</si>
  <si>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</si>
  <si>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</si>
  <si>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</si>
  <si>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</si>
  <si>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</si>
  <si>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</si>
  <si>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</si>
  <si>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</si>
  <si>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</si>
  <si>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出让金</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</si>
  <si>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</si>
  <si>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</si>
  <si>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</si>
  <si>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</si>
  <si>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</si>
  <si>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</si>
  <si>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</si>
  <si>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</si>
  <si>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</si>
  <si>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</si>
  <si>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</si>
  <si>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</si>
  <si>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</si>
  <si>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</si>
  <si>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</si>
  <si>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</si>
  <si>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</si>
  <si>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</si>
  <si>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</si>
  <si>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</si>
  <si>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</si>
  <si>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</si>
  <si>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</si>
  <si>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</si>
  <si>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</si>
  <si>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</si>
  <si>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</si>
  <si>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</si>
  <si>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</si>
  <si>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</si>
  <si>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</si>
  <si>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</si>
  <si>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</si>
  <si>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</si>
  <si>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</si>
  <si>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</si>
  <si>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</si>
  <si>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</si>
  <si>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</si>
  <si>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</si>
  <si>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</si>
  <si>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</si>
  <si>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</si>
  <si>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</si>
  <si>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</si>
  <si>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</si>
  <si>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</si>
  <si>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</si>
  <si>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</si>
  <si>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</si>
  <si>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</si>
  <si>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</si>
  <si>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</si>
  <si>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</si>
  <si>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</si>
  <si>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</si>
  <si>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</si>
  <si>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</si>
  <si>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</si>
  <si>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</si>
  <si>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</si>
  <si>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</si>
  <si>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</si>
  <si>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</si>
  <si>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</si>
  <si>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</si>
  <si>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</si>
  <si>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</si>
  <si>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</si>
  <si>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</si>
  <si>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</si>
  <si>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</si>
  <si>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</si>
  <si>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</si>
  <si>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</si>
  <si>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</si>
  <si>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</si>
  <si>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</si>
  <si>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</si>
  <si>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</si>
  <si>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</si>
  <si>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</si>
  <si>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</si>
  <si>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</si>
  <si>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</si>
  <si>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</si>
  <si>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</si>
  <si>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</si>
  <si>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</si>
  <si>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</si>
  <si>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</si>
  <si>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</si>
  <si>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</si>
  <si>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</si>
  <si>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</si>
  <si>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</si>
  <si>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</si>
  <si>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</si>
  <si>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</si>
  <si>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</si>
  <si>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</si>
  <si>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</si>
  <si>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</si>
  <si>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</si>
  <si>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</si>
  <si>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</si>
  <si>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</si>
  <si>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</si>
  <si>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</si>
  <si>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</si>
  <si>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</si>
  <si>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</si>
  <si>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</si>
  <si>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</si>
  <si>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</si>
  <si>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</si>
  <si>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</si>
  <si>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</si>
  <si>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</si>
  <si>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</si>
  <si>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</si>
  <si>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</si>
  <si>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</si>
  <si>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</si>
  <si>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</si>
  <si>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</si>
  <si>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</si>
  <si>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</si>
  <si>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</si>
  <si>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</si>
  <si>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</si>
  <si>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</si>
  <si>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</si>
  <si>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</si>
  <si>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</si>
  <si>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</si>
  <si>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</si>
  <si>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</si>
  <si>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</si>
  <si>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</si>
  <si>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</si>
  <si>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</si>
  <si>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</si>
  <si>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</si>
  <si>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</si>
  <si>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</si>
  <si>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</si>
  <si>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</si>
  <si>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</si>
  <si>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</si>
  <si>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</si>
  <si>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</si>
  <si>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</si>
  <si>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</si>
  <si>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</si>
  <si>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</si>
  <si>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</si>
  <si>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</si>
  <si>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</si>
  <si>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</si>
  <si>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</si>
  <si>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</si>
  <si>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</si>
  <si>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</si>
  <si>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</si>
  <si>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</si>
  <si>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</si>
  <si>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</si>
  <si>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</si>
  <si>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</si>
  <si>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</si>
  <si>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</si>
  <si>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</si>
  <si>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</si>
  <si>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</si>
  <si>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</si>
  <si>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</si>
  <si>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</si>
  <si>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</si>
  <si>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</si>
  <si>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</si>
  <si>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</si>
  <si>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</si>
  <si>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</si>
  <si>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</si>
  <si>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</si>
  <si>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</si>
  <si>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</si>
  <si>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</si>
  <si>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</si>
  <si>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</si>
  <si>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</si>
  <si>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</si>
  <si>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</si>
  <si>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</si>
  <si>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</si>
  <si>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</si>
  <si>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</si>
  <si>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</si>
  <si>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</si>
  <si>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</si>
  <si>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</si>
  <si>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</si>
  <si>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</si>
  <si>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</si>
  <si>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</si>
  <si>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</si>
  <si>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</si>
  <si>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</si>
  <si>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</si>
  <si>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</si>
  <si>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</si>
  <si>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</si>
  <si>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</si>
  <si>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</si>
  <si>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</si>
  <si>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</si>
  <si>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</si>
  <si>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</si>
  <si>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</si>
  <si>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</si>
  <si>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</si>
  <si>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</si>
  <si>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</si>
  <si>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</si>
  <si>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</si>
  <si>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</si>
  <si>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</si>
  <si>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</si>
  <si>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</si>
  <si>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</si>
  <si>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</si>
  <si>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</si>
  <si>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</si>
  <si>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</si>
  <si>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</si>
  <si>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</si>
  <si>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</si>
  <si>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</si>
  <si>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</si>
  <si>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</si>
  <si>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</si>
  <si>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</si>
  <si>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</si>
  <si>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</si>
  <si>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</si>
  <si>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</si>
  <si>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</si>
  <si>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</si>
  <si>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</si>
  <si>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</si>
  <si>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</si>
  <si>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</si>
  <si>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</si>
  <si>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</si>
  <si>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</si>
  <si>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</si>
  <si>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</si>
  <si>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</si>
  <si>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</si>
  <si>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</si>
  <si>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</si>
  <si>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</si>
  <si>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</si>
  <si>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</si>
  <si>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</si>
  <si>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</si>
  <si>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</si>
  <si>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</si>
  <si>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</si>
  <si>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</si>
  <si>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</si>
  <si>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</si>
  <si>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</si>
  <si>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</si>
  <si>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</si>
  <si>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</si>
  <si>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</si>
  <si>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</si>
  <si>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</si>
  <si>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</si>
  <si>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</si>
  <si>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</si>
  <si>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</si>
  <si>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</si>
  <si>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</si>
  <si>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</si>
  <si>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</si>
  <si>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</si>
  <si>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</si>
  <si>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</si>
  <si>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</si>
  <si>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</si>
  <si>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</si>
  <si>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</si>
  <si>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</si>
  <si>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</si>
  <si>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</si>
  <si>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</si>
  <si>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</si>
  <si>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</si>
  <si>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</si>
  <si>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</si>
  <si>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</si>
  <si>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</si>
  <si>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</si>
  <si>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</si>
  <si>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</si>
  <si>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</si>
  <si>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</si>
  <si>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</si>
  <si>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</si>
  <si>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</si>
  <si>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</si>
  <si>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</si>
  <si>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</si>
  <si>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</si>
  <si>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</si>
  <si>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</si>
  <si>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</si>
  <si>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</si>
  <si>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</si>
  <si>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</si>
  <si>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</si>
  <si>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</si>
  <si>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</si>
  <si>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</si>
  <si>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</si>
  <si>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</si>
  <si>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</si>
  <si>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</si>
  <si>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</si>
  <si>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</si>
  <si>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</si>
  <si>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</si>
  <si>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</si>
  <si>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</si>
  <si>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</si>
  <si>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</si>
  <si>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</si>
  <si>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</si>
  <si>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</si>
  <si>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</si>
  <si>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</si>
  <si>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</si>
  <si>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</si>
  <si>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</si>
  <si>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</si>
  <si>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</si>
  <si>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</si>
  <si>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</si>
  <si>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</si>
  <si>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</si>
  <si>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</si>
  <si>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</si>
  <si>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</si>
  <si>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</si>
  <si>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</si>
  <si>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</si>
  <si>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</si>
  <si>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</si>
  <si>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</si>
  <si>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</si>
  <si>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</si>
  <si>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</si>
  <si>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</si>
  <si>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</si>
  <si>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</si>
  <si>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</si>
  <si>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</si>
  <si>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</si>
  <si>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</si>
  <si>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</si>
  <si>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</si>
  <si>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</si>
  <si>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</si>
  <si>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</si>
  <si>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</si>
  <si>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</si>
  <si>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</si>
  <si>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</si>
  <si>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</si>
  <si>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</si>
  <si>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</si>
  <si>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</si>
  <si>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</si>
  <si>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</si>
  <si>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</si>
  <si>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</si>
  <si>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</si>
  <si>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</si>
  <si>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</si>
  <si>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</si>
  <si>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</si>
  <si>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</si>
  <si>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</si>
  <si>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</si>
  <si>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</si>
  <si>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</si>
  <si>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</si>
  <si>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</si>
  <si>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</si>
  <si>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</si>
  <si>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</si>
  <si>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</si>
  <si>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</si>
  <si>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</si>
  <si>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</si>
  <si>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</si>
  <si>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</si>
  <si>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</si>
  <si>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</si>
  <si>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</si>
  <si>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</si>
  <si>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</si>
  <si>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</si>
  <si>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</si>
  <si>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</si>
  <si>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</si>
  <si>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</si>
  <si>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</si>
  <si>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</si>
  <si>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</si>
  <si>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</si>
  <si>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</si>
  <si>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</si>
  <si>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</si>
  <si>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</si>
  <si>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</si>
  <si>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</si>
  <si>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</si>
  <si>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</si>
  <si>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</si>
  <si>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</si>
  <si>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</si>
  <si>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</si>
  <si>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</si>
  <si>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</si>
  <si>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</si>
  <si>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</si>
  <si>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</si>
  <si>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</si>
  <si>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</si>
  <si>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</si>
  <si>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</si>
  <si>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</si>
  <si>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</si>
  <si>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</si>
  <si>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</si>
  <si>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</si>
  <si>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</si>
  <si>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</si>
  <si>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</si>
  <si>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</si>
  <si>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</si>
  <si>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</si>
  <si>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</si>
  <si>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</si>
  <si>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</si>
  <si>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</si>
  <si>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</si>
  <si>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</si>
  <si>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</si>
  <si>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</si>
  <si>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</si>
  <si>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</si>
  <si>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</si>
  <si>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</si>
  <si>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</si>
  <si>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</si>
  <si>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</si>
  <si>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</si>
  <si>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</si>
  <si>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</si>
  <si>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</si>
  <si>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</si>
  <si>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</si>
  <si>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</si>
  <si>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</si>
  <si>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</si>
  <si>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</si>
  <si>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</si>
  <si>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</si>
  <si>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</si>
  <si>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</si>
  <si>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</si>
  <si>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</si>
  <si>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</si>
  <si>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</si>
  <si>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</si>
  <si>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</si>
  <si>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</si>
  <si>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</si>
  <si>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</si>
  <si>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</si>
  <si>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</si>
  <si>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</si>
  <si>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</si>
  <si>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</si>
  <si>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</si>
  <si>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</si>
  <si>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</si>
  <si>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</si>
  <si>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</si>
  <si>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</si>
  <si>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</si>
  <si>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</si>
  <si>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</si>
  <si>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</si>
  <si>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</si>
  <si>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</si>
  <si>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</si>
  <si>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</si>
  <si>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</si>
  <si>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</si>
  <si>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</si>
  <si>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</si>
  <si>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</si>
  <si>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</si>
  <si>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</si>
  <si>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</si>
  <si>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</si>
  <si>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</si>
  <si>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</si>
  <si>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</si>
  <si>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</si>
  <si>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</si>
  <si>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</si>
  <si>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</si>
  <si>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</si>
  <si>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</si>
  <si>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</si>
  <si>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</si>
  <si>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</si>
  <si>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</si>
  <si>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</si>
  <si>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</si>
  <si>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</si>
  <si>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</si>
  <si>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</si>
  <si>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</si>
  <si>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</si>
  <si>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</si>
  <si>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</si>
  <si>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</si>
  <si>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</si>
  <si>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</si>
  <si>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</si>
  <si>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</si>
  <si>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</si>
  <si>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</si>
  <si>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</si>
  <si>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</si>
  <si>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</si>
  <si>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</si>
  <si>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</si>
  <si>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</si>
  <si>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</si>
  <si>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</si>
  <si>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</si>
  <si>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</si>
  <si>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</si>
  <si>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</si>
  <si>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</si>
  <si>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</si>
  <si>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</si>
  <si>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</si>
  <si>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</si>
  <si>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</si>
  <si>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</si>
  <si>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</si>
  <si>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</si>
  <si>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</si>
  <si>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</si>
  <si>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</si>
  <si>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</si>
  <si>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</si>
  <si>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</si>
  <si>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</si>
  <si>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</si>
  <si>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</si>
  <si>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</si>
  <si>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</si>
  <si>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</si>
  <si>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</si>
  <si>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</si>
  <si>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</si>
  <si>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</si>
  <si>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</si>
  <si>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</si>
  <si>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</si>
  <si>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</si>
  <si>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</si>
  <si>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</si>
  <si>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</si>
  <si>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</si>
  <si>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</si>
  <si>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</si>
  <si>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</si>
  <si>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</si>
  <si>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</si>
  <si>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</si>
  <si>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</si>
  <si>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</si>
  <si>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</si>
  <si>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</si>
  <si>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</si>
  <si>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</si>
  <si>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</si>
  <si>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</si>
  <si>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</si>
  <si>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</si>
  <si>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</si>
  <si>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</si>
  <si>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</si>
  <si>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</si>
  <si>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</si>
  <si>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</si>
  <si>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</si>
  <si>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</si>
  <si>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</si>
  <si>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</si>
  <si>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</si>
  <si>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</si>
  <si>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</si>
  <si>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</si>
  <si>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</si>
  <si>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</si>
  <si>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</si>
  <si>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</si>
  <si>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</si>
  <si>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</si>
  <si>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</si>
  <si>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</si>
  <si>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</si>
  <si>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</si>
  <si>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</si>
  <si>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</si>
  <si>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</si>
  <si>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</si>
  <si>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</si>
  <si>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</si>
  <si>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</si>
  <si>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</si>
  <si>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</si>
  <si>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</si>
  <si>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</si>
  <si>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</si>
  <si>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</si>
  <si>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</si>
  <si>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</si>
  <si>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</si>
  <si>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</si>
  <si>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</si>
  <si>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</si>
  <si>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</si>
  <si>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</si>
  <si>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</si>
  <si>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</si>
  <si>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</si>
  <si>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</si>
  <si>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</si>
  <si>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</si>
  <si>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</si>
  <si>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</si>
  <si>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</si>
  <si>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</si>
  <si>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</si>
  <si>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</si>
  <si>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</si>
  <si>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</si>
  <si>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</si>
  <si>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</si>
  <si>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</si>
  <si>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</si>
  <si>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</si>
  <si>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</si>
  <si>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</si>
  <si>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</si>
  <si>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</si>
  <si>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</si>
  <si>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</si>
  <si>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</si>
  <si>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</si>
  <si>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</si>
  <si>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</si>
  <si>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</si>
  <si>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</si>
  <si>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</si>
  <si>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</si>
  <si>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</si>
  <si>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</si>
  <si>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</si>
  <si>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</si>
  <si>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</si>
  <si>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</si>
  <si>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</si>
  <si>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</si>
  <si>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</si>
  <si>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</si>
  <si>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</si>
  <si>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</si>
  <si>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</si>
  <si>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</si>
  <si>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</si>
  <si>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</si>
  <si>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</si>
  <si>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</si>
  <si>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</si>
  <si>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</si>
  <si>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</si>
  <si>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</si>
  <si>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</si>
  <si>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</si>
  <si>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</si>
  <si>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</si>
  <si>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</si>
  <si>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</si>
  <si>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</si>
  <si>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</si>
  <si>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</si>
  <si>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</si>
  <si>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</si>
  <si>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</si>
  <si>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</si>
  <si>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</si>
  <si>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</si>
  <si>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</si>
  <si>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</si>
  <si>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</si>
  <si>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</si>
  <si>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</si>
  <si>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</si>
  <si>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</si>
  <si>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</si>
  <si>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</si>
  <si>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</si>
  <si>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</si>
  <si>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</si>
  <si>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</si>
  <si>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</si>
  <si>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</si>
  <si>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</si>
  <si>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</si>
  <si>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</si>
  <si>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</si>
  <si>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</si>
  <si>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</si>
  <si>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</si>
  <si>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</si>
  <si>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</si>
  <si>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</si>
  <si>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</si>
  <si>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</si>
  <si>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</si>
  <si>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</si>
  <si>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</si>
  <si>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</si>
  <si>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</si>
  <si>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</si>
  <si>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</si>
  <si>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</si>
  <si>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</si>
  <si>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</si>
  <si>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</si>
  <si>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</si>
  <si>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</si>
  <si>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</si>
  <si>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</si>
  <si>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</si>
  <si>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</si>
  <si>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</si>
  <si>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</si>
  <si>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</si>
  <si>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</si>
  <si>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</si>
  <si>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</si>
  <si>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</si>
  <si>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</si>
  <si>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</si>
  <si>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</si>
  <si>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</si>
  <si>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</si>
  <si>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</si>
  <si>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</si>
  <si>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</si>
  <si>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</si>
  <si>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</si>
  <si>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</si>
  <si>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</si>
  <si>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</si>
  <si>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</si>
  <si>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</si>
  <si>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</si>
  <si>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</si>
  <si>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</si>
  <si>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</si>
  <si>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</si>
  <si>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</si>
  <si>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</si>
  <si>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</si>
  <si>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</si>
  <si>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</si>
  <si>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</si>
  <si>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</si>
  <si>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</si>
  <si>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</si>
  <si>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</si>
  <si>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</si>
  <si>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</si>
  <si>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</si>
  <si>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</si>
  <si>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</si>
  <si>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</si>
  <si>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</si>
  <si>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</si>
  <si>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</si>
  <si>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</si>
  <si>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</si>
  <si>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</si>
  <si>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</si>
  <si>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</si>
  <si>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</si>
  <si>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</si>
  <si>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</si>
  <si>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</si>
  <si>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</si>
  <si>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</si>
  <si>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</si>
  <si>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</si>
  <si>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</si>
  <si>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</si>
  <si>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</si>
  <si>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</si>
  <si>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</si>
  <si>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</si>
  <si>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</si>
  <si>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</si>
  <si>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</si>
  <si>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</si>
  <si>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</si>
  <si>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</si>
  <si>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</si>
  <si>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</si>
  <si>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</si>
  <si>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</si>
  <si>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</si>
  <si>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</si>
  <si>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</si>
  <si>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</si>
  <si>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</si>
  <si>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</si>
  <si>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</si>
  <si>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</si>
  <si>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</si>
  <si>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</si>
  <si>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</si>
  <si>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</si>
  <si>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</si>
  <si>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</si>
  <si>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</si>
  <si>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</si>
  <si>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</si>
  <si>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</si>
  <si>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</si>
  <si>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</si>
  <si>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</si>
  <si>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</si>
  <si>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</si>
  <si>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</si>
  <si>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</si>
  <si>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</si>
  <si>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</si>
  <si>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</si>
  <si>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</si>
  <si>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</si>
  <si>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</si>
  <si>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</si>
  <si>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</si>
  <si>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</si>
  <si>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</si>
  <si>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</si>
  <si>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</si>
  <si>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</si>
  <si>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</si>
  <si>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</si>
  <si>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</si>
  <si>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</si>
  <si>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</si>
  <si>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</si>
  <si>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</si>
  <si>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</si>
  <si>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</si>
  <si>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</si>
  <si>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</si>
  <si>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</si>
  <si>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</si>
  <si>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</si>
  <si>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</si>
  <si>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</si>
  <si>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</si>
  <si>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</si>
  <si>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</si>
  <si>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</si>
  <si>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</si>
  <si>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</si>
  <si>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</si>
  <si>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</si>
  <si>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</si>
  <si>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</si>
  <si>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</si>
  <si>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</si>
  <si>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</si>
  <si>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</si>
  <si>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</si>
  <si>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</si>
  <si>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</si>
  <si>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</si>
  <si>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</si>
  <si>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</si>
  <si>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</si>
  <si>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</si>
  <si>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</si>
  <si>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</si>
  <si>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</si>
  <si>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</si>
  <si>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</si>
  <si>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</si>
  <si>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</si>
  <si>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</si>
  <si>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</si>
  <si>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</si>
  <si>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</si>
  <si>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</si>
  <si>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</si>
  <si>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</si>
  <si>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</si>
  <si>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</si>
  <si>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</si>
  <si>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</si>
  <si>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</si>
  <si>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</si>
  <si>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</si>
  <si>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</si>
  <si>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</si>
  <si>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</si>
  <si>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</si>
  <si>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</si>
  <si>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</si>
  <si>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</si>
  <si>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</si>
  <si>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</si>
  <si>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</si>
  <si>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</si>
  <si>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</si>
  <si>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</si>
  <si>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</si>
  <si>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</si>
  <si>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</si>
  <si>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</si>
  <si>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</si>
  <si>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</si>
  <si>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</si>
  <si>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</si>
  <si>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</si>
  <si>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生产用房</t>
  </si>
  <si>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</si>
  <si>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</si>
  <si>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</si>
  <si>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</si>
  <si>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</si>
  <si>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</si>
  <si>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</si>
  <si>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</si>
  <si>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</si>
  <si>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</si>
  <si>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</si>
  <si>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</si>
  <si>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</si>
  <si>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商务楼</t>
  </si>
  <si>
    <t>标准写字楼</t>
  </si>
  <si>
    <t>混合</t>
  </si>
  <si>
    <t>钢混</t>
  </si>
  <si>
    <t>简装</t>
  </si>
  <si>
    <t>精装修</t>
  </si>
  <si>
    <r>
      <rPr>
        <sz val="11"/>
        <color indexed="8"/>
        <rFont val="宋体"/>
        <charset val="134"/>
      </rPr>
      <t>写字楼等级</t>
    </r>
  </si>
  <si>
    <t>自管</t>
  </si>
  <si>
    <t>专业物业</t>
  </si>
  <si>
    <t>标准层高</t>
  </si>
  <si>
    <r>
      <rPr>
        <sz val="11"/>
        <rFont val="宋体"/>
        <charset val="134"/>
      </rPr>
      <t>单套建筑面积</t>
    </r>
  </si>
  <si>
    <r>
      <rPr>
        <sz val="11"/>
        <rFont val="Arial"/>
        <charset val="134"/>
      </rPr>
      <t>17/</t>
    </r>
    <r>
      <rPr>
        <sz val="11"/>
        <rFont val="宋体"/>
        <charset val="134"/>
      </rPr>
      <t>月·㎡</t>
    </r>
  </si>
  <si>
    <t>高速路</t>
  </si>
  <si>
    <t>快速路</t>
  </si>
  <si>
    <t>高区</t>
  </si>
  <si>
    <t>中区</t>
  </si>
  <si>
    <t>低区</t>
  </si>
  <si>
    <t>普装</t>
  </si>
  <si>
    <t>毛坯</t>
  </si>
  <si>
    <t>普通物业</t>
  </si>
  <si>
    <r>
      <rPr>
        <sz val="11"/>
        <rFont val="宋体"/>
        <charset val="134"/>
      </rPr>
      <t>层高</t>
    </r>
  </si>
  <si>
    <t>平房</t>
  </si>
  <si>
    <t>独栋办公楼</t>
  </si>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</sst>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name val="宋体"/>
      <charset val="134"/>
    </font>
    <font>
      <sz val="12"/>
      <name val="楷体_GB2312"/>
      <charset val="134"/>
    </font>
    <font>
      <sz val="10"/>
      <name val="宋体"/>
      <charset val="134"/>
    </font>
    <font>
      <sz val="16"/>
      <name val="宋体"/>
      <charset val="134"/>
    </font>
    <font>
      <sz val="9"/>
      <name val="宋体"/>
      <charset val="134"/>
    </font>
    <font>
      <sz val="12"/>
      <name val="宋体"/>
      <charset val="0"/>
      <scheme val="minor"/>
    </font>
    <font>
      <sz val="12"/>
      <name val="仿宋_GB2312"/>
      <charset val="134"/>
    </font>
    <font>
      <sz val="11"/>
      <name val="宋体"/>
      <charset val="134"/>
    </font>
    <font>
      <sz val="14"/>
      <name val="楷体_GB2312"/>
      <charset val="134"/>
    </font>
    <font>
      <sz val="11"/>
      <name val="楷体_GB2312"/>
      <charset val="134"/>
    </font>
    <font>
      <b/>
      <sz val="11"/>
      <name val="宋体"/>
      <charset val="134"/>
    </font>
    <font>
      <b/>
      <sz val="8"/>
      <name val="宋体"/>
      <charset val="134"/>
    </font>
    <font>
      <b/>
      <sz val="9"/>
      <name val="宋体"/>
      <charset val="134"/>
    </font>
    <font>
      <b/>
      <sz val="14"/>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tint="-0.149876400036622"/>
        <bgColor indexed="64"/>
      </patternFill>
    </fill>
    <fill>
      <patternFill patternType="solid">
        <fgColor theme="9" tint="0.5999938962981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2" fillId="53" borderId="0" applyNumberFormat="0" applyBorder="0" applyAlignment="0" applyProtection="0">
      <alignment vertical="center"/>
    </xf>
    <xf numFmtId="0" fontId="172" fillId="54" borderId="0" applyNumberFormat="0" applyBorder="0" applyAlignment="0" applyProtection="0">
      <alignment vertical="center"/>
    </xf>
    <xf numFmtId="0" fontId="171" fillId="55" borderId="0" applyNumberFormat="0" applyBorder="0" applyAlignment="0" applyProtection="0">
      <alignment vertical="center"/>
    </xf>
    <xf numFmtId="9" fontId="98"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8" fillId="0" borderId="0"/>
    <xf numFmtId="0" fontId="116" fillId="0" borderId="0">
      <alignment vertical="center"/>
    </xf>
    <xf numFmtId="0" fontId="116" fillId="0" borderId="0"/>
    <xf numFmtId="0" fontId="173" fillId="0" borderId="0">
      <alignment vertical="center"/>
    </xf>
    <xf numFmtId="0" fontId="173" fillId="0" borderId="0">
      <alignment vertical="center"/>
    </xf>
    <xf numFmtId="0" fontId="173" fillId="0" borderId="0">
      <alignment vertical="center"/>
    </xf>
    <xf numFmtId="0" fontId="116" fillId="0" borderId="0">
      <alignment vertical="center"/>
    </xf>
    <xf numFmtId="0" fontId="173" fillId="0" borderId="0">
      <alignment vertical="center"/>
    </xf>
    <xf numFmtId="0" fontId="116"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79"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0" fontId="29" fillId="10"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0" fontId="86" fillId="3" borderId="0" xfId="0" applyFont="1" applyFill="1" applyAlignment="1">
      <alignment horizontal="left" vertical="center"/>
    </xf>
    <xf numFmtId="9" fontId="86" fillId="0" borderId="0" xfId="0" applyNumberFormat="1" applyFont="1" applyAlignment="1">
      <alignment horizontal="left" vertical="center"/>
    </xf>
    <xf numFmtId="0" fontId="86" fillId="19"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16"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1"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88"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4"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7"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7"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7"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7"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116"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6" fillId="0" borderId="134" xfId="64" applyFont="1" applyBorder="1" applyAlignment="1" applyProtection="1">
      <alignment vertical="center" wrapText="1"/>
    </xf>
    <xf numFmtId="0" fontId="126" fillId="0" borderId="134"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北京市东城区（原崇文区）光明西街3号、甲3号3号楼房地产抵押价值预评估</v>
      </c>
    </row>
    <row r="3" s="3718" customFormat="1" spans="1:2">
      <c r="A3" s="3726" t="s">
        <v>3</v>
      </c>
      <c r="B3" s="3727">
        <f>'预评函-封皮'!B40</f>
        <v>0</v>
      </c>
    </row>
    <row r="4" s="3718" customFormat="1" spans="1:2">
      <c r="A4" s="3726" t="s">
        <v>4</v>
      </c>
      <c r="B4" s="3727" t="str">
        <f ca="1">'预评函-封皮'!B46</f>
        <v>郑燚（注册号：1120070131)、崔锴（注册号：1120100036)</v>
      </c>
    </row>
    <row r="5" s="3716" customFormat="1" ht="15" spans="1:2">
      <c r="A5" s="3728" t="s">
        <v>5</v>
      </c>
      <c r="B5" s="3729" t="str">
        <f>'预评函-封皮'!B49</f>
        <v>康正预评字号</v>
      </c>
    </row>
    <row r="6" s="3717" customFormat="1" ht="15" spans="1:2">
      <c r="A6" s="3724" t="s">
        <v>6</v>
      </c>
      <c r="B6" s="3725" t="str">
        <f>'预评函-1'!A4</f>
        <v>受贵公司委托，我公司对北京市东城区（原崇文区）光明西街3号、甲3号3号楼房地产抵押价值进行了预评估。</v>
      </c>
    </row>
    <row r="7" s="3718" customFormat="1" spans="1:2">
      <c r="A7" s="3726" t="s">
        <v>7</v>
      </c>
      <c r="B7" s="3727" t="str">
        <f>'预评函-1'!A7</f>
        <v>估价对象为北京市东城区（原崇文区）光明西街3号、甲3号3号楼房地产，为所有。根据《国有土地使用证》[]，估价对象（分摊）出让国有建设用地使用权面积为0平方米，建筑面积为695.5平方米。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2024年4月12日（评估专业人员实地查勘之日）</v>
      </c>
    </row>
    <row r="13" s="3718" customFormat="1" spans="1:2">
      <c r="A13" s="3726" t="s">
        <v>13</v>
      </c>
      <c r="B13" s="3727"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2548</v>
      </c>
    </row>
    <row r="21" s="3718" customFormat="1" spans="1:2">
      <c r="A21" s="3726" t="s">
        <v>21</v>
      </c>
      <c r="B21" s="3727">
        <f ca="1">'预评函-2'!D7</f>
        <v>36636</v>
      </c>
    </row>
    <row r="22" s="3718" customFormat="1" spans="1:2">
      <c r="A22" s="3726" t="s">
        <v>22</v>
      </c>
      <c r="B22" s="3727" t="str">
        <f ca="1">'预评函-2'!D6</f>
        <v>贰仟伍佰肆拾捌万元整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2548</v>
      </c>
    </row>
    <row r="31" s="3718" customFormat="1" spans="1:2">
      <c r="A31" s="3726" t="s">
        <v>31</v>
      </c>
      <c r="B31" s="3727">
        <f ca="1">'预评函-2'!D15</f>
        <v>36636</v>
      </c>
    </row>
    <row r="32" s="3718" customFormat="1" spans="1:2">
      <c r="A32" s="3726" t="s">
        <v>32</v>
      </c>
      <c r="B32" s="3727" t="str">
        <f ca="1">'预评函-2'!D14</f>
        <v>贰仟伍佰肆拾捌万元整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北京市东城区（原崇文区）光明西街3号、甲3号3号楼房地产</v>
      </c>
    </row>
    <row r="42" s="3718" customFormat="1" spans="1:2">
      <c r="A42" s="3726" t="s">
        <v>42</v>
      </c>
      <c r="B42" s="3727" t="str">
        <f>'预评函-3'!B2</f>
        <v>建筑面积</v>
      </c>
    </row>
    <row r="43" s="3718" customFormat="1" spans="1:2">
      <c r="A43" s="3726" t="s">
        <v>43</v>
      </c>
      <c r="B43" s="3727">
        <f>'预评函-3'!B4</f>
        <v>695.5</v>
      </c>
    </row>
    <row r="44" s="3718" customFormat="1" spans="1:2">
      <c r="A44" s="3726" t="s">
        <v>44</v>
      </c>
      <c r="B44" s="3727" t="str">
        <f>'预评函-3'!C2</f>
        <v>(分摊)土地面积</v>
      </c>
    </row>
    <row r="45" s="3718" customFormat="1" spans="1:2">
      <c r="A45" s="3726" t="s">
        <v>45</v>
      </c>
      <c r="B45" s="3727">
        <f>'预评函-3'!C4</f>
        <v>0</v>
      </c>
    </row>
    <row r="46" s="3718" customFormat="1" spans="1:2">
      <c r="A46" s="3726" t="s">
        <v>46</v>
      </c>
      <c r="B46" s="3727" t="str">
        <f>'预评函-3'!D2</f>
        <v>出让国有建设用地使用权价值</v>
      </c>
    </row>
    <row r="47" s="3718" customFormat="1" spans="1:2">
      <c r="A47" s="3726" t="s">
        <v>47</v>
      </c>
      <c r="B47" s="3727">
        <f ca="1">'预评函-3'!D4</f>
        <v>2418</v>
      </c>
    </row>
    <row r="48" s="3718" customFormat="1" spans="1:2">
      <c r="A48" s="3726" t="s">
        <v>48</v>
      </c>
      <c r="B48" s="3727">
        <f ca="1">'预评函-3'!E4</f>
        <v>34766</v>
      </c>
    </row>
    <row r="49" s="3718" customFormat="1" spans="1:2">
      <c r="A49" s="3726" t="s">
        <v>49</v>
      </c>
      <c r="B49" s="3727" t="str">
        <f ca="1">'预评函-3'!D5</f>
        <v>贰仟肆佰壹拾捌万元整</v>
      </c>
    </row>
    <row r="50" s="3718" customFormat="1" spans="1:2">
      <c r="A50" s="3726" t="s">
        <v>50</v>
      </c>
      <c r="B50" s="3727" t="str">
        <f>'预评函-3'!F2</f>
        <v>在建建筑物价值</v>
      </c>
    </row>
    <row r="51" s="3718" customFormat="1" spans="1:2">
      <c r="A51" s="3726" t="s">
        <v>51</v>
      </c>
      <c r="B51" s="3727">
        <f ca="1">'预评函-3'!F4</f>
        <v>130</v>
      </c>
    </row>
    <row r="52" s="3718" customFormat="1" spans="1:2">
      <c r="A52" s="3726" t="s">
        <v>52</v>
      </c>
      <c r="B52" s="3727">
        <f ca="1">'预评函-3'!G4</f>
        <v>1869</v>
      </c>
    </row>
    <row r="53" s="3718" customFormat="1" spans="1:2">
      <c r="A53" s="3726" t="s">
        <v>53</v>
      </c>
      <c r="B53" s="3727" t="str">
        <f ca="1">'预评函-3'!F5</f>
        <v>壹佰叁拾万元整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郑燚</v>
      </c>
    </row>
    <row r="71" spans="1:2">
      <c r="A71" s="3726" t="s">
        <v>71</v>
      </c>
      <c r="B71" s="3727">
        <f ca="1">'预评函-4'!B4</f>
        <v>1120070131</v>
      </c>
    </row>
    <row r="72" spans="1:2">
      <c r="A72" s="3726" t="s">
        <v>72</v>
      </c>
      <c r="B72" s="3733" t="str">
        <f>'预评函-4'!A5</f>
        <v>崔锴</v>
      </c>
    </row>
    <row r="73" s="3716" customFormat="1" ht="15" spans="1:2">
      <c r="A73" s="3728" t="s">
        <v>73</v>
      </c>
      <c r="B73" s="3729">
        <f ca="1">'预评函-4'!B5</f>
        <v>1120100036</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320</v>
      </c>
      <c r="C22" s="3569"/>
    </row>
    <row r="23" spans="1:3">
      <c r="A23" s="3568" t="s">
        <v>321</v>
      </c>
      <c r="B23" s="3568" t="s">
        <v>322</v>
      </c>
      <c r="C23" s="3569"/>
    </row>
    <row r="24" spans="1:3">
      <c r="A24" s="3568" t="s">
        <v>323</v>
      </c>
      <c r="B24" s="3568" t="s">
        <v>322</v>
      </c>
      <c r="C24" s="3569"/>
    </row>
    <row r="25" spans="1:3">
      <c r="A25" s="3568" t="s">
        <v>324</v>
      </c>
      <c r="B25" s="3568" t="s">
        <v>322</v>
      </c>
      <c r="C25" s="3569"/>
    </row>
    <row r="26" spans="1:3">
      <c r="A26" s="3568" t="s">
        <v>325</v>
      </c>
      <c r="B26" s="3568" t="s">
        <v>322</v>
      </c>
      <c r="C26" s="3569"/>
    </row>
    <row r="27" spans="1:3">
      <c r="A27" s="3568" t="s">
        <v>322</v>
      </c>
      <c r="B27" s="3568" t="s">
        <v>322</v>
      </c>
      <c r="C27" s="3569"/>
    </row>
    <row r="28" spans="1:3">
      <c r="A28" s="3568" t="s">
        <v>322</v>
      </c>
      <c r="B28" s="3568" t="s">
        <v>322</v>
      </c>
      <c r="C28" s="3569"/>
    </row>
    <row r="29" spans="1:3">
      <c r="A29" s="3568" t="s">
        <v>322</v>
      </c>
      <c r="B29" s="3568" t="s">
        <v>322</v>
      </c>
      <c r="C29" s="3569"/>
    </row>
    <row r="30" spans="1:3">
      <c r="A30" s="3568" t="s">
        <v>322</v>
      </c>
      <c r="B30" s="3568" t="s">
        <v>322</v>
      </c>
      <c r="C30" s="3569"/>
    </row>
    <row r="31" spans="1:3">
      <c r="A31" s="3568" t="s">
        <v>322</v>
      </c>
      <c r="B31" s="3568" t="s">
        <v>322</v>
      </c>
      <c r="C31" s="3569"/>
    </row>
    <row r="32" spans="1:3">
      <c r="A32" s="3568" t="s">
        <v>322</v>
      </c>
      <c r="B32" s="3568" t="s">
        <v>322</v>
      </c>
      <c r="C32" s="3569"/>
    </row>
    <row r="33" spans="1:3">
      <c r="A33" s="3568" t="s">
        <v>322</v>
      </c>
      <c r="B33" s="3568" t="s">
        <v>322</v>
      </c>
      <c r="C33" s="3569"/>
    </row>
    <row r="34" spans="1:3">
      <c r="A34" s="3568" t="s">
        <v>322</v>
      </c>
      <c r="B34" s="3568" t="s">
        <v>322</v>
      </c>
      <c r="C34" s="3569"/>
    </row>
    <row r="35" spans="1:3">
      <c r="A35" s="3568" t="s">
        <v>322</v>
      </c>
      <c r="B35" s="3568" t="s">
        <v>322</v>
      </c>
      <c r="C35" s="3569"/>
    </row>
    <row r="36" spans="1:3">
      <c r="A36" s="3568" t="s">
        <v>322</v>
      </c>
      <c r="B36" s="3568" t="s">
        <v>322</v>
      </c>
      <c r="C36" s="3569"/>
    </row>
    <row r="37" spans="1:3">
      <c r="A37" s="3568" t="s">
        <v>322</v>
      </c>
      <c r="B37" s="3568" t="s">
        <v>322</v>
      </c>
      <c r="C37" s="3569"/>
    </row>
    <row r="38" spans="1:3">
      <c r="A38" s="3568" t="s">
        <v>322</v>
      </c>
      <c r="B38" s="3568" t="s">
        <v>322</v>
      </c>
      <c r="C38" s="3569"/>
    </row>
    <row r="39" spans="1:3">
      <c r="A39" s="3568" t="s">
        <v>322</v>
      </c>
      <c r="B39" s="3568" t="s">
        <v>322</v>
      </c>
      <c r="C39" s="3569"/>
    </row>
    <row r="40" spans="1:3">
      <c r="A40" s="3568" t="s">
        <v>322</v>
      </c>
      <c r="B40" s="3568" t="s">
        <v>322</v>
      </c>
      <c r="C40" s="3569"/>
    </row>
    <row r="41" spans="1:3">
      <c r="A41" s="3568" t="s">
        <v>322</v>
      </c>
      <c r="B41" s="3568" t="s">
        <v>322</v>
      </c>
      <c r="C41" s="3569"/>
    </row>
    <row r="42" spans="1:3">
      <c r="A42" s="3568" t="s">
        <v>322</v>
      </c>
      <c r="B42" s="3568" t="s">
        <v>322</v>
      </c>
      <c r="C42" s="3569"/>
    </row>
    <row r="43" spans="1:3">
      <c r="A43" s="3568" t="s">
        <v>322</v>
      </c>
      <c r="B43" s="3568" t="s">
        <v>322</v>
      </c>
      <c r="C43" s="3569"/>
    </row>
    <row r="44" spans="1:3">
      <c r="A44" s="3568" t="s">
        <v>322</v>
      </c>
      <c r="B44" s="3568" t="s">
        <v>322</v>
      </c>
      <c r="C44" s="3569"/>
    </row>
    <row r="45" spans="1:3">
      <c r="A45" s="3568" t="s">
        <v>322</v>
      </c>
      <c r="B45" s="3568" t="s">
        <v>322</v>
      </c>
      <c r="C45" s="3569"/>
    </row>
    <row r="46" spans="1:3">
      <c r="A46" s="3568" t="s">
        <v>322</v>
      </c>
      <c r="B46" s="3568" t="s">
        <v>322</v>
      </c>
      <c r="C46" s="3569"/>
    </row>
    <row r="47" spans="1:3">
      <c r="A47" s="3568" t="s">
        <v>322</v>
      </c>
      <c r="B47" s="3568" t="s">
        <v>322</v>
      </c>
      <c r="C47" s="3569"/>
    </row>
    <row r="48" spans="1:3">
      <c r="A48" s="3568" t="s">
        <v>322</v>
      </c>
      <c r="B48" s="3568" t="s">
        <v>322</v>
      </c>
      <c r="C48" s="3569"/>
    </row>
    <row r="49" spans="1:3">
      <c r="A49" s="3568" t="s">
        <v>322</v>
      </c>
      <c r="B49" s="3568" t="s">
        <v>322</v>
      </c>
      <c r="C49" s="3569"/>
    </row>
    <row r="50" spans="1:3">
      <c r="A50" s="3568" t="s">
        <v>322</v>
      </c>
      <c r="B50" s="3568" t="s">
        <v>322</v>
      </c>
      <c r="C50" s="3569"/>
    </row>
    <row r="51" spans="1:4">
      <c r="A51" s="3573" t="s">
        <v>326</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74" t="s">
        <v>327</v>
      </c>
    </row>
    <row r="52" spans="1:4">
      <c r="A52" s="3573" t="s">
        <v>328</v>
      </c>
      <c r="B52" s="3573" t="s">
        <v>329</v>
      </c>
      <c r="C52" s="3561" t="s">
        <v>330</v>
      </c>
      <c r="D52" s="3561" t="s">
        <v>331</v>
      </c>
    </row>
    <row r="53" spans="1:3">
      <c r="A53" s="3565" t="s">
        <v>332</v>
      </c>
      <c r="B53" s="3574" t="s">
        <v>333</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334</v>
      </c>
      <c r="C54" s="3561" t="s">
        <v>335</v>
      </c>
    </row>
    <row r="55" spans="1:3">
      <c r="A55" s="3565"/>
      <c r="B55" s="3574" t="s">
        <v>336</v>
      </c>
      <c r="C55" s="3561" t="s">
        <v>337</v>
      </c>
    </row>
    <row r="56" spans="1:3">
      <c r="A56" s="3565"/>
      <c r="B56" s="3574" t="s">
        <v>338</v>
      </c>
      <c r="C56" s="3561" t="s">
        <v>339</v>
      </c>
    </row>
    <row r="57" spans="1:3">
      <c r="A57" s="3565"/>
      <c r="B57" s="3574" t="s">
        <v>340</v>
      </c>
      <c r="C57" s="3561" t="s">
        <v>341</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342</v>
      </c>
      <c r="B1" s="3510"/>
      <c r="C1" s="3510"/>
      <c r="D1" s="3510"/>
      <c r="E1" s="3510"/>
      <c r="F1" s="3511"/>
      <c r="I1" s="3552" t="s">
        <v>343</v>
      </c>
      <c r="J1" s="348"/>
      <c r="K1" s="348"/>
      <c r="L1" s="348"/>
      <c r="M1" s="348"/>
      <c r="N1" s="3553"/>
      <c r="O1" s="3553"/>
      <c r="P1" s="3553"/>
      <c r="Q1" s="3553"/>
      <c r="R1" s="3553"/>
    </row>
    <row r="2" spans="1:18">
      <c r="A2" s="3512"/>
      <c r="B2" s="3513"/>
      <c r="C2" s="3513"/>
      <c r="D2" s="3513"/>
      <c r="E2" s="3513"/>
      <c r="F2" s="3514"/>
      <c r="I2" s="3554" t="s">
        <v>344</v>
      </c>
      <c r="J2" s="3554"/>
      <c r="K2" s="3554"/>
      <c r="L2" s="3554"/>
      <c r="M2" s="3554"/>
      <c r="N2" s="3554"/>
      <c r="O2" s="3554"/>
      <c r="P2" s="3554"/>
      <c r="Q2" s="3554"/>
      <c r="R2" s="3554"/>
    </row>
    <row r="3" spans="1:18">
      <c r="A3" s="503" t="s">
        <v>345</v>
      </c>
      <c r="B3" s="3515">
        <f>项目基本情况!D3</f>
        <v>45394</v>
      </c>
      <c r="C3" s="504"/>
      <c r="D3" s="504"/>
      <c r="E3" s="504"/>
      <c r="F3" s="3514"/>
      <c r="I3" s="3555"/>
      <c r="J3" s="3555" t="s">
        <v>346</v>
      </c>
      <c r="K3" s="3555" t="s">
        <v>347</v>
      </c>
      <c r="L3" s="3555" t="s">
        <v>348</v>
      </c>
      <c r="M3" s="3555" t="s">
        <v>349</v>
      </c>
      <c r="N3" s="3556" t="s">
        <v>350</v>
      </c>
      <c r="O3" s="3556" t="s">
        <v>351</v>
      </c>
      <c r="P3" s="3556" t="s">
        <v>352</v>
      </c>
      <c r="Q3" s="3556" t="s">
        <v>353</v>
      </c>
      <c r="R3" s="3556" t="s">
        <v>354</v>
      </c>
    </row>
    <row r="4" spans="1:18">
      <c r="A4" s="503" t="s">
        <v>355</v>
      </c>
      <c r="B4" s="504" t="s">
        <v>356</v>
      </c>
      <c r="C4" s="504" t="s">
        <v>357</v>
      </c>
      <c r="D4" s="504" t="s">
        <v>358</v>
      </c>
      <c r="E4" s="504" t="s">
        <v>359</v>
      </c>
      <c r="F4" s="3514"/>
      <c r="I4" s="3555" t="s">
        <v>360</v>
      </c>
      <c r="J4" s="3555">
        <v>80</v>
      </c>
      <c r="K4" s="3555">
        <v>70</v>
      </c>
      <c r="L4" s="3555">
        <v>20</v>
      </c>
      <c r="M4" s="3555">
        <v>30</v>
      </c>
      <c r="N4" s="504">
        <v>45</v>
      </c>
      <c r="O4" s="504">
        <v>60</v>
      </c>
      <c r="P4" s="504">
        <v>50</v>
      </c>
      <c r="Q4" s="504">
        <v>20</v>
      </c>
      <c r="R4" s="504">
        <v>375</v>
      </c>
    </row>
    <row r="5" spans="1:18">
      <c r="A5" s="3516">
        <v>40</v>
      </c>
      <c r="B5" s="3515">
        <v>46375</v>
      </c>
      <c r="C5" s="504">
        <f>ROUNDDOWN(MIN((B5-B3)/365,A5),2)</f>
        <v>2.68</v>
      </c>
      <c r="D5" s="3517">
        <f>IF(ISERROR(ROUND(POWER(1+E5,A5-C5)*(POWER(1+E5,C5)-1)/(POWER(1+E5,A5)-1),3)),0,ROUND(POWER(1+E5,A5-C5)*(POWER(1+E5,C5)-1)/(POWER(1+E5,A5)-1),4))</f>
        <v>0.126</v>
      </c>
      <c r="E5" s="3518">
        <v>0.04</v>
      </c>
      <c r="F5" s="3514"/>
      <c r="I5" s="3555" t="s">
        <v>361</v>
      </c>
      <c r="J5" s="3555">
        <v>70</v>
      </c>
      <c r="K5" s="3555">
        <v>60</v>
      </c>
      <c r="L5" s="3555">
        <v>15</v>
      </c>
      <c r="M5" s="3555">
        <v>25</v>
      </c>
      <c r="N5" s="504">
        <v>40</v>
      </c>
      <c r="O5" s="504">
        <v>50</v>
      </c>
      <c r="P5" s="504">
        <v>40</v>
      </c>
      <c r="Q5" s="504">
        <v>15</v>
      </c>
      <c r="R5" s="504">
        <v>315</v>
      </c>
    </row>
    <row r="6" spans="1:18">
      <c r="A6" s="3516">
        <v>50</v>
      </c>
      <c r="B6" s="3515">
        <v>50028</v>
      </c>
      <c r="C6" s="504">
        <f>ROUNDDOWN(MIN((B6-B3)/365,A6),2)</f>
        <v>12.69</v>
      </c>
      <c r="D6" s="3517">
        <f>IF(ISERROR(ROUND(POWER(1+E6,A6-C6)*(POWER(1+E6,C6)-1)/(POWER(1+E6,A6)-1),3)),0,ROUND(POWER(1+E6,A6-C6)*(POWER(1+E6,C6)-1)/(POWER(1+E6,A6)-1),4))</f>
        <v>0.4563</v>
      </c>
      <c r="E6" s="3518">
        <v>0.04</v>
      </c>
      <c r="F6" s="3514"/>
      <c r="I6" s="3555" t="s">
        <v>362</v>
      </c>
      <c r="J6" s="3555">
        <v>60</v>
      </c>
      <c r="K6" s="3555">
        <v>50</v>
      </c>
      <c r="L6" s="3555">
        <v>10</v>
      </c>
      <c r="M6" s="3555">
        <v>20</v>
      </c>
      <c r="N6" s="504">
        <v>35</v>
      </c>
      <c r="O6" s="504">
        <v>40</v>
      </c>
      <c r="P6" s="504">
        <v>30</v>
      </c>
      <c r="Q6" s="504">
        <v>10</v>
      </c>
      <c r="R6" s="504">
        <v>255</v>
      </c>
    </row>
    <row r="7" spans="1:6">
      <c r="A7" s="3516">
        <v>70</v>
      </c>
      <c r="B7" s="3515">
        <v>57333</v>
      </c>
      <c r="C7" s="504">
        <f>ROUNDDOWN(MIN((B7-B3)/365,A7),2)</f>
        <v>32.7</v>
      </c>
      <c r="D7" s="3517">
        <f>IF(ISERROR(ROUND(POWER(1+E7,A7-C7)*(POWER(1+E7,C7)-1)/(POWER(1+E7,A7)-1),3)),0,ROUND(POWER(1+E7,A7-C7)*(POWER(1+E7,C7)-1)/(POWER(1+E7,A7)-1),4))</f>
        <v>0.7723</v>
      </c>
      <c r="E7" s="3518">
        <v>0.04</v>
      </c>
      <c r="F7" s="3514"/>
    </row>
    <row r="8" spans="1:6">
      <c r="A8" s="3512"/>
      <c r="B8" s="3513"/>
      <c r="C8" s="3513"/>
      <c r="D8" s="3513"/>
      <c r="E8" s="3513"/>
      <c r="F8" s="3514"/>
    </row>
    <row r="9" spans="1:6">
      <c r="A9" s="503" t="s">
        <v>363</v>
      </c>
      <c r="B9" s="504"/>
      <c r="C9" s="504"/>
      <c r="D9" s="504"/>
      <c r="E9" s="504"/>
      <c r="F9" s="556"/>
    </row>
    <row r="10" spans="1:6">
      <c r="A10" s="503" t="s">
        <v>364</v>
      </c>
      <c r="B10" s="504"/>
      <c r="C10" s="504"/>
      <c r="D10" s="504" t="s">
        <v>359</v>
      </c>
      <c r="E10" s="504"/>
      <c r="F10" s="556" t="s">
        <v>358</v>
      </c>
    </row>
    <row r="11" spans="1:6">
      <c r="A11" s="503" t="s">
        <v>365</v>
      </c>
      <c r="B11" s="3519">
        <v>70</v>
      </c>
      <c r="C11" s="504" t="s">
        <v>366</v>
      </c>
      <c r="D11" s="3520">
        <v>0.045</v>
      </c>
      <c r="E11" s="504" t="s">
        <v>367</v>
      </c>
      <c r="F11" s="3521">
        <f>ROUND(1-(1/(POWER(1+D11,B11))),4)</f>
        <v>0.9541</v>
      </c>
    </row>
    <row r="12" spans="1:6">
      <c r="A12" s="503" t="s">
        <v>368</v>
      </c>
      <c r="B12" s="3519">
        <v>40</v>
      </c>
      <c r="C12" s="504" t="s">
        <v>369</v>
      </c>
      <c r="D12" s="3520">
        <v>0.045</v>
      </c>
      <c r="E12" s="504" t="s">
        <v>370</v>
      </c>
      <c r="F12" s="3521">
        <f>ROUND(1-(1/(POWER(1+D12,B12))),4)</f>
        <v>0.8281</v>
      </c>
    </row>
    <row r="13" spans="1:6">
      <c r="A13" s="503" t="s">
        <v>371</v>
      </c>
      <c r="B13" s="504"/>
      <c r="C13" s="504"/>
      <c r="D13" s="3513"/>
      <c r="E13" s="3513"/>
      <c r="F13" s="3514"/>
    </row>
    <row r="14" spans="1:6">
      <c r="A14" s="503" t="s">
        <v>372</v>
      </c>
      <c r="B14" s="3519">
        <v>5000</v>
      </c>
      <c r="C14" s="3522"/>
      <c r="D14" s="3513"/>
      <c r="E14" s="3513"/>
      <c r="F14" s="3514"/>
    </row>
    <row r="15" spans="1:6">
      <c r="A15" s="503" t="s">
        <v>373</v>
      </c>
      <c r="B15" s="504">
        <f>ROUND(B14*F12/F11,2)</f>
        <v>4339.69</v>
      </c>
      <c r="C15" s="504">
        <f>ROUND(F12/F11,4)</f>
        <v>0.8679</v>
      </c>
      <c r="D15" s="3513"/>
      <c r="E15" s="3513"/>
      <c r="F15" s="3514"/>
    </row>
    <row r="16" spans="1:6">
      <c r="A16" s="503" t="s">
        <v>374</v>
      </c>
      <c r="B16" s="504"/>
      <c r="C16" s="504"/>
      <c r="D16" s="3513"/>
      <c r="E16" s="3513"/>
      <c r="F16" s="3514"/>
    </row>
    <row r="17" spans="1:6">
      <c r="A17" s="503" t="s">
        <v>373</v>
      </c>
      <c r="B17" s="3520">
        <v>4810</v>
      </c>
      <c r="C17" s="3522"/>
      <c r="D17" s="3513"/>
      <c r="E17" s="3513"/>
      <c r="F17" s="3514"/>
    </row>
    <row r="18" ht="14.25" spans="1:6">
      <c r="A18" s="3523" t="s">
        <v>372</v>
      </c>
      <c r="B18" s="559">
        <f>ROUND(B17*F11/F12,2)</f>
        <v>5541.87</v>
      </c>
      <c r="C18" s="559">
        <f>ROUND(F11/F12,4)</f>
        <v>1.1522</v>
      </c>
      <c r="D18" s="3524"/>
      <c r="E18" s="3524"/>
      <c r="F18" s="3525"/>
    </row>
    <row r="19" ht="14.25"/>
    <row r="20" s="3506" customFormat="1" ht="14.25" spans="1:13">
      <c r="A20" s="3526" t="s">
        <v>375</v>
      </c>
      <c r="B20" s="3527"/>
      <c r="C20" s="3527"/>
      <c r="D20" s="3527"/>
      <c r="E20" s="3527"/>
      <c r="F20" s="3527"/>
      <c r="G20" s="3528"/>
      <c r="I20" s="3557" t="s">
        <v>376</v>
      </c>
      <c r="J20" s="3557" t="s">
        <v>377</v>
      </c>
      <c r="K20" s="3557"/>
      <c r="L20" s="3557"/>
      <c r="M20" s="3557"/>
    </row>
    <row r="21" spans="1:10">
      <c r="A21" s="3529"/>
      <c r="B21" s="3530" t="s">
        <v>378</v>
      </c>
      <c r="C21" s="3530" t="s">
        <v>357</v>
      </c>
      <c r="D21" s="3530" t="s">
        <v>379</v>
      </c>
      <c r="E21" s="3530" t="s">
        <v>358</v>
      </c>
      <c r="F21" s="3530" t="s">
        <v>380</v>
      </c>
      <c r="G21" s="3531" t="s">
        <v>381</v>
      </c>
      <c r="I21" s="3508">
        <v>5</v>
      </c>
      <c r="J21" s="3508">
        <v>54.2</v>
      </c>
    </row>
    <row r="22" spans="1:11">
      <c r="A22" s="3529" t="s">
        <v>382</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383</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384</v>
      </c>
      <c r="M23" s="3508" t="s">
        <v>385</v>
      </c>
    </row>
    <row r="24" spans="1:13">
      <c r="A24" s="3529" t="s">
        <v>386</v>
      </c>
      <c r="B24" s="3532">
        <v>70</v>
      </c>
      <c r="C24" s="3532">
        <v>50</v>
      </c>
      <c r="D24" s="3533">
        <v>0.04</v>
      </c>
      <c r="E24" s="3530">
        <f t="shared" si="0"/>
        <v>0.918</v>
      </c>
      <c r="F24" s="3533">
        <f>F23</f>
        <v>0.7</v>
      </c>
      <c r="G24" s="3531">
        <f t="shared" si="1"/>
        <v>94.3</v>
      </c>
      <c r="I24" s="3508">
        <v>20</v>
      </c>
      <c r="J24" s="3508">
        <v>81</v>
      </c>
      <c r="K24" s="3508">
        <f t="shared" si="2"/>
        <v>6.90000000000001</v>
      </c>
      <c r="L24" s="3508" t="s">
        <v>387</v>
      </c>
      <c r="M24" s="3508">
        <v>10</v>
      </c>
    </row>
    <row r="25" spans="1:13">
      <c r="A25" s="3529" t="s">
        <v>388</v>
      </c>
      <c r="B25" s="3532">
        <v>70</v>
      </c>
      <c r="C25" s="3532">
        <v>60</v>
      </c>
      <c r="D25" s="3533">
        <v>0.04</v>
      </c>
      <c r="E25" s="3530">
        <f t="shared" si="0"/>
        <v>0.967</v>
      </c>
      <c r="F25" s="3533">
        <f>F24</f>
        <v>0.7</v>
      </c>
      <c r="G25" s="3531">
        <f t="shared" si="1"/>
        <v>97.7</v>
      </c>
      <c r="I25" s="3508">
        <v>25</v>
      </c>
      <c r="J25" s="3508">
        <v>86.3</v>
      </c>
      <c r="K25" s="3508">
        <f t="shared" si="2"/>
        <v>5.3</v>
      </c>
      <c r="L25" s="3508" t="s">
        <v>389</v>
      </c>
      <c r="M25" s="3508">
        <v>8</v>
      </c>
    </row>
    <row r="26" spans="1:13">
      <c r="A26" s="3534"/>
      <c r="B26" s="3535"/>
      <c r="C26" s="3535"/>
      <c r="D26" s="3535"/>
      <c r="E26" s="3535"/>
      <c r="F26" s="3535"/>
      <c r="G26" s="3536"/>
      <c r="I26" s="3508">
        <v>30</v>
      </c>
      <c r="J26" s="3508">
        <v>90.5</v>
      </c>
      <c r="K26" s="3508">
        <f t="shared" si="2"/>
        <v>4.2</v>
      </c>
      <c r="L26" s="3508" t="s">
        <v>390</v>
      </c>
      <c r="M26" s="3508">
        <v>5</v>
      </c>
    </row>
    <row r="27" spans="1:13">
      <c r="A27" s="3534" t="s">
        <v>391</v>
      </c>
      <c r="B27" s="3535"/>
      <c r="C27" s="3535"/>
      <c r="D27" s="3535"/>
      <c r="E27" s="3535"/>
      <c r="F27" s="3535"/>
      <c r="G27" s="3536"/>
      <c r="I27" s="3508">
        <v>35</v>
      </c>
      <c r="J27" s="3508">
        <v>93.8</v>
      </c>
      <c r="K27" s="3508">
        <f t="shared" si="2"/>
        <v>3.3</v>
      </c>
      <c r="L27" s="3508" t="s">
        <v>392</v>
      </c>
      <c r="M27" s="3508">
        <v>3</v>
      </c>
    </row>
    <row r="28" spans="1:13">
      <c r="A28" s="3534" t="s">
        <v>393</v>
      </c>
      <c r="B28" s="3535"/>
      <c r="C28" s="3535"/>
      <c r="D28" s="3535"/>
      <c r="E28" s="3535"/>
      <c r="F28" s="3535"/>
      <c r="G28" s="3536"/>
      <c r="I28" s="3508">
        <v>40</v>
      </c>
      <c r="J28" s="3508">
        <v>96.4</v>
      </c>
      <c r="K28" s="3508">
        <f t="shared" si="2"/>
        <v>2.60000000000001</v>
      </c>
      <c r="L28" s="3508" t="s">
        <v>394</v>
      </c>
      <c r="M28" s="3508">
        <v>2</v>
      </c>
    </row>
    <row r="29" spans="1:11">
      <c r="A29" s="3534" t="s">
        <v>395</v>
      </c>
      <c r="B29" s="3535"/>
      <c r="C29" s="3535"/>
      <c r="D29" s="3535"/>
      <c r="E29" s="3535"/>
      <c r="F29" s="3535"/>
      <c r="G29" s="3536"/>
      <c r="I29" s="3508">
        <v>45</v>
      </c>
      <c r="J29" s="3508">
        <v>98.4</v>
      </c>
      <c r="K29" s="3508">
        <f t="shared" si="2"/>
        <v>2</v>
      </c>
    </row>
    <row r="30" spans="1:11">
      <c r="A30" s="3534" t="s">
        <v>396</v>
      </c>
      <c r="B30" s="3535"/>
      <c r="C30" s="3535"/>
      <c r="D30" s="3535"/>
      <c r="E30" s="3535"/>
      <c r="F30" s="3535"/>
      <c r="G30" s="3536"/>
      <c r="I30" s="3508">
        <v>50</v>
      </c>
      <c r="J30" s="3508">
        <v>100</v>
      </c>
      <c r="K30" s="3508">
        <f t="shared" si="2"/>
        <v>1.59999999999999</v>
      </c>
    </row>
    <row r="31" spans="1:9">
      <c r="A31" s="3534" t="s">
        <v>397</v>
      </c>
      <c r="B31" s="3535"/>
      <c r="C31" s="3535"/>
      <c r="D31" s="3535"/>
      <c r="E31" s="3535"/>
      <c r="F31" s="3535"/>
      <c r="G31" s="3536"/>
      <c r="I31" s="3508" t="s">
        <v>398</v>
      </c>
    </row>
    <row r="32" spans="1:7">
      <c r="A32" s="3534" t="s">
        <v>399</v>
      </c>
      <c r="B32" s="3535"/>
      <c r="C32" s="3535"/>
      <c r="D32" s="3535"/>
      <c r="E32" s="3535"/>
      <c r="F32" s="3535"/>
      <c r="G32" s="3536"/>
    </row>
    <row r="33" spans="1:10">
      <c r="A33" s="3534" t="s">
        <v>400</v>
      </c>
      <c r="B33" s="3535"/>
      <c r="C33" s="3535"/>
      <c r="D33" s="3535"/>
      <c r="E33" s="3535"/>
      <c r="F33" s="3535"/>
      <c r="G33" s="3536"/>
      <c r="I33" s="3508" t="s">
        <v>376</v>
      </c>
      <c r="J33" s="3508" t="s">
        <v>401</v>
      </c>
    </row>
    <row r="34" spans="1:10">
      <c r="A34" s="3534" t="s">
        <v>402</v>
      </c>
      <c r="B34" s="3535"/>
      <c r="C34" s="3535"/>
      <c r="D34" s="3535"/>
      <c r="E34" s="3535"/>
      <c r="F34" s="3535"/>
      <c r="G34" s="3536"/>
      <c r="I34" s="3508">
        <v>5</v>
      </c>
      <c r="J34" s="3508">
        <v>55.1</v>
      </c>
    </row>
    <row r="35" spans="1:11">
      <c r="A35" s="3534" t="s">
        <v>403</v>
      </c>
      <c r="B35" s="3535"/>
      <c r="C35" s="3535"/>
      <c r="D35" s="3535"/>
      <c r="E35" s="3535"/>
      <c r="F35" s="3535"/>
      <c r="G35" s="3536"/>
      <c r="I35" s="3508">
        <v>10</v>
      </c>
      <c r="J35" s="3508">
        <v>67</v>
      </c>
      <c r="K35" s="3508">
        <f>J35-J34</f>
        <v>11.9</v>
      </c>
    </row>
    <row r="36" spans="1:13">
      <c r="A36" s="3534" t="s">
        <v>404</v>
      </c>
      <c r="B36" s="3535"/>
      <c r="C36" s="3535"/>
      <c r="D36" s="3535"/>
      <c r="E36" s="3535"/>
      <c r="F36" s="3535"/>
      <c r="G36" s="3536"/>
      <c r="I36" s="3508">
        <v>15</v>
      </c>
      <c r="J36" s="3508">
        <v>76.3</v>
      </c>
      <c r="K36" s="3508">
        <f t="shared" ref="K36:K41" si="3">J36-J35</f>
        <v>9.3</v>
      </c>
      <c r="L36" s="3508" t="s">
        <v>384</v>
      </c>
      <c r="M36" s="3508" t="s">
        <v>385</v>
      </c>
    </row>
    <row r="37" spans="1:13">
      <c r="A37" s="3534" t="s">
        <v>405</v>
      </c>
      <c r="B37" s="3535"/>
      <c r="C37" s="3535"/>
      <c r="D37" s="3535"/>
      <c r="E37" s="3535"/>
      <c r="F37" s="3535"/>
      <c r="G37" s="3536"/>
      <c r="I37" s="3508">
        <v>20</v>
      </c>
      <c r="J37" s="3508">
        <v>83.6</v>
      </c>
      <c r="K37" s="3508">
        <f t="shared" si="3"/>
        <v>7.3</v>
      </c>
      <c r="L37" s="3508" t="s">
        <v>387</v>
      </c>
      <c r="M37" s="3508">
        <v>10</v>
      </c>
    </row>
    <row r="38" spans="1:13">
      <c r="A38" s="3534" t="s">
        <v>406</v>
      </c>
      <c r="B38" s="3535"/>
      <c r="C38" s="3535"/>
      <c r="D38" s="3535"/>
      <c r="E38" s="3535"/>
      <c r="F38" s="3535"/>
      <c r="G38" s="3536"/>
      <c r="I38" s="3508">
        <v>25</v>
      </c>
      <c r="J38" s="3508">
        <v>89.3</v>
      </c>
      <c r="K38" s="3508">
        <f t="shared" si="3"/>
        <v>5.7</v>
      </c>
      <c r="L38" s="3508" t="s">
        <v>389</v>
      </c>
      <c r="M38" s="3508">
        <v>8</v>
      </c>
    </row>
    <row r="39" spans="1:13">
      <c r="A39" s="3534"/>
      <c r="B39" s="3535"/>
      <c r="C39" s="3535"/>
      <c r="D39" s="3535"/>
      <c r="E39" s="3535"/>
      <c r="F39" s="3535"/>
      <c r="G39" s="3536"/>
      <c r="I39" s="3508">
        <v>30</v>
      </c>
      <c r="J39" s="3508">
        <v>93.8</v>
      </c>
      <c r="K39" s="3508">
        <f t="shared" si="3"/>
        <v>4.5</v>
      </c>
      <c r="L39" s="3508" t="s">
        <v>390</v>
      </c>
      <c r="M39" s="3508">
        <v>6</v>
      </c>
    </row>
    <row r="40" spans="1:13">
      <c r="A40" s="3537" t="s">
        <v>407</v>
      </c>
      <c r="B40" s="3538"/>
      <c r="C40" s="3538"/>
      <c r="D40" s="3538"/>
      <c r="E40" s="3538"/>
      <c r="F40" s="3538"/>
      <c r="G40" s="3539"/>
      <c r="I40" s="3508">
        <v>35</v>
      </c>
      <c r="J40" s="3508">
        <v>97.2</v>
      </c>
      <c r="K40" s="3508">
        <f t="shared" si="3"/>
        <v>3.40000000000001</v>
      </c>
      <c r="L40" s="3508" t="s">
        <v>392</v>
      </c>
      <c r="M40" s="3508">
        <v>3</v>
      </c>
    </row>
    <row r="41" spans="1:11">
      <c r="A41" s="3540" t="s">
        <v>408</v>
      </c>
      <c r="B41" s="3541" t="s">
        <v>409</v>
      </c>
      <c r="C41" s="3542" t="s">
        <v>410</v>
      </c>
      <c r="D41" s="3542" t="s">
        <v>411</v>
      </c>
      <c r="E41" s="3543"/>
      <c r="F41" s="3544"/>
      <c r="G41" s="3545"/>
      <c r="I41" s="3508">
        <v>40</v>
      </c>
      <c r="J41" s="3508">
        <v>100</v>
      </c>
      <c r="K41" s="3508">
        <f t="shared" si="3"/>
        <v>2.8</v>
      </c>
    </row>
    <row r="42" spans="1:7">
      <c r="A42" s="3540" t="s">
        <v>412</v>
      </c>
      <c r="B42" s="3541" t="s">
        <v>413</v>
      </c>
      <c r="C42" s="3542" t="s">
        <v>413</v>
      </c>
      <c r="D42" s="3546" t="s">
        <v>414</v>
      </c>
      <c r="E42" s="3538" t="s">
        <v>415</v>
      </c>
      <c r="F42" s="3538"/>
      <c r="G42" s="3539"/>
    </row>
    <row r="43" spans="1:10">
      <c r="A43" s="3540" t="s">
        <v>416</v>
      </c>
      <c r="B43" s="3541" t="s">
        <v>417</v>
      </c>
      <c r="C43" s="3542" t="s">
        <v>418</v>
      </c>
      <c r="D43" s="3542" t="s">
        <v>419</v>
      </c>
      <c r="E43" s="3543" t="s">
        <v>420</v>
      </c>
      <c r="F43" s="3544"/>
      <c r="G43" s="3545"/>
      <c r="I43" s="3508" t="s">
        <v>376</v>
      </c>
      <c r="J43" s="3508" t="s">
        <v>421</v>
      </c>
    </row>
    <row r="44" spans="1:10">
      <c r="A44" s="3540" t="s">
        <v>422</v>
      </c>
      <c r="B44" s="3541" t="s">
        <v>423</v>
      </c>
      <c r="C44" s="3542" t="s">
        <v>424</v>
      </c>
      <c r="D44" s="3546">
        <v>0.5</v>
      </c>
      <c r="E44" s="3543" t="s">
        <v>425</v>
      </c>
      <c r="F44" s="3544"/>
      <c r="G44" s="3545"/>
      <c r="I44" s="3508">
        <v>30</v>
      </c>
      <c r="J44" s="3508">
        <v>81.7</v>
      </c>
    </row>
    <row r="45" ht="14.25" spans="1:11">
      <c r="A45" s="3547" t="s">
        <v>426</v>
      </c>
      <c r="B45" s="3548" t="s">
        <v>413</v>
      </c>
      <c r="C45" s="3549" t="s">
        <v>413</v>
      </c>
      <c r="D45" s="3549" t="s">
        <v>427</v>
      </c>
      <c r="E45" s="3550" t="s">
        <v>428</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Normal="100" workbookViewId="0">
      <selection activeCell="G22" sqref="G22"/>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52" customWidth="1"/>
    <col min="10" max="10" width="10" style="3154" customWidth="1"/>
    <col min="11" max="11" width="10" style="3351" customWidth="1"/>
    <col min="12" max="13" width="10" style="3352" customWidth="1"/>
    <col min="14" max="14" width="10" style="3154" customWidth="1"/>
    <col min="15" max="15" width="10" style="582" customWidth="1"/>
    <col min="16" max="17" width="10" style="3154"/>
    <col min="18" max="18" width="10" style="3154" customWidth="1"/>
    <col min="19" max="30" width="10" style="3154"/>
    <col min="31" max="16384" width="10" style="2950"/>
  </cols>
  <sheetData>
    <row r="1" ht="13.5" spans="1:28">
      <c r="A1" s="3353" t="s">
        <v>429</v>
      </c>
      <c r="B1" s="3354"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55"/>
      <c r="D1" s="3355"/>
      <c r="E1" s="3355"/>
      <c r="F1" s="3355"/>
      <c r="G1" s="3355"/>
      <c r="H1" s="3355"/>
      <c r="I1" s="3470"/>
      <c r="J1" s="2890"/>
      <c r="K1" s="3471"/>
      <c r="L1" s="3472"/>
      <c r="M1" s="3472"/>
      <c r="N1" s="3399"/>
      <c r="O1" s="3260"/>
      <c r="P1" s="3399"/>
      <c r="Q1" s="3399"/>
      <c r="R1" s="3399"/>
      <c r="S1" s="2951"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50"/>
      <c r="U1" s="2950"/>
      <c r="V1" s="2950"/>
      <c r="W1" s="2950"/>
      <c r="X1" s="2950"/>
      <c r="Y1" s="2950"/>
      <c r="Z1" s="2950"/>
      <c r="AA1" s="2950"/>
      <c r="AB1" s="2950"/>
    </row>
    <row r="2" spans="1:28">
      <c r="A2" s="3356" t="s">
        <v>430</v>
      </c>
      <c r="B2" s="3357"/>
      <c r="C2" s="3358"/>
      <c r="D2" s="3359"/>
      <c r="E2" s="3360"/>
      <c r="F2" s="3360"/>
      <c r="G2" s="3361"/>
      <c r="H2" s="3361"/>
      <c r="I2" s="3361"/>
      <c r="J2" s="2890"/>
      <c r="K2" s="3471"/>
      <c r="L2" s="3472"/>
      <c r="M2" s="3472"/>
      <c r="N2" s="3399"/>
      <c r="O2" s="3260"/>
      <c r="P2" s="3399"/>
      <c r="Q2" s="3399"/>
      <c r="R2" s="3399"/>
      <c r="S2" s="2951" t="str">
        <f>IF(B10="北京市","北京市",C10)&amp;F10&amp;IF(结果表!G1="在建","出让国有建设用地使用权及在建建筑物房地产",IF(结果表!G1="土地","出让国有建设用地使用权","房地产"))</f>
        <v>北京市东城区（原崇文区）光明西街3号、甲3号3号楼房地产</v>
      </c>
      <c r="T2" s="2950"/>
      <c r="U2" s="2950"/>
      <c r="V2" s="2950"/>
      <c r="W2" s="2950"/>
      <c r="X2" s="2950"/>
      <c r="Y2" s="2950"/>
      <c r="Z2" s="2950"/>
      <c r="AA2" s="2950"/>
      <c r="AB2" s="2950"/>
    </row>
    <row r="3" spans="1:28">
      <c r="A3" s="1402" t="s">
        <v>431</v>
      </c>
      <c r="B3" s="3362">
        <v>45394</v>
      </c>
      <c r="C3" s="3363" t="s">
        <v>432</v>
      </c>
      <c r="D3" s="3362">
        <f>B3</f>
        <v>45394</v>
      </c>
      <c r="E3" s="3361"/>
      <c r="F3" s="3361"/>
      <c r="G3" s="3361"/>
      <c r="H3" s="3361"/>
      <c r="I3" s="3361"/>
      <c r="J3" s="2890"/>
      <c r="K3" s="3471"/>
      <c r="L3" s="3472"/>
      <c r="M3" s="3472"/>
      <c r="N3" s="3399"/>
      <c r="O3" s="3260"/>
      <c r="P3" s="3399"/>
      <c r="Q3" s="3399"/>
      <c r="R3" s="3399"/>
      <c r="S3" s="2951"/>
      <c r="T3" s="2950"/>
      <c r="U3" s="2950"/>
      <c r="V3" s="2950"/>
      <c r="W3" s="2950"/>
      <c r="X3" s="2950"/>
      <c r="Y3" s="2950"/>
      <c r="Z3" s="2950"/>
      <c r="AA3" s="2950"/>
      <c r="AB3" s="2950"/>
    </row>
    <row r="4" ht="13.5" spans="1:28">
      <c r="A4" s="1426" t="s">
        <v>433</v>
      </c>
      <c r="B4" s="3364" t="s">
        <v>191</v>
      </c>
      <c r="C4" s="3365">
        <f ca="1">SUMIF(注册房地产估价师,B4,估价师及机构信息!B3:B24)</f>
        <v>1120070131</v>
      </c>
      <c r="D4" s="3364" t="s">
        <v>190</v>
      </c>
      <c r="E4" s="3366">
        <f ca="1">SUMIF(注册房地产估价师,D4,估价师及机构信息!B3:B24)</f>
        <v>1120100036</v>
      </c>
      <c r="F4" s="3364"/>
      <c r="G4" s="3366">
        <f ca="1">SUMIF(注册房地产估价师,F4,估价师及机构信息!B3:B24)</f>
        <v>0</v>
      </c>
      <c r="H4" s="3364"/>
      <c r="I4" s="3366">
        <f ca="1">SUMIF(注册房地产估价师,H4,估价师及机构信息!B3:B24)</f>
        <v>0</v>
      </c>
      <c r="J4" s="2924"/>
      <c r="K4" s="3473" t="str">
        <f ca="1">CONCATENATE(B4,"（注册号：",C4,")、",D4,"（注册号：",E4,")")</f>
        <v>郑燚（注册号：1120070131)、崔锴（注册号：1120100036)</v>
      </c>
      <c r="L4" s="3472"/>
      <c r="M4" s="3472"/>
      <c r="N4" s="3399"/>
      <c r="O4" s="3260"/>
      <c r="P4" s="3399"/>
      <c r="Q4" s="3399"/>
      <c r="R4" s="3399"/>
      <c r="S4" s="2951"/>
      <c r="T4" s="2950"/>
      <c r="U4" s="2950"/>
      <c r="V4" s="2950"/>
      <c r="W4" s="2950"/>
      <c r="X4" s="2950"/>
      <c r="Y4" s="2950"/>
      <c r="Z4" s="2950"/>
      <c r="AA4" s="2950"/>
      <c r="AB4" s="2950"/>
    </row>
    <row r="5" ht="13.5" spans="1:28">
      <c r="A5" s="3367" t="s">
        <v>434</v>
      </c>
      <c r="B5" s="3368"/>
      <c r="C5" s="3369"/>
      <c r="D5" s="3370"/>
      <c r="E5" s="3055"/>
      <c r="F5" s="3055"/>
      <c r="G5" s="3055"/>
      <c r="H5" s="3055"/>
      <c r="I5" s="3055"/>
      <c r="J5" s="2924"/>
      <c r="K5" s="3473" t="str">
        <f ca="1">IF(F4="——","",IF(H4="——",F4&amp;"（注册号："&amp;G4&amp;")",CONCATENATE(F4,"（注册号：",G4,")、",H4,"（注册号：",I4,")")))</f>
        <v>（注册号：0)、（注册号：0)</v>
      </c>
      <c r="L5" s="3472"/>
      <c r="M5" s="3472"/>
      <c r="N5" s="3399"/>
      <c r="O5" s="3260"/>
      <c r="P5" s="3399"/>
      <c r="Q5" s="3399"/>
      <c r="R5" s="3399"/>
      <c r="S5" s="2950"/>
      <c r="T5" s="2950"/>
      <c r="U5" s="2950"/>
      <c r="V5" s="2950"/>
      <c r="W5" s="2950"/>
      <c r="X5" s="2950"/>
      <c r="Y5" s="2950"/>
      <c r="Z5" s="2950"/>
      <c r="AA5" s="2950"/>
      <c r="AB5" s="2950"/>
    </row>
    <row r="6" spans="1:18">
      <c r="A6" s="3371" t="s">
        <v>435</v>
      </c>
      <c r="B6" s="3372"/>
      <c r="C6" s="3373"/>
      <c r="D6" s="3374"/>
      <c r="E6" s="3360"/>
      <c r="F6" s="3055"/>
      <c r="G6" s="3055"/>
      <c r="H6" s="3055"/>
      <c r="I6" s="3055"/>
      <c r="J6" s="2924"/>
      <c r="K6" s="3474" t="str">
        <f>IF(COUNTIF(B6,"*上海银行*"),"上海银行","")</f>
        <v/>
      </c>
      <c r="L6" s="3475"/>
      <c r="M6" s="3475"/>
      <c r="N6" s="2924"/>
      <c r="O6" s="3476"/>
      <c r="P6" s="2924"/>
      <c r="Q6" s="2924"/>
      <c r="R6" s="2924"/>
    </row>
    <row r="7" spans="1:18">
      <c r="A7" s="3371" t="s">
        <v>436</v>
      </c>
      <c r="B7" s="3375"/>
      <c r="C7" s="3373"/>
      <c r="D7" s="3374"/>
      <c r="E7" s="3360"/>
      <c r="F7" s="3055"/>
      <c r="G7" s="3055"/>
      <c r="H7" s="3055"/>
      <c r="I7" s="3055"/>
      <c r="J7" s="2924"/>
      <c r="K7" s="3477"/>
      <c r="L7" s="3475"/>
      <c r="M7" s="3475"/>
      <c r="N7" s="2924"/>
      <c r="O7" s="3476"/>
      <c r="P7" s="2924"/>
      <c r="Q7" s="2924"/>
      <c r="R7" s="2924"/>
    </row>
    <row r="8" spans="1:18">
      <c r="A8" s="3376" t="s">
        <v>437</v>
      </c>
      <c r="B8" s="3377" t="s">
        <v>329</v>
      </c>
      <c r="C8" s="3378"/>
      <c r="D8" s="3379" t="s">
        <v>438</v>
      </c>
      <c r="E8" s="3380" t="s">
        <v>334</v>
      </c>
      <c r="F8" s="3381"/>
      <c r="G8" s="3361"/>
      <c r="H8" s="3361"/>
      <c r="I8" s="3361"/>
      <c r="J8" s="2924"/>
      <c r="K8" s="3478"/>
      <c r="L8" s="3475"/>
      <c r="M8" s="3475"/>
      <c r="N8" s="2924"/>
      <c r="O8" s="3476"/>
      <c r="P8" s="2924"/>
      <c r="Q8" s="2924"/>
      <c r="R8" s="2924"/>
    </row>
    <row r="9" ht="13.5" spans="1:18">
      <c r="A9" s="3382" t="s">
        <v>439</v>
      </c>
      <c r="B9" s="3383" t="s">
        <v>334</v>
      </c>
      <c r="C9" s="3384"/>
      <c r="D9" s="3385"/>
      <c r="E9" s="3383" t="s">
        <v>124</v>
      </c>
      <c r="F9" s="3386"/>
      <c r="G9" s="3387"/>
      <c r="H9" s="3387"/>
      <c r="I9" s="3387"/>
      <c r="J9" s="2924"/>
      <c r="K9" s="3477"/>
      <c r="L9" s="3475"/>
      <c r="M9" s="3475"/>
      <c r="N9" s="2924"/>
      <c r="O9" s="3476"/>
      <c r="P9" s="2924"/>
      <c r="Q9" s="2924"/>
      <c r="R9" s="2924"/>
    </row>
    <row r="10" ht="13.5" spans="1:18">
      <c r="A10" s="3388" t="s">
        <v>440</v>
      </c>
      <c r="B10" s="3389" t="s">
        <v>441</v>
      </c>
      <c r="C10" s="3390"/>
      <c r="D10" s="3370"/>
      <c r="E10" s="3391" t="s">
        <v>442</v>
      </c>
      <c r="F10" s="3392" t="s">
        <v>443</v>
      </c>
      <c r="G10" s="3393"/>
      <c r="H10" s="3394"/>
      <c r="I10" s="3479"/>
      <c r="J10" s="2924"/>
      <c r="K10" s="3477"/>
      <c r="L10" s="3475"/>
      <c r="M10" s="3475"/>
      <c r="N10" s="2924"/>
      <c r="O10" s="3476"/>
      <c r="P10" s="2924"/>
      <c r="Q10" s="2924"/>
      <c r="R10" s="2924"/>
    </row>
    <row r="11" spans="1:18">
      <c r="A11" s="3395" t="s">
        <v>444</v>
      </c>
      <c r="B11" s="3396" t="s">
        <v>445</v>
      </c>
      <c r="C11" s="3397"/>
      <c r="D11" s="3398"/>
      <c r="E11" s="3399"/>
      <c r="F11" s="3399"/>
      <c r="G11" s="3399"/>
      <c r="H11" s="3399"/>
      <c r="I11" s="3399"/>
      <c r="J11" s="3480"/>
      <c r="K11" s="3481"/>
      <c r="L11" s="3475"/>
      <c r="M11" s="3475"/>
      <c r="N11" s="2924"/>
      <c r="O11" s="3476"/>
      <c r="P11" s="2924"/>
      <c r="Q11" s="2924"/>
      <c r="R11" s="2924"/>
    </row>
    <row r="12" spans="1:30">
      <c r="A12" s="3400" t="s">
        <v>446</v>
      </c>
      <c r="B12" s="1445" t="s">
        <v>447</v>
      </c>
      <c r="C12" s="3401" t="s">
        <v>448</v>
      </c>
      <c r="D12" s="3401" t="s">
        <v>449</v>
      </c>
      <c r="E12" s="3401" t="s">
        <v>450</v>
      </c>
      <c r="F12" s="3401" t="s">
        <v>451</v>
      </c>
      <c r="G12" s="3401" t="s">
        <v>452</v>
      </c>
      <c r="H12" s="3401" t="s">
        <v>453</v>
      </c>
      <c r="I12" s="3482" t="s">
        <v>280</v>
      </c>
      <c r="J12" s="3483"/>
      <c r="K12" s="3475"/>
      <c r="L12" s="3475"/>
      <c r="M12" s="2924"/>
      <c r="N12" s="3476"/>
      <c r="O12" s="2924"/>
      <c r="P12" s="2924"/>
      <c r="Q12" s="2924"/>
      <c r="AD12" s="2950"/>
    </row>
    <row r="13" spans="1:30">
      <c r="A13" s="3402" t="s">
        <v>454</v>
      </c>
      <c r="B13" s="3403" t="s">
        <v>455</v>
      </c>
      <c r="C13" s="3404"/>
      <c r="D13" s="3404"/>
      <c r="E13" s="3404">
        <v>63654</v>
      </c>
      <c r="F13" s="3404"/>
      <c r="G13" s="3404"/>
      <c r="H13" s="3404"/>
      <c r="I13" s="3404"/>
      <c r="J13" s="3483"/>
      <c r="K13" s="3475"/>
      <c r="L13" s="3475"/>
      <c r="M13" s="2924"/>
      <c r="N13" s="3476"/>
      <c r="O13" s="2924"/>
      <c r="P13" s="2924"/>
      <c r="Q13" s="2924"/>
      <c r="AD13" s="2950"/>
    </row>
    <row r="14" spans="1:30">
      <c r="A14" s="1431"/>
      <c r="B14" s="3403" t="s">
        <v>456</v>
      </c>
      <c r="C14" s="3405"/>
      <c r="D14" s="3405"/>
      <c r="E14" s="3405">
        <v>50</v>
      </c>
      <c r="F14" s="3405"/>
      <c r="G14" s="3405"/>
      <c r="H14" s="3405"/>
      <c r="I14" s="3405"/>
      <c r="J14" s="3484"/>
      <c r="K14" s="3475"/>
      <c r="L14" s="3475"/>
      <c r="M14" s="2924"/>
      <c r="N14" s="3476"/>
      <c r="O14" s="2924"/>
      <c r="P14" s="2924"/>
      <c r="Q14" s="2924"/>
      <c r="AD14" s="2950"/>
    </row>
    <row r="15" spans="1:30">
      <c r="A15" s="1438"/>
      <c r="B15" s="3406" t="s">
        <v>457</v>
      </c>
      <c r="C15" s="3407" t="str">
        <f>IF(A13="出让",IF(C13="","",ROUNDDOWN(MIN((C13-$D$3)/365,C14),2)),C14)</f>
        <v/>
      </c>
      <c r="D15" s="3407" t="str">
        <f>IF(A13="出让",IF(D13="","",ROUNDDOWN(MIN((D13-$D$3)/365,D14),2)),D14)</f>
        <v/>
      </c>
      <c r="E15" s="3407">
        <f>IF(A13="出让",IF(E13="","",ROUNDDOWN(MIN((E13-$D$3)/365,E14),2)),E14)</f>
        <v>50</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25"/>
      <c r="N15" s="3486"/>
      <c r="O15" s="2925"/>
      <c r="P15" s="2924"/>
      <c r="Q15" s="2924"/>
      <c r="AD15" s="2950"/>
    </row>
    <row r="16" spans="1:18">
      <c r="A16" s="3391" t="s">
        <v>458</v>
      </c>
      <c r="B16" s="3408"/>
      <c r="C16" s="3409"/>
      <c r="D16" s="3410"/>
      <c r="E16" s="3411" t="s">
        <v>459</v>
      </c>
      <c r="F16" s="3412"/>
      <c r="G16" s="3413"/>
      <c r="H16" s="3413"/>
      <c r="I16" s="3487"/>
      <c r="J16" s="2924"/>
      <c r="K16" s="3488"/>
      <c r="L16" s="3486"/>
      <c r="M16" s="3486"/>
      <c r="N16" s="2925"/>
      <c r="O16" s="3486"/>
      <c r="P16" s="2925"/>
      <c r="Q16" s="2924"/>
      <c r="R16" s="2924"/>
    </row>
    <row r="17" spans="1:22">
      <c r="A17" s="1415" t="s">
        <v>460</v>
      </c>
      <c r="B17" s="1402" t="s">
        <v>461</v>
      </c>
      <c r="C17" s="646">
        <f>'数据-汇总表'!E3</f>
        <v>695.5</v>
      </c>
      <c r="D17" s="1458" t="s">
        <v>462</v>
      </c>
      <c r="E17" s="3414" t="s">
        <v>463</v>
      </c>
      <c r="F17" s="3415"/>
      <c r="G17" s="3415"/>
      <c r="H17" s="3415"/>
      <c r="I17" s="3489"/>
      <c r="J17" s="2924"/>
      <c r="K17" s="3490"/>
      <c r="L17" s="3486"/>
      <c r="M17" s="3486"/>
      <c r="N17" s="2925"/>
      <c r="O17" s="3486"/>
      <c r="P17" s="2925"/>
      <c r="Q17" s="2924"/>
      <c r="R17" s="2924"/>
      <c r="S17" s="2924"/>
      <c r="T17" s="2924"/>
      <c r="U17" s="2924"/>
      <c r="V17" s="2924"/>
    </row>
    <row r="18" ht="24.75" spans="1:22">
      <c r="A18" s="3416" t="s">
        <v>464</v>
      </c>
      <c r="B18" s="1426" t="s">
        <v>465</v>
      </c>
      <c r="C18" s="3417">
        <f>'数据-汇总表'!D3</f>
        <v>0</v>
      </c>
      <c r="D18" s="1451" t="s">
        <v>462</v>
      </c>
      <c r="E18" s="3418" t="s">
        <v>466</v>
      </c>
      <c r="F18" s="3419"/>
      <c r="G18" s="3419"/>
      <c r="H18" s="3419"/>
      <c r="I18" s="3491"/>
      <c r="J18" s="2924"/>
      <c r="K18" s="3490"/>
      <c r="L18" s="3486"/>
      <c r="M18" s="3486"/>
      <c r="N18" s="2925"/>
      <c r="O18" s="3486"/>
      <c r="P18" s="2925"/>
      <c r="Q18" s="2924"/>
      <c r="R18" s="2924"/>
      <c r="S18" s="2924"/>
      <c r="T18" s="2924"/>
      <c r="U18" s="2924"/>
      <c r="V18" s="2924"/>
    </row>
    <row r="19" ht="37.5" spans="1:22">
      <c r="A19" s="1468" t="s">
        <v>467</v>
      </c>
      <c r="B19" s="1407" t="s">
        <v>468</v>
      </c>
      <c r="C19" s="3420"/>
      <c r="D19" s="3421" t="s">
        <v>469</v>
      </c>
      <c r="E19" s="3422"/>
      <c r="F19" s="3423" t="str">
        <f>IF(AND(C19="是",E19="否"),"是否提供他项权证或相关说明","")</f>
        <v/>
      </c>
      <c r="G19" s="3424"/>
      <c r="H19" s="3055"/>
      <c r="I19" s="3055"/>
      <c r="J19" s="2924"/>
      <c r="K19" s="3477"/>
      <c r="L19" s="3475"/>
      <c r="M19" s="3475"/>
      <c r="N19" s="2925"/>
      <c r="O19" s="3486"/>
      <c r="P19" s="2925"/>
      <c r="Q19" s="2924"/>
      <c r="R19" s="2924"/>
      <c r="S19" s="2924"/>
      <c r="T19" s="2924"/>
      <c r="U19" s="2924"/>
      <c r="V19" s="2924"/>
    </row>
    <row r="20" spans="1:28">
      <c r="A20" s="3425" t="s">
        <v>470</v>
      </c>
      <c r="B20" s="3426" t="s">
        <v>471</v>
      </c>
      <c r="C20" s="3427"/>
      <c r="D20" s="3428" t="s">
        <v>472</v>
      </c>
      <c r="E20" s="3429"/>
      <c r="F20" s="3430" t="s">
        <v>473</v>
      </c>
      <c r="G20" s="3055"/>
      <c r="H20" s="3055"/>
      <c r="I20" s="3055"/>
      <c r="J20" s="2924"/>
      <c r="K20" s="3271" t="s">
        <v>474</v>
      </c>
      <c r="L20" s="1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0"/>
      <c r="X20" s="2950"/>
      <c r="Y20" s="2950"/>
      <c r="Z20" s="2950"/>
      <c r="AA20" s="2950"/>
      <c r="AB20" s="2950"/>
    </row>
    <row r="21" ht="24.75" spans="1:28">
      <c r="A21" s="3425"/>
      <c r="B21" s="3431" t="s">
        <v>475</v>
      </c>
      <c r="C21" s="3432" t="s">
        <v>476</v>
      </c>
      <c r="D21" s="3433" t="s">
        <v>477</v>
      </c>
      <c r="E21" s="3434" t="s">
        <v>476</v>
      </c>
      <c r="F21" s="3435"/>
      <c r="G21" s="3055"/>
      <c r="H21" s="3055"/>
      <c r="I21" s="3055"/>
      <c r="J21" s="2924"/>
      <c r="K21" s="3271"/>
      <c r="L21" s="1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0"/>
      <c r="X21" s="2950"/>
      <c r="Y21" s="2950"/>
      <c r="Z21" s="2950"/>
      <c r="AA21" s="2950"/>
      <c r="AB21" s="2950"/>
    </row>
    <row r="22" ht="24.75" spans="1:28">
      <c r="A22" s="3425"/>
      <c r="B22" s="3436" t="s">
        <v>478</v>
      </c>
      <c r="C22" s="3432" t="s">
        <v>479</v>
      </c>
      <c r="D22" s="3361"/>
      <c r="E22" s="3361"/>
      <c r="F22" s="3361"/>
      <c r="G22" s="3055"/>
      <c r="H22" s="3055"/>
      <c r="I22" s="3055"/>
      <c r="J22" s="2924"/>
      <c r="K22" s="3271"/>
      <c r="L22" s="1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0"/>
      <c r="X22" s="2950"/>
      <c r="Y22" s="2950"/>
      <c r="Z22" s="2950"/>
      <c r="AA22" s="2950"/>
      <c r="AB22" s="2950"/>
    </row>
    <row r="23" spans="1:22">
      <c r="A23" s="3437" t="s">
        <v>480</v>
      </c>
      <c r="B23" s="2915" t="s">
        <v>481</v>
      </c>
      <c r="C23" s="3438"/>
      <c r="D23" s="3439" t="s">
        <v>481</v>
      </c>
      <c r="E23" s="3440"/>
      <c r="F23" s="3361"/>
      <c r="G23" s="3055"/>
      <c r="H23" s="3055"/>
      <c r="I23" s="3055"/>
      <c r="J23" s="2924"/>
      <c r="K23" s="3494"/>
      <c r="L23" s="1569"/>
      <c r="M23" s="3475"/>
      <c r="N23" s="2925"/>
      <c r="O23" s="3486"/>
      <c r="P23" s="2925"/>
      <c r="Q23" s="2924"/>
      <c r="R23" s="2924"/>
      <c r="S23" s="2924"/>
      <c r="T23" s="2924"/>
      <c r="U23" s="2924"/>
      <c r="V23" s="2924"/>
    </row>
    <row r="24" spans="1:22">
      <c r="A24" s="3437"/>
      <c r="B24" s="2915" t="s">
        <v>482</v>
      </c>
      <c r="C24" s="3441"/>
      <c r="D24" s="3437" t="s">
        <v>482</v>
      </c>
      <c r="E24" s="3442"/>
      <c r="F24" s="3361"/>
      <c r="G24" s="3055"/>
      <c r="H24" s="3055"/>
      <c r="I24" s="3055"/>
      <c r="J24" s="2924"/>
      <c r="K24" s="3494"/>
      <c r="L24" s="1569"/>
      <c r="M24" s="3475"/>
      <c r="N24" s="2925"/>
      <c r="O24" s="3486"/>
      <c r="P24" s="2925"/>
      <c r="Q24" s="2924"/>
      <c r="R24" s="2924"/>
      <c r="S24" s="2924"/>
      <c r="T24" s="2924"/>
      <c r="U24" s="2924"/>
      <c r="V24" s="2924"/>
    </row>
    <row r="25" spans="1:22">
      <c r="A25" s="3437"/>
      <c r="B25" s="2915" t="s">
        <v>483</v>
      </c>
      <c r="C25" s="3441"/>
      <c r="D25" s="3437" t="s">
        <v>483</v>
      </c>
      <c r="E25" s="3442"/>
      <c r="F25" s="3361"/>
      <c r="G25" s="3055"/>
      <c r="H25" s="3055"/>
      <c r="I25" s="3055"/>
      <c r="J25" s="2924"/>
      <c r="K25" s="3477"/>
      <c r="L25" s="3475"/>
      <c r="M25" s="3475"/>
      <c r="N25" s="2925"/>
      <c r="O25" s="3486"/>
      <c r="P25" s="2925"/>
      <c r="Q25" s="2924"/>
      <c r="R25" s="2924"/>
      <c r="S25" s="2924"/>
      <c r="T25" s="2924"/>
      <c r="U25" s="2924"/>
      <c r="V25" s="2924"/>
    </row>
    <row r="26" ht="13.5" spans="1:22">
      <c r="A26" s="3443"/>
      <c r="B26" s="3444" t="s">
        <v>484</v>
      </c>
      <c r="C26" s="3445"/>
      <c r="D26" s="3443" t="s">
        <v>484</v>
      </c>
      <c r="E26" s="3446"/>
      <c r="F26" s="3387"/>
      <c r="G26" s="3387"/>
      <c r="H26" s="3387"/>
      <c r="I26" s="3387"/>
      <c r="J26" s="2924"/>
      <c r="K26" s="3477"/>
      <c r="L26" s="3475"/>
      <c r="M26" s="3475"/>
      <c r="N26" s="2925"/>
      <c r="O26" s="3486"/>
      <c r="P26" s="2925"/>
      <c r="Q26" s="2924"/>
      <c r="R26" s="2924"/>
      <c r="S26" s="2924"/>
      <c r="T26" s="2924"/>
      <c r="U26" s="2924"/>
      <c r="V26" s="2924"/>
    </row>
    <row r="27" ht="13.5" spans="1:22">
      <c r="A27" s="1431" t="s">
        <v>485</v>
      </c>
      <c r="B27" s="1438" t="s">
        <v>486</v>
      </c>
      <c r="C27" s="3447"/>
      <c r="D27" s="3448"/>
      <c r="E27" s="3055"/>
      <c r="F27" s="3055"/>
      <c r="G27" s="3055"/>
      <c r="H27" s="3055"/>
      <c r="I27" s="3055"/>
      <c r="J27" s="2924"/>
      <c r="K27" s="3488"/>
      <c r="L27" s="3486"/>
      <c r="M27" s="3486"/>
      <c r="N27" s="2925"/>
      <c r="O27" s="3486"/>
      <c r="P27" s="2925"/>
      <c r="Q27" s="2924"/>
      <c r="R27" s="2924"/>
      <c r="S27" s="2924"/>
      <c r="T27" s="2924"/>
      <c r="U27" s="2924"/>
      <c r="V27" s="2924"/>
    </row>
    <row r="28" spans="1:22">
      <c r="A28" s="1431"/>
      <c r="B28" s="1402" t="s">
        <v>487</v>
      </c>
      <c r="C28" s="3449"/>
      <c r="D28" s="3450"/>
      <c r="E28" s="3055"/>
      <c r="F28" s="3055"/>
      <c r="G28" s="3055"/>
      <c r="H28" s="3055"/>
      <c r="I28" s="3055"/>
      <c r="J28" s="2924"/>
      <c r="K28" s="3477"/>
      <c r="L28" s="3475"/>
      <c r="M28" s="3475"/>
      <c r="N28" s="2924"/>
      <c r="O28" s="3476"/>
      <c r="P28" s="2924"/>
      <c r="Q28" s="2924"/>
      <c r="R28" s="2924"/>
      <c r="S28" s="2924"/>
      <c r="T28" s="2924"/>
      <c r="U28" s="2924"/>
      <c r="V28" s="2924"/>
    </row>
    <row r="29" spans="1:22">
      <c r="A29" s="1431"/>
      <c r="B29" s="1402" t="s">
        <v>488</v>
      </c>
      <c r="C29" s="3451"/>
      <c r="D29" s="3452"/>
      <c r="E29" s="3055"/>
      <c r="F29" s="3055"/>
      <c r="G29" s="3055"/>
      <c r="H29" s="3055"/>
      <c r="I29" s="3055"/>
      <c r="J29" s="2924"/>
      <c r="K29" s="3477"/>
      <c r="L29" s="3475"/>
      <c r="M29" s="3475"/>
      <c r="N29" s="2924"/>
      <c r="O29" s="3476"/>
      <c r="P29" s="2924"/>
      <c r="Q29" s="2924"/>
      <c r="R29" s="2924"/>
      <c r="S29" s="2924"/>
      <c r="T29" s="2924"/>
      <c r="U29" s="2924"/>
      <c r="V29" s="2924"/>
    </row>
    <row r="30" spans="1:22">
      <c r="A30" s="1438"/>
      <c r="B30" s="1402" t="s">
        <v>489</v>
      </c>
      <c r="C30" s="3453"/>
      <c r="D30" s="3454"/>
      <c r="E30" s="3055"/>
      <c r="F30" s="3055"/>
      <c r="G30" s="3055"/>
      <c r="H30" s="3055"/>
      <c r="I30" s="3055"/>
      <c r="J30" s="2924"/>
      <c r="K30" s="3477"/>
      <c r="L30" s="3475"/>
      <c r="M30" s="3475"/>
      <c r="N30" s="2924"/>
      <c r="O30" s="3476"/>
      <c r="P30" s="2924"/>
      <c r="Q30" s="2924"/>
      <c r="R30" s="2924"/>
      <c r="S30" s="2924"/>
      <c r="T30" s="2924"/>
      <c r="U30" s="2924"/>
      <c r="V30" s="2924"/>
    </row>
    <row r="31" spans="1:22">
      <c r="A31" s="3455" t="s">
        <v>490</v>
      </c>
      <c r="B31" s="3456"/>
      <c r="C31" s="1559" t="str">
        <f>IF(B31="现房","成新及维护状况正常否",IF(B31="在建","工程状态是否正常",IF(B31="土地","是否闲置","-")))</f>
        <v>-</v>
      </c>
      <c r="D31" s="2392"/>
      <c r="E31" s="3457"/>
      <c r="F31" s="3055"/>
      <c r="G31" s="3055"/>
      <c r="H31" s="3055"/>
      <c r="I31" s="3055"/>
      <c r="J31" s="2924"/>
      <c r="K31" s="3474"/>
      <c r="L31" s="3475"/>
      <c r="M31" s="3475"/>
      <c r="N31" s="2924"/>
      <c r="O31" s="3476"/>
      <c r="P31" s="2924"/>
      <c r="Q31" s="2924"/>
      <c r="R31" s="2924"/>
      <c r="S31" s="2924"/>
      <c r="T31" s="2924"/>
      <c r="U31" s="2924"/>
      <c r="V31" s="2924"/>
    </row>
    <row r="32" spans="1:22">
      <c r="A32" s="2626"/>
      <c r="B32" s="3456"/>
      <c r="C32" s="1559" t="str">
        <f>IF(B32="现房","成新及维护状况是否正常",IF(B32="在建","工程状态是否正常",IF(B32="土地","是否闲置","-")))</f>
        <v>-</v>
      </c>
      <c r="D32" s="2392"/>
      <c r="E32" s="3457"/>
      <c r="F32" s="3055"/>
      <c r="G32" s="3055"/>
      <c r="H32" s="3055"/>
      <c r="I32" s="3055"/>
      <c r="J32" s="2924"/>
      <c r="K32" s="3477"/>
      <c r="L32" s="3475"/>
      <c r="M32" s="3475"/>
      <c r="N32" s="2924"/>
      <c r="O32" s="3476"/>
      <c r="P32" s="2924"/>
      <c r="Q32" s="2924"/>
      <c r="R32" s="2924"/>
      <c r="S32" s="2924"/>
      <c r="T32" s="2924"/>
      <c r="U32" s="2924"/>
      <c r="V32" s="2924"/>
    </row>
    <row r="33" spans="1:22">
      <c r="A33" s="2626"/>
      <c r="B33" s="3458"/>
      <c r="C33" s="2625" t="str">
        <f>IF(B33="现房","成新及维护状况是否正常",IF(B33="在建","工程状态是否正常",IF(B33="土地","是否闲置","-")))</f>
        <v>-</v>
      </c>
      <c r="D33" s="1413"/>
      <c r="E33" s="3459"/>
      <c r="F33" s="3055"/>
      <c r="G33" s="3055"/>
      <c r="H33" s="3055"/>
      <c r="I33" s="3055"/>
      <c r="J33" s="2924"/>
      <c r="K33" s="3477"/>
      <c r="L33" s="3475"/>
      <c r="M33" s="3475"/>
      <c r="N33" s="2924"/>
      <c r="O33" s="3476"/>
      <c r="P33" s="2924"/>
      <c r="Q33" s="2924"/>
      <c r="R33" s="2924"/>
      <c r="S33" s="2924"/>
      <c r="T33" s="2924"/>
      <c r="U33" s="2924"/>
      <c r="V33" s="2924"/>
    </row>
    <row r="34" spans="1:22">
      <c r="A34" s="1402" t="s">
        <v>491</v>
      </c>
      <c r="B34" s="2020"/>
      <c r="C34" s="2020"/>
      <c r="D34" s="2020"/>
      <c r="E34" s="2020"/>
      <c r="F34" s="2020"/>
      <c r="G34" s="2020"/>
      <c r="H34" s="2020"/>
      <c r="I34" s="3055"/>
      <c r="J34" s="2924"/>
      <c r="K34" s="646">
        <f>COUNTIF(B34:H34,"——")</f>
        <v>0</v>
      </c>
      <c r="L34" s="1445" t="s">
        <v>492</v>
      </c>
      <c r="M34" s="1445" t="s">
        <v>493</v>
      </c>
      <c r="N34" s="1445" t="s">
        <v>494</v>
      </c>
      <c r="O34" s="1445" t="s">
        <v>495</v>
      </c>
      <c r="P34" s="1445" t="s">
        <v>496</v>
      </c>
      <c r="Q34" s="1445" t="s">
        <v>497</v>
      </c>
      <c r="R34" s="1445" t="s">
        <v>498</v>
      </c>
      <c r="S34" s="646" t="s">
        <v>499</v>
      </c>
      <c r="T34" s="1445" t="str">
        <f>NUMBERSTRING(7-K34,1)&amp;"通"</f>
        <v>七通</v>
      </c>
      <c r="U34" s="2924"/>
      <c r="V34" s="2924"/>
    </row>
    <row r="35" spans="1:22">
      <c r="A35" s="3460"/>
      <c r="B35" s="705" t="s">
        <v>500</v>
      </c>
      <c r="C35" s="705"/>
      <c r="D35" s="705"/>
      <c r="E35" s="705"/>
      <c r="F35" s="705">
        <f>C10</f>
        <v>0</v>
      </c>
      <c r="G35" s="3055"/>
      <c r="H35" s="3055"/>
      <c r="I35" s="3055"/>
      <c r="J35" s="2924"/>
      <c r="K35" s="1445"/>
      <c r="L35" s="1445">
        <f>B34</f>
        <v>0</v>
      </c>
      <c r="M35" s="1447" t="str">
        <f>B34&amp;"、"&amp;C34</f>
        <v>、</v>
      </c>
      <c r="N35" s="1447" t="str">
        <f>B34&amp;"、"&amp;C34&amp;"、"&amp;D34</f>
        <v>、、</v>
      </c>
      <c r="O35" s="1447" t="str">
        <f>B34&amp;"、"&amp;C34&amp;"、"&amp;D34&amp;"、"&amp;E34</f>
        <v>、、、</v>
      </c>
      <c r="P35" s="1447" t="str">
        <f>B34&amp;"、"&amp;C34&amp;"、"&amp;D34&amp;"、"&amp;E34&amp;"、"&amp;F34</f>
        <v>、、、、</v>
      </c>
      <c r="Q35" s="1447" t="str">
        <f>B34&amp;"、"&amp;C34&amp;"、"&amp;D34&amp;"、"&amp;E34&amp;"、"&amp;F34&amp;"、"&amp;G34</f>
        <v>、、、、、</v>
      </c>
      <c r="R35" s="1447" t="str">
        <f>B34&amp;"、"&amp;C34&amp;"、"&amp;D34&amp;"、"&amp;E34&amp;"、"&amp;F34&amp;"、"&amp;G34&amp;"、"&amp;H34</f>
        <v>、、、、、、</v>
      </c>
      <c r="S35" s="646"/>
      <c r="T35" s="1447" t="str">
        <f>IF(T34="一通",L35,IF(T34="二通",M35,IF(T34="三通",N35,IF(T34="四通",O35,IF(T34="五通",P35,IF(T34="六通",Q35,R35))))))</f>
        <v>、、、、、、</v>
      </c>
      <c r="U35" s="2924"/>
      <c r="V35" s="2924"/>
    </row>
    <row r="36" spans="1:22">
      <c r="A36" s="3461"/>
      <c r="B36" s="705" t="s">
        <v>449</v>
      </c>
      <c r="C36" s="705" t="s">
        <v>450</v>
      </c>
      <c r="D36" s="705" t="s">
        <v>448</v>
      </c>
      <c r="E36" s="705" t="s">
        <v>453</v>
      </c>
      <c r="F36" s="3462" t="s">
        <v>280</v>
      </c>
      <c r="G36" s="3055"/>
      <c r="H36" s="3055"/>
      <c r="I36" s="3055"/>
      <c r="J36" s="2924"/>
      <c r="K36" s="3477"/>
      <c r="L36" s="3475"/>
      <c r="M36" s="3475"/>
      <c r="N36" s="2924"/>
      <c r="O36" s="3476"/>
      <c r="P36" s="2924"/>
      <c r="Q36" s="2924"/>
      <c r="R36" s="2924"/>
      <c r="S36" s="2924"/>
      <c r="T36" s="2924"/>
      <c r="U36" s="2924"/>
      <c r="V36" s="2924"/>
    </row>
    <row r="37" spans="1:22">
      <c r="A37" s="3463" t="s">
        <v>501</v>
      </c>
      <c r="B37" s="3464"/>
      <c r="C37" s="3464" t="s">
        <v>241</v>
      </c>
      <c r="D37" s="3464"/>
      <c r="E37" s="3464"/>
      <c r="F37" s="3464"/>
      <c r="G37" s="3055"/>
      <c r="H37" s="3055"/>
      <c r="I37" s="3055"/>
      <c r="J37" s="2924"/>
      <c r="K37" s="3477"/>
      <c r="L37" s="3475"/>
      <c r="M37" s="3475"/>
      <c r="N37" s="2924"/>
      <c r="O37" s="3476"/>
      <c r="P37" s="2924"/>
      <c r="Q37" s="2924"/>
      <c r="R37" s="2924"/>
      <c r="S37" s="2924"/>
      <c r="T37" s="2924"/>
      <c r="U37" s="2924"/>
      <c r="V37" s="2924"/>
    </row>
    <row r="38" ht="13.5" spans="1:22">
      <c r="A38" s="3465" t="s">
        <v>502</v>
      </c>
      <c r="B38" s="3466"/>
      <c r="C38" s="3466" t="s">
        <v>503</v>
      </c>
      <c r="D38" s="3466"/>
      <c r="E38" s="3466"/>
      <c r="F38" s="3466"/>
      <c r="G38" s="3387"/>
      <c r="H38" s="3387"/>
      <c r="I38" s="3387"/>
      <c r="J38" s="2924"/>
      <c r="K38" s="3477"/>
      <c r="L38" s="3475"/>
      <c r="M38" s="3475"/>
      <c r="N38" s="2924"/>
      <c r="O38" s="3476"/>
      <c r="P38" s="2924"/>
      <c r="Q38" s="2924"/>
      <c r="R38" s="2924"/>
      <c r="S38" s="2924"/>
      <c r="T38" s="2924"/>
      <c r="U38" s="2924"/>
      <c r="V38" s="2924"/>
    </row>
    <row r="39" s="3350" customFormat="1" ht="14.25" spans="1:30">
      <c r="A39" s="3467" t="s">
        <v>504</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51"/>
      <c r="J40" s="2925"/>
      <c r="K40" s="3474"/>
      <c r="L40" s="3486"/>
      <c r="M40" s="3486"/>
      <c r="N40" s="2925"/>
      <c r="O40" s="3486"/>
      <c r="P40" s="2924"/>
      <c r="Q40" s="2924"/>
      <c r="R40" s="2924"/>
      <c r="S40" s="2924"/>
      <c r="T40" s="2924"/>
      <c r="U40" s="2924"/>
      <c r="V40" s="2924"/>
    </row>
    <row r="41" spans="1:22">
      <c r="A41" s="3469" t="s">
        <v>505</v>
      </c>
      <c r="B41" s="2515"/>
      <c r="C41" s="2392"/>
      <c r="D41" s="3399"/>
      <c r="E41" s="3399"/>
      <c r="F41" s="3399"/>
      <c r="G41" s="3399"/>
      <c r="H41" s="3399"/>
      <c r="I41" s="3260"/>
      <c r="J41" s="2924"/>
      <c r="K41" s="3477"/>
      <c r="L41" s="3475"/>
      <c r="M41" s="3475"/>
      <c r="N41" s="2924"/>
      <c r="O41" s="3476"/>
      <c r="P41" s="2924"/>
      <c r="Q41" s="2924"/>
      <c r="R41" s="2924"/>
      <c r="S41" s="2924"/>
      <c r="T41" s="2924"/>
      <c r="U41" s="2924"/>
      <c r="V41" s="2924"/>
    </row>
    <row r="42" ht="24.75" spans="1:22">
      <c r="A42" s="1445" t="s">
        <v>506</v>
      </c>
      <c r="B42" s="646" t="s">
        <v>507</v>
      </c>
      <c r="C42" s="646" t="s">
        <v>508</v>
      </c>
      <c r="D42" s="646" t="s">
        <v>509</v>
      </c>
      <c r="E42" s="646" t="s">
        <v>510</v>
      </c>
      <c r="F42" s="646" t="s">
        <v>511</v>
      </c>
      <c r="G42" s="646" t="s">
        <v>512</v>
      </c>
      <c r="H42" s="646" t="s">
        <v>513</v>
      </c>
      <c r="I42" s="646" t="s">
        <v>514</v>
      </c>
      <c r="J42" s="3498" t="s">
        <v>515</v>
      </c>
      <c r="K42" s="3499" t="s">
        <v>516</v>
      </c>
      <c r="L42" s="3499" t="s">
        <v>517</v>
      </c>
      <c r="M42" s="3499" t="s">
        <v>518</v>
      </c>
      <c r="N42" s="3500" t="s">
        <v>519</v>
      </c>
      <c r="O42" s="3500" t="s">
        <v>520</v>
      </c>
      <c r="P42" s="3500" t="s">
        <v>521</v>
      </c>
      <c r="Q42" s="3505" t="s">
        <v>522</v>
      </c>
      <c r="R42" s="3505" t="s">
        <v>523</v>
      </c>
      <c r="S42" s="2924"/>
      <c r="T42" s="2924"/>
      <c r="U42" s="2924"/>
      <c r="V42" s="2924"/>
    </row>
    <row r="43" s="3154" customFormat="1" spans="1:22">
      <c r="A43" s="3287"/>
      <c r="B43" s="3281"/>
      <c r="C43" s="3281"/>
      <c r="D43" s="3281"/>
      <c r="E43" s="3281"/>
      <c r="F43" s="3281"/>
      <c r="G43" s="3281"/>
      <c r="H43" s="3281"/>
      <c r="I43" s="3281"/>
      <c r="J43" s="3501"/>
      <c r="K43" s="3502"/>
      <c r="L43" s="3502"/>
      <c r="M43" s="3281"/>
      <c r="N43" s="3281"/>
      <c r="O43" s="3281"/>
      <c r="P43" s="3281"/>
      <c r="Q43" s="3281"/>
      <c r="R43" s="3281"/>
      <c r="S43" s="2924"/>
      <c r="T43" s="2924"/>
      <c r="U43" s="2924"/>
      <c r="V43" s="2924"/>
    </row>
    <row r="44" s="3154" customFormat="1" spans="1:22">
      <c r="A44" s="3287"/>
      <c r="B44" s="3287"/>
      <c r="C44" s="3281"/>
      <c r="D44" s="3281"/>
      <c r="E44" s="3281"/>
      <c r="F44" s="3281"/>
      <c r="G44" s="3281"/>
      <c r="H44" s="3281"/>
      <c r="I44" s="3281"/>
      <c r="J44" s="3501"/>
      <c r="K44" s="3502"/>
      <c r="L44" s="3502"/>
      <c r="M44" s="3281"/>
      <c r="N44" s="3281"/>
      <c r="O44" s="3281"/>
      <c r="P44" s="3281"/>
      <c r="Q44" s="3281"/>
      <c r="R44" s="3281"/>
      <c r="S44" s="2924"/>
      <c r="T44" s="2924"/>
      <c r="U44" s="2924"/>
      <c r="V44" s="2924"/>
    </row>
    <row r="45" s="3154" customFormat="1" spans="1:22">
      <c r="A45" s="3287"/>
      <c r="B45" s="3287"/>
      <c r="C45" s="3281"/>
      <c r="D45" s="3281"/>
      <c r="E45" s="3281"/>
      <c r="F45" s="3281"/>
      <c r="G45" s="3281"/>
      <c r="H45" s="3281"/>
      <c r="I45" s="3281"/>
      <c r="J45" s="3501"/>
      <c r="K45" s="3502"/>
      <c r="L45" s="3502"/>
      <c r="M45" s="3281"/>
      <c r="N45" s="3281"/>
      <c r="O45" s="3281"/>
      <c r="P45" s="3281"/>
      <c r="Q45" s="3281"/>
      <c r="R45" s="3281"/>
      <c r="S45" s="2924"/>
      <c r="T45" s="2924"/>
      <c r="U45" s="2924"/>
      <c r="V45" s="2924"/>
    </row>
    <row r="46" s="3154" customFormat="1" spans="1:22">
      <c r="A46" s="3287"/>
      <c r="B46" s="3287"/>
      <c r="C46" s="3281"/>
      <c r="D46" s="3281"/>
      <c r="E46" s="3281"/>
      <c r="F46" s="3281"/>
      <c r="G46" s="3281"/>
      <c r="H46" s="3281"/>
      <c r="I46" s="3281"/>
      <c r="J46" s="3501"/>
      <c r="K46" s="3502"/>
      <c r="L46" s="3502"/>
      <c r="M46" s="3281"/>
      <c r="N46" s="3281"/>
      <c r="O46" s="3281"/>
      <c r="P46" s="3281"/>
      <c r="Q46" s="3281"/>
      <c r="R46" s="3281"/>
      <c r="S46" s="2924"/>
      <c r="T46" s="2924"/>
      <c r="U46" s="2924"/>
      <c r="V46" s="2924"/>
    </row>
    <row r="47" s="3154" customFormat="1" spans="1:22">
      <c r="A47" s="3287"/>
      <c r="B47" s="3287"/>
      <c r="C47" s="3281"/>
      <c r="D47" s="3281"/>
      <c r="E47" s="3281"/>
      <c r="F47" s="3281"/>
      <c r="G47" s="3281"/>
      <c r="H47" s="3281"/>
      <c r="I47" s="3281"/>
      <c r="J47" s="3501"/>
      <c r="K47" s="3502"/>
      <c r="L47" s="3502"/>
      <c r="M47" s="3281"/>
      <c r="N47" s="3281"/>
      <c r="O47" s="3281"/>
      <c r="P47" s="3281"/>
      <c r="Q47" s="3281"/>
      <c r="R47" s="3281"/>
      <c r="S47" s="2924"/>
      <c r="T47" s="2924"/>
      <c r="U47" s="2924"/>
      <c r="V47" s="2924"/>
    </row>
    <row r="48" s="3154" customFormat="1" spans="1:22">
      <c r="A48" s="3287"/>
      <c r="B48" s="3287"/>
      <c r="C48" s="3281"/>
      <c r="D48" s="3281"/>
      <c r="E48" s="3281"/>
      <c r="F48" s="3281"/>
      <c r="G48" s="3281"/>
      <c r="H48" s="3281"/>
      <c r="I48" s="3281"/>
      <c r="J48" s="3501"/>
      <c r="K48" s="3502"/>
      <c r="L48" s="3502"/>
      <c r="M48" s="3281"/>
      <c r="N48" s="3281"/>
      <c r="O48" s="3281"/>
      <c r="P48" s="3281"/>
      <c r="Q48" s="3281"/>
      <c r="R48" s="3281"/>
      <c r="S48" s="2924"/>
      <c r="T48" s="2924"/>
      <c r="U48" s="2924"/>
      <c r="V48" s="2924"/>
    </row>
    <row r="49" s="3154" customFormat="1" spans="1:22">
      <c r="A49" s="3287"/>
      <c r="B49" s="3287"/>
      <c r="C49" s="3281"/>
      <c r="D49" s="3281"/>
      <c r="E49" s="3281"/>
      <c r="F49" s="3281"/>
      <c r="G49" s="3281"/>
      <c r="H49" s="3281"/>
      <c r="I49" s="3281"/>
      <c r="J49" s="3501"/>
      <c r="K49" s="3502"/>
      <c r="L49" s="3502"/>
      <c r="M49" s="3281"/>
      <c r="N49" s="3281"/>
      <c r="O49" s="3281"/>
      <c r="P49" s="3281"/>
      <c r="Q49" s="3281"/>
      <c r="R49" s="3281"/>
      <c r="S49" s="2924"/>
      <c r="T49" s="2924"/>
      <c r="U49" s="2924"/>
      <c r="V49" s="2924"/>
    </row>
    <row r="50" s="3154" customFormat="1" spans="1:22">
      <c r="A50" s="3287"/>
      <c r="B50" s="3287"/>
      <c r="C50" s="3281"/>
      <c r="D50" s="3281"/>
      <c r="E50" s="3281"/>
      <c r="F50" s="3281"/>
      <c r="G50" s="3281"/>
      <c r="H50" s="3281"/>
      <c r="I50" s="3281"/>
      <c r="J50" s="3501"/>
      <c r="K50" s="3502"/>
      <c r="L50" s="3502"/>
      <c r="M50" s="3281"/>
      <c r="N50" s="3281"/>
      <c r="O50" s="3281"/>
      <c r="P50" s="3281"/>
      <c r="Q50" s="3281"/>
      <c r="R50" s="3281"/>
      <c r="S50" s="2924"/>
      <c r="T50" s="2924"/>
      <c r="U50" s="2924"/>
      <c r="V50" s="2924"/>
    </row>
    <row r="51" s="3154" customFormat="1" spans="1:18">
      <c r="A51" s="3287"/>
      <c r="B51" s="3287"/>
      <c r="C51" s="3281"/>
      <c r="D51" s="3281"/>
      <c r="E51" s="3281"/>
      <c r="F51" s="3281"/>
      <c r="G51" s="3281"/>
      <c r="H51" s="3281"/>
      <c r="I51" s="3281"/>
      <c r="J51" s="3501"/>
      <c r="K51" s="3502"/>
      <c r="L51" s="3502"/>
      <c r="M51" s="3281"/>
      <c r="N51" s="3281"/>
      <c r="O51" s="3281"/>
      <c r="P51" s="3281"/>
      <c r="Q51" s="3281"/>
      <c r="R51" s="3281"/>
    </row>
    <row r="52" s="3154" customFormat="1" spans="1:18">
      <c r="A52" s="3287"/>
      <c r="B52" s="3287"/>
      <c r="C52" s="3287"/>
      <c r="D52" s="3287"/>
      <c r="E52" s="3287"/>
      <c r="F52" s="3281"/>
      <c r="G52" s="3287"/>
      <c r="H52" s="3287"/>
      <c r="I52" s="3287"/>
      <c r="J52" s="3503"/>
      <c r="K52" s="3502"/>
      <c r="L52" s="3502"/>
      <c r="M52" s="3502"/>
      <c r="N52" s="3287"/>
      <c r="O52" s="3287"/>
      <c r="P52" s="3287"/>
      <c r="Q52" s="3287"/>
      <c r="R52" s="3287"/>
    </row>
    <row r="53" s="3154" customFormat="1" spans="1:18">
      <c r="A53" s="3287"/>
      <c r="B53" s="3287"/>
      <c r="C53" s="3287"/>
      <c r="D53" s="3287"/>
      <c r="E53" s="3287"/>
      <c r="F53" s="3281"/>
      <c r="G53" s="3287"/>
      <c r="H53" s="3287"/>
      <c r="I53" s="3287"/>
      <c r="J53" s="3503"/>
      <c r="K53" s="3502"/>
      <c r="L53" s="3502"/>
      <c r="M53" s="3502"/>
      <c r="N53" s="3287"/>
      <c r="O53" s="3287"/>
      <c r="P53" s="3287"/>
      <c r="Q53" s="3287"/>
      <c r="R53" s="3287"/>
    </row>
    <row r="54" s="3154" customFormat="1" spans="1:18">
      <c r="A54" s="3287"/>
      <c r="B54" s="3287"/>
      <c r="C54" s="3287"/>
      <c r="D54" s="3287"/>
      <c r="E54" s="3287"/>
      <c r="F54" s="3281"/>
      <c r="G54" s="3287"/>
      <c r="H54" s="3287"/>
      <c r="I54" s="3287"/>
      <c r="J54" s="3503"/>
      <c r="K54" s="3502"/>
      <c r="L54" s="3502"/>
      <c r="M54" s="3502"/>
      <c r="N54" s="3287"/>
      <c r="O54" s="3287"/>
      <c r="P54" s="3287"/>
      <c r="Q54" s="3287"/>
      <c r="R54" s="3287"/>
    </row>
    <row r="55" s="3154" customFormat="1" spans="1:18">
      <c r="A55" s="3287"/>
      <c r="B55" s="3287"/>
      <c r="C55" s="3287"/>
      <c r="D55" s="3287"/>
      <c r="E55" s="3287"/>
      <c r="F55" s="3281"/>
      <c r="G55" s="3287"/>
      <c r="H55" s="3287"/>
      <c r="I55" s="3287"/>
      <c r="J55" s="3503"/>
      <c r="K55" s="3502"/>
      <c r="L55" s="3502"/>
      <c r="M55" s="3502"/>
      <c r="N55" s="3287"/>
      <c r="O55" s="3287"/>
      <c r="P55" s="3287"/>
      <c r="Q55" s="3287"/>
      <c r="R55" s="3287"/>
    </row>
    <row r="56" s="3154" customFormat="1" spans="1:18">
      <c r="A56" s="3287"/>
      <c r="B56" s="3287"/>
      <c r="C56" s="3287"/>
      <c r="D56" s="3287"/>
      <c r="E56" s="3287"/>
      <c r="F56" s="3281"/>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524</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3" t="s">
        <v>525</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646" t="s">
        <v>465</v>
      </c>
      <c r="B2" s="646" t="s">
        <v>461</v>
      </c>
      <c r="C2" s="646" t="s">
        <v>526</v>
      </c>
      <c r="D2" s="3260"/>
      <c r="E2" s="2599"/>
      <c r="F2" s="2651"/>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3" t="s">
        <v>527</v>
      </c>
      <c r="AZ2" s="3324" t="s">
        <v>528</v>
      </c>
      <c r="BA2" s="646" t="s">
        <v>529</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c r="B3" s="3262">
        <f>IF(C3="否",G5-AT5,G5)</f>
        <v>695.5</v>
      </c>
      <c r="C3" s="3263" t="s">
        <v>530</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5"/>
      <c r="AZ3" s="3281"/>
      <c r="BA3" s="3326"/>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7"/>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1559" t="s">
        <v>531</v>
      </c>
      <c r="B5" s="2511"/>
      <c r="C5" s="2511"/>
      <c r="D5" s="2665"/>
      <c r="E5" s="3267" t="s">
        <v>124</v>
      </c>
      <c r="F5" s="3267">
        <f>SUM(F13:F587)</f>
        <v>0</v>
      </c>
      <c r="G5" s="3267">
        <f>SUM(G13:G587)</f>
        <v>695.5</v>
      </c>
      <c r="H5" s="3267">
        <f t="shared" ref="H5:AT5" si="0">SUM(H13:H656)</f>
        <v>695.5</v>
      </c>
      <c r="I5" s="3267">
        <f t="shared" si="0"/>
        <v>695.5</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10"/>
      <c r="AV5" s="1559" t="s">
        <v>531</v>
      </c>
      <c r="AW5" s="2511"/>
      <c r="AX5" s="2511"/>
      <c r="AY5" s="3328" t="s">
        <v>124</v>
      </c>
      <c r="AZ5" s="3329">
        <f t="shared" ref="AZ5:BT5" si="1">SUM(AZ13:AZ656)</f>
        <v>695.5</v>
      </c>
      <c r="BA5" s="3329">
        <f t="shared" si="1"/>
        <v>695.5</v>
      </c>
      <c r="BB5" s="3329">
        <f t="shared" si="1"/>
        <v>695.5</v>
      </c>
      <c r="BC5" s="3329">
        <f t="shared" si="1"/>
        <v>0</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4" customFormat="1" ht="12.75" spans="1:72">
      <c r="A6" s="1559" t="s">
        <v>532</v>
      </c>
      <c r="B6" s="3268"/>
      <c r="C6" s="3268"/>
      <c r="D6" s="3269"/>
      <c r="E6" s="3267">
        <f>H6+AC6+AT6</f>
        <v>0</v>
      </c>
      <c r="F6" s="3267" t="s">
        <v>124</v>
      </c>
      <c r="G6" s="3267" t="s">
        <v>124</v>
      </c>
      <c r="H6" s="3270">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4"/>
      <c r="AV6" s="1559" t="s">
        <v>532</v>
      </c>
      <c r="AW6" s="3268"/>
      <c r="AX6" s="3268"/>
      <c r="AY6" s="3330">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9">
        <f t="shared" si="5"/>
        <v>0</v>
      </c>
    </row>
    <row r="7" s="3252" customFormat="1" ht="24.75" spans="1:72">
      <c r="A7" s="3271" t="s">
        <v>533</v>
      </c>
      <c r="B7" s="3271" t="s">
        <v>534</v>
      </c>
      <c r="C7" s="3271" t="s">
        <v>507</v>
      </c>
      <c r="D7" s="3271" t="s">
        <v>535</v>
      </c>
      <c r="E7" s="3271" t="s">
        <v>532</v>
      </c>
      <c r="F7" s="3271" t="s">
        <v>536</v>
      </c>
      <c r="G7" s="2625" t="s">
        <v>537</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65"/>
      <c r="AU7" s="3272" t="s">
        <v>538</v>
      </c>
      <c r="AV7" s="3315" t="s">
        <v>533</v>
      </c>
      <c r="AW7" s="2651" t="s">
        <v>534</v>
      </c>
      <c r="AX7" s="3315" t="s">
        <v>507</v>
      </c>
      <c r="AY7" s="2511" t="s">
        <v>539</v>
      </c>
      <c r="AZ7" s="3306"/>
      <c r="BA7" s="3272"/>
      <c r="BB7" s="3272"/>
      <c r="BC7" s="3272"/>
      <c r="BD7" s="3272"/>
      <c r="BE7" s="3272"/>
      <c r="BF7" s="3272"/>
      <c r="BG7" s="3272"/>
      <c r="BH7" s="3272"/>
      <c r="BI7" s="3272"/>
      <c r="BJ7" s="3272"/>
      <c r="BK7" s="3272"/>
      <c r="BL7" s="3272"/>
      <c r="BM7" s="3272"/>
      <c r="BN7" s="3272"/>
      <c r="BO7" s="3272"/>
      <c r="BP7" s="3272"/>
      <c r="BQ7" s="3272"/>
      <c r="BR7" s="3272"/>
      <c r="BS7" s="3272"/>
      <c r="BT7" s="3340"/>
    </row>
    <row r="8" s="2953" customFormat="1" ht="24" spans="1:72">
      <c r="A8" s="3273"/>
      <c r="B8" s="3273"/>
      <c r="C8" s="3273"/>
      <c r="D8" s="3273"/>
      <c r="E8" s="3273"/>
      <c r="F8" s="3273"/>
      <c r="G8" s="3274" t="s">
        <v>540</v>
      </c>
      <c r="H8" s="3275" t="s">
        <v>541</v>
      </c>
      <c r="I8" s="3295"/>
      <c r="J8" s="645"/>
      <c r="K8" s="645"/>
      <c r="L8" s="645"/>
      <c r="M8" s="645"/>
      <c r="N8" s="645"/>
      <c r="O8" s="645"/>
      <c r="P8" s="645"/>
      <c r="Q8" s="645"/>
      <c r="R8" s="645"/>
      <c r="S8" s="645"/>
      <c r="T8" s="645"/>
      <c r="U8" s="645"/>
      <c r="V8" s="3302"/>
      <c r="W8" s="645"/>
      <c r="X8" s="645"/>
      <c r="Y8" s="645"/>
      <c r="Z8" s="645"/>
      <c r="AA8" s="3302"/>
      <c r="AB8" s="3304"/>
      <c r="AC8" s="2441" t="s">
        <v>542</v>
      </c>
      <c r="AD8" s="3305"/>
      <c r="AE8" s="3306"/>
      <c r="AF8" s="645"/>
      <c r="AG8" s="645"/>
      <c r="AH8" s="645"/>
      <c r="AI8" s="645"/>
      <c r="AJ8" s="645"/>
      <c r="AK8" s="645"/>
      <c r="AL8" s="645"/>
      <c r="AM8" s="645"/>
      <c r="AN8" s="645"/>
      <c r="AO8" s="645"/>
      <c r="AP8" s="645"/>
      <c r="AQ8" s="645"/>
      <c r="AR8" s="645"/>
      <c r="AS8" s="645"/>
      <c r="AT8" s="1394" t="s">
        <v>543</v>
      </c>
      <c r="AU8" s="3273" t="s">
        <v>544</v>
      </c>
      <c r="AV8" s="1394"/>
      <c r="AW8" s="2599"/>
      <c r="AX8" s="1394"/>
      <c r="AY8" s="2651" t="s">
        <v>532</v>
      </c>
      <c r="AZ8" s="644" t="s">
        <v>461</v>
      </c>
      <c r="BA8" s="645"/>
      <c r="BB8" s="645"/>
      <c r="BC8" s="645"/>
      <c r="BD8" s="645"/>
      <c r="BE8" s="645"/>
      <c r="BF8" s="645"/>
      <c r="BG8" s="645"/>
      <c r="BH8" s="645"/>
      <c r="BI8" s="645"/>
      <c r="BJ8" s="645"/>
      <c r="BK8" s="645"/>
      <c r="BL8" s="645"/>
      <c r="BM8" s="645"/>
      <c r="BN8" s="645"/>
      <c r="BO8" s="645"/>
      <c r="BP8" s="645"/>
      <c r="BQ8" s="645"/>
      <c r="BR8" s="645"/>
      <c r="BS8" s="645"/>
      <c r="BT8" s="1443"/>
    </row>
    <row r="9" s="2953" customFormat="1" ht="12.75" spans="1:72">
      <c r="A9" s="3273"/>
      <c r="B9" s="3273"/>
      <c r="C9" s="3273"/>
      <c r="D9" s="3273"/>
      <c r="E9" s="3273"/>
      <c r="F9" s="3273"/>
      <c r="G9" s="1394"/>
      <c r="H9" s="3276" t="s">
        <v>545</v>
      </c>
      <c r="I9" s="3296" t="s">
        <v>546</v>
      </c>
      <c r="J9" s="2441"/>
      <c r="K9" s="3296"/>
      <c r="L9" s="2441"/>
      <c r="M9" s="3296"/>
      <c r="N9" s="2441"/>
      <c r="O9" s="3296"/>
      <c r="P9" s="2441"/>
      <c r="Q9" s="3296"/>
      <c r="R9" s="2441"/>
      <c r="S9" s="3296"/>
      <c r="T9" s="2441"/>
      <c r="U9" s="3296"/>
      <c r="V9" s="2441"/>
      <c r="W9" s="3296"/>
      <c r="X9" s="3303"/>
      <c r="Y9" s="3296"/>
      <c r="Z9" s="2441"/>
      <c r="AA9" s="3296"/>
      <c r="AB9" s="2441"/>
      <c r="AC9" s="3274" t="s">
        <v>545</v>
      </c>
      <c r="AD9" s="1559" t="s">
        <v>547</v>
      </c>
      <c r="AE9" s="1408"/>
      <c r="AF9" s="1559" t="s">
        <v>548</v>
      </c>
      <c r="AG9" s="1408"/>
      <c r="AH9" s="1559" t="s">
        <v>547</v>
      </c>
      <c r="AI9" s="1408"/>
      <c r="AJ9" s="1559" t="s">
        <v>548</v>
      </c>
      <c r="AK9" s="1408"/>
      <c r="AL9" s="1559" t="s">
        <v>547</v>
      </c>
      <c r="AM9" s="1408"/>
      <c r="AN9" s="1559" t="s">
        <v>548</v>
      </c>
      <c r="AO9" s="1408"/>
      <c r="AP9" s="1559" t="s">
        <v>547</v>
      </c>
      <c r="AQ9" s="1408"/>
      <c r="AR9" s="1559" t="s">
        <v>548</v>
      </c>
      <c r="AS9" s="3316"/>
      <c r="AT9" s="3273"/>
      <c r="AU9" s="3273" t="s">
        <v>549</v>
      </c>
      <c r="AV9" s="1394"/>
      <c r="AW9" s="2599"/>
      <c r="AX9" s="1394"/>
      <c r="AY9" s="3277"/>
      <c r="AZ9" s="3277" t="s">
        <v>540</v>
      </c>
      <c r="BA9" s="3331" t="s">
        <v>550</v>
      </c>
      <c r="BB9" s="3332"/>
      <c r="BC9" s="1455"/>
      <c r="BD9" s="1455"/>
      <c r="BE9" s="1455"/>
      <c r="BF9" s="1455"/>
      <c r="BG9" s="1455"/>
      <c r="BH9" s="1455"/>
      <c r="BI9" s="1455"/>
      <c r="BJ9" s="1455"/>
      <c r="BK9" s="3337"/>
      <c r="BL9" s="1559" t="s">
        <v>551</v>
      </c>
      <c r="BM9" s="645"/>
      <c r="BN9" s="3295"/>
      <c r="BO9" s="645"/>
      <c r="BP9" s="645"/>
      <c r="BQ9" s="645"/>
      <c r="BR9" s="645"/>
      <c r="BS9" s="645"/>
      <c r="BT9" s="1443"/>
    </row>
    <row r="10" s="2953" customFormat="1" ht="12.75" spans="1:72">
      <c r="A10" s="3273"/>
      <c r="B10" s="3273"/>
      <c r="C10" s="3273"/>
      <c r="D10" s="3273"/>
      <c r="E10" s="3273"/>
      <c r="F10" s="3273"/>
      <c r="G10" s="1394"/>
      <c r="H10" s="3277"/>
      <c r="I10" s="3296" t="s">
        <v>552</v>
      </c>
      <c r="J10" s="2441"/>
      <c r="K10" s="3297"/>
      <c r="L10" s="2441"/>
      <c r="M10" s="3297"/>
      <c r="N10" s="2441"/>
      <c r="O10" s="3297"/>
      <c r="P10" s="2441"/>
      <c r="Q10" s="3297"/>
      <c r="R10" s="2441"/>
      <c r="S10" s="3297"/>
      <c r="T10" s="2441"/>
      <c r="U10" s="3297"/>
      <c r="V10" s="2441"/>
      <c r="W10" s="3297"/>
      <c r="X10" s="2441"/>
      <c r="Y10" s="3297"/>
      <c r="Z10" s="2441"/>
      <c r="AA10" s="3297"/>
      <c r="AB10" s="2441"/>
      <c r="AC10" s="1394"/>
      <c r="AD10" s="1559" t="s">
        <v>553</v>
      </c>
      <c r="AE10" s="3307"/>
      <c r="AF10" s="1559" t="s">
        <v>553</v>
      </c>
      <c r="AG10" s="3307"/>
      <c r="AH10" s="1559" t="s">
        <v>554</v>
      </c>
      <c r="AI10" s="3307"/>
      <c r="AJ10" s="1559" t="s">
        <v>554</v>
      </c>
      <c r="AK10" s="3307"/>
      <c r="AL10" s="1559" t="s">
        <v>555</v>
      </c>
      <c r="AM10" s="1408"/>
      <c r="AN10" s="1559" t="s">
        <v>555</v>
      </c>
      <c r="AO10" s="1408"/>
      <c r="AP10" s="1559" t="s">
        <v>556</v>
      </c>
      <c r="AQ10" s="1408"/>
      <c r="AR10" s="1559" t="s">
        <v>556</v>
      </c>
      <c r="AS10" s="1408"/>
      <c r="AT10" s="3273"/>
      <c r="AU10" s="3273"/>
      <c r="AV10" s="1394"/>
      <c r="AW10" s="2599"/>
      <c r="AX10" s="1394"/>
      <c r="AY10" s="3277"/>
      <c r="AZ10" s="3277"/>
      <c r="BA10" s="3278" t="s">
        <v>545</v>
      </c>
      <c r="BB10" s="3333" t="str">
        <f>I9</f>
        <v>地上</v>
      </c>
      <c r="BC10" s="1467">
        <f>K9</f>
        <v>0</v>
      </c>
      <c r="BD10" s="1467">
        <f>M9</f>
        <v>0</v>
      </c>
      <c r="BE10" s="1467">
        <f>O9</f>
        <v>0</v>
      </c>
      <c r="BF10" s="1467">
        <f>Q9</f>
        <v>0</v>
      </c>
      <c r="BG10" s="1467">
        <f>S9</f>
        <v>0</v>
      </c>
      <c r="BH10" s="1467">
        <f>U9</f>
        <v>0</v>
      </c>
      <c r="BI10" s="1467">
        <f>W9</f>
        <v>0</v>
      </c>
      <c r="BJ10" s="1467">
        <f>Y9</f>
        <v>0</v>
      </c>
      <c r="BK10" s="1467">
        <f>AA9</f>
        <v>0</v>
      </c>
      <c r="BL10" s="1463" t="s">
        <v>545</v>
      </c>
      <c r="BM10" s="644" t="str">
        <f>AD9</f>
        <v>地上</v>
      </c>
      <c r="BN10" s="1467" t="str">
        <f>AF9</f>
        <v>地下</v>
      </c>
      <c r="BO10" s="644" t="str">
        <f>AH9</f>
        <v>地上</v>
      </c>
      <c r="BP10" s="1467" t="str">
        <f>AJ9</f>
        <v>地下</v>
      </c>
      <c r="BQ10" s="644" t="str">
        <f>AL9</f>
        <v>地上</v>
      </c>
      <c r="BR10" s="1467" t="str">
        <f>AN9</f>
        <v>地下</v>
      </c>
      <c r="BS10" s="644" t="str">
        <f>AP9</f>
        <v>地上</v>
      </c>
      <c r="BT10" s="3341" t="str">
        <f>AR9</f>
        <v>地下</v>
      </c>
    </row>
    <row r="11" s="2953" customFormat="1" ht="12.75" spans="1:72">
      <c r="A11" s="3273"/>
      <c r="B11" s="3273"/>
      <c r="C11" s="3273"/>
      <c r="D11" s="3273"/>
      <c r="E11" s="3273"/>
      <c r="F11" s="3273"/>
      <c r="G11" s="1394"/>
      <c r="H11" s="3278"/>
      <c r="I11" s="3298" t="s">
        <v>557</v>
      </c>
      <c r="J11" s="3299"/>
      <c r="K11" s="3298"/>
      <c r="L11" s="3299"/>
      <c r="M11" s="3298"/>
      <c r="N11" s="3299"/>
      <c r="O11" s="3298"/>
      <c r="P11" s="3299"/>
      <c r="Q11" s="3298"/>
      <c r="R11" s="3299"/>
      <c r="S11" s="3298"/>
      <c r="T11" s="3299"/>
      <c r="U11" s="3298"/>
      <c r="V11" s="3299"/>
      <c r="W11" s="3298"/>
      <c r="X11" s="3299"/>
      <c r="Y11" s="3298"/>
      <c r="Z11" s="3299"/>
      <c r="AA11" s="3298"/>
      <c r="AB11" s="3299"/>
      <c r="AC11" s="1394"/>
      <c r="AD11" s="3308" t="s">
        <v>558</v>
      </c>
      <c r="AE11" s="703"/>
      <c r="AF11" s="3308" t="s">
        <v>558</v>
      </c>
      <c r="AG11" s="703"/>
      <c r="AH11" s="3308" t="s">
        <v>559</v>
      </c>
      <c r="AI11" s="3312"/>
      <c r="AJ11" s="3308" t="s">
        <v>559</v>
      </c>
      <c r="AK11" s="703"/>
      <c r="AL11" s="644"/>
      <c r="AM11" s="703"/>
      <c r="AN11" s="644"/>
      <c r="AO11" s="703"/>
      <c r="AP11" s="644"/>
      <c r="AQ11" s="703"/>
      <c r="AR11" s="644"/>
      <c r="AS11" s="703"/>
      <c r="AT11" s="2599"/>
      <c r="AU11" s="3273"/>
      <c r="AV11" s="1394"/>
      <c r="AW11" s="2599"/>
      <c r="AX11" s="1394"/>
      <c r="AY11" s="3277"/>
      <c r="AZ11" s="3277"/>
      <c r="BA11" s="3277"/>
      <c r="BB11" s="3304" t="str">
        <f>I10</f>
        <v>办公</v>
      </c>
      <c r="BC11" s="3304">
        <f>K10</f>
        <v>0</v>
      </c>
      <c r="BD11" s="3304">
        <f>M10</f>
        <v>0</v>
      </c>
      <c r="BE11" s="3304">
        <f>O10</f>
        <v>0</v>
      </c>
      <c r="BF11" s="3304">
        <f>Q10</f>
        <v>0</v>
      </c>
      <c r="BG11" s="3304">
        <f>S10</f>
        <v>0</v>
      </c>
      <c r="BH11" s="3304">
        <f>U10</f>
        <v>0</v>
      </c>
      <c r="BI11" s="3304">
        <f>W10</f>
        <v>0</v>
      </c>
      <c r="BJ11" s="3304">
        <f>Y10</f>
        <v>0</v>
      </c>
      <c r="BK11" s="3304">
        <f>AA10</f>
        <v>0</v>
      </c>
      <c r="BL11" s="139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3" t="str">
        <f>AP10</f>
        <v>未注明</v>
      </c>
      <c r="BT11" s="3342" t="str">
        <f>AR10</f>
        <v>未注明</v>
      </c>
    </row>
    <row r="12" s="3252" customFormat="1" ht="12.75" spans="1:72">
      <c r="A12" s="3279"/>
      <c r="B12" s="3279"/>
      <c r="C12" s="3279"/>
      <c r="D12" s="3279"/>
      <c r="E12" s="3279"/>
      <c r="F12" s="3279"/>
      <c r="G12" s="2045"/>
      <c r="H12" s="3280"/>
      <c r="I12" s="2665"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10" t="s">
        <v>561</v>
      </c>
      <c r="W12" s="646" t="s">
        <v>560</v>
      </c>
      <c r="X12" s="646" t="s">
        <v>561</v>
      </c>
      <c r="Y12" s="646" t="s">
        <v>560</v>
      </c>
      <c r="Z12" s="646" t="s">
        <v>561</v>
      </c>
      <c r="AA12" s="646" t="s">
        <v>560</v>
      </c>
      <c r="AB12" s="646" t="s">
        <v>561</v>
      </c>
      <c r="AC12" s="3309"/>
      <c r="AD12" s="2665"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5" t="s">
        <v>560</v>
      </c>
      <c r="AS12" s="3279" t="s">
        <v>561</v>
      </c>
      <c r="AT12" s="3317"/>
      <c r="AU12" s="3279"/>
      <c r="AV12" s="3318"/>
      <c r="AW12" s="2651"/>
      <c r="AX12" s="3318"/>
      <c r="AY12" s="3334"/>
      <c r="AZ12" s="3277"/>
      <c r="BA12" s="3278"/>
      <c r="BB12" s="643" t="str">
        <f>I11</f>
        <v>独栋</v>
      </c>
      <c r="BC12" s="3335">
        <f>K11</f>
        <v>0</v>
      </c>
      <c r="BD12" s="3335">
        <f>M11</f>
        <v>0</v>
      </c>
      <c r="BE12" s="3304">
        <f>O11</f>
        <v>0</v>
      </c>
      <c r="BF12" s="3304">
        <f>Q11</f>
        <v>0</v>
      </c>
      <c r="BG12" s="3304">
        <f>S11</f>
        <v>0</v>
      </c>
      <c r="BH12" s="3304">
        <f>U11</f>
        <v>0</v>
      </c>
      <c r="BI12" s="3304">
        <f>W11</f>
        <v>0</v>
      </c>
      <c r="BJ12" s="3304">
        <f>Y11</f>
        <v>0</v>
      </c>
      <c r="BK12" s="3304">
        <f>AA11</f>
        <v>0</v>
      </c>
      <c r="BL12" s="1394"/>
      <c r="BM12" s="644" t="str">
        <f>AD11</f>
        <v>（住宅）</v>
      </c>
      <c r="BN12" s="644" t="str">
        <f>AF11</f>
        <v>（住宅）</v>
      </c>
      <c r="BO12" s="643" t="str">
        <f>AH11</f>
        <v>（住宅、计出让金）</v>
      </c>
      <c r="BP12" s="643" t="str">
        <f>AJ11</f>
        <v>（住宅、计出让金）</v>
      </c>
      <c r="BQ12" s="643">
        <f>AL11</f>
        <v>0</v>
      </c>
      <c r="BR12" s="643">
        <f>AN11</f>
        <v>0</v>
      </c>
      <c r="BS12" s="1463">
        <f>AP11</f>
        <v>0</v>
      </c>
      <c r="BT12" s="3342">
        <f>AR11</f>
        <v>0</v>
      </c>
    </row>
    <row r="13" s="3252" customFormat="1" ht="12.75" spans="1:72">
      <c r="A13" s="3281"/>
      <c r="B13" s="3281"/>
      <c r="C13" s="3282" t="s">
        <v>562</v>
      </c>
      <c r="D13" s="3283" t="s">
        <v>563</v>
      </c>
      <c r="E13" s="3267">
        <f>IF($C$3="是",ROUND($A$3*G13/$B$3,2),ROUND($A$3*(G13-AT13)/$B$3,2))</f>
        <v>0</v>
      </c>
      <c r="F13" s="3284"/>
      <c r="G13" s="3285">
        <f>H13+AC13+AT13</f>
        <v>684.1</v>
      </c>
      <c r="H13" s="3270">
        <f>SUMIF(I$12:AB$12,"总值",I13:AB13)</f>
        <v>684.1</v>
      </c>
      <c r="I13" s="3300">
        <v>684.1</v>
      </c>
      <c r="J13" s="3300"/>
      <c r="K13" s="3300"/>
      <c r="L13" s="3300"/>
      <c r="M13" s="3300"/>
      <c r="N13" s="3300"/>
      <c r="O13" s="3300"/>
      <c r="P13" s="3300"/>
      <c r="Q13" s="3300"/>
      <c r="R13" s="3300"/>
      <c r="S13" s="3300"/>
      <c r="T13" s="3300"/>
      <c r="U13" s="3300"/>
      <c r="V13" s="3300"/>
      <c r="W13" s="3300"/>
      <c r="X13" s="3300"/>
      <c r="Y13" s="3300"/>
      <c r="Z13" s="3300"/>
      <c r="AA13" s="3300"/>
      <c r="AB13" s="3300"/>
      <c r="AC13" s="3267">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6">
        <f t="shared" ref="AV13:AX17" si="6">A13</f>
        <v>0</v>
      </c>
      <c r="AW13" s="646">
        <f t="shared" si="6"/>
        <v>0</v>
      </c>
      <c r="AX13" s="646" t="str">
        <f t="shared" si="6"/>
        <v>3号楼</v>
      </c>
      <c r="AY13" s="2665">
        <f>ROUND($AY$6*AZ13/$AZ$5,2)</f>
        <v>0</v>
      </c>
      <c r="AZ13" s="3267">
        <f>BA13+BL13</f>
        <v>684.1</v>
      </c>
      <c r="BA13" s="3267">
        <f>SUM(BB13:BK13)</f>
        <v>684.1</v>
      </c>
      <c r="BB13" s="3267">
        <f>IF($D13="是",I13-J13,0)</f>
        <v>684.1</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9">
        <f>IF($D13="是",AR13-AS13,0)</f>
        <v>0</v>
      </c>
    </row>
    <row r="14" s="3252" customFormat="1" ht="12.75" spans="1:72">
      <c r="A14" s="3281"/>
      <c r="B14" s="3281"/>
      <c r="C14" s="3286" t="s">
        <v>564</v>
      </c>
      <c r="D14" s="3283" t="s">
        <v>563</v>
      </c>
      <c r="E14" s="3267">
        <f>IF($C$3="是",ROUND($A$3*G14/$B$3,2),ROUND($A$3*(G14-AT14)/$B$3,2))</f>
        <v>0</v>
      </c>
      <c r="F14" s="3284"/>
      <c r="G14" s="3285">
        <f>H14+AC14+AT14</f>
        <v>11.4</v>
      </c>
      <c r="H14" s="3270">
        <f>SUMIF(I$12:AB$12,"总值",I14:AB14)</f>
        <v>11.4</v>
      </c>
      <c r="I14" s="3300">
        <v>11.4</v>
      </c>
      <c r="J14" s="3300"/>
      <c r="K14" s="3300"/>
      <c r="L14" s="3300"/>
      <c r="M14" s="3300"/>
      <c r="N14" s="3300"/>
      <c r="O14" s="3300"/>
      <c r="P14" s="3300"/>
      <c r="Q14" s="3300"/>
      <c r="R14" s="3300"/>
      <c r="S14" s="3300"/>
      <c r="T14" s="3300"/>
      <c r="U14" s="3300"/>
      <c r="V14" s="3300"/>
      <c r="W14" s="3300"/>
      <c r="X14" s="3300"/>
      <c r="Y14" s="3300"/>
      <c r="Z14" s="3300"/>
      <c r="AA14" s="3300"/>
      <c r="AB14" s="3300"/>
      <c r="AC14" s="3267">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6">
        <f t="shared" si="6"/>
        <v>0</v>
      </c>
      <c r="AW14" s="646">
        <f t="shared" si="6"/>
        <v>0</v>
      </c>
      <c r="AX14" s="646" t="str">
        <f t="shared" si="6"/>
        <v>4号楼</v>
      </c>
      <c r="AY14" s="2665">
        <f>ROUND($AY$6*AZ14/$AZ$5,2)</f>
        <v>0</v>
      </c>
      <c r="AZ14" s="3267">
        <f>BA14+BL14</f>
        <v>11.4</v>
      </c>
      <c r="BA14" s="3267">
        <f>SUM(BB14:BK14)</f>
        <v>11.4</v>
      </c>
      <c r="BB14" s="3267">
        <f>IF($D14="是",I14-J14,0)</f>
        <v>11.4</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9">
        <f>IF($D14="是",AR14-AS14,0)</f>
        <v>0</v>
      </c>
    </row>
    <row r="15" s="3252" customFormat="1" ht="12.75" spans="1:72">
      <c r="A15" s="3281"/>
      <c r="B15" s="3281"/>
      <c r="C15" s="3287"/>
      <c r="D15" s="3283"/>
      <c r="E15" s="3267">
        <f>IF($C$3="是",ROUND($A$3*G15/$B$3,2),ROUND($A$3*(G15-AT15)/$B$3,2))</f>
        <v>0</v>
      </c>
      <c r="F15" s="3284"/>
      <c r="G15" s="3285">
        <f>H15+AC15+AT15</f>
        <v>0</v>
      </c>
      <c r="H15" s="3270">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7">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6">
        <f t="shared" si="6"/>
        <v>0</v>
      </c>
      <c r="AW15" s="646">
        <f t="shared" si="6"/>
        <v>0</v>
      </c>
      <c r="AX15" s="646">
        <f t="shared" si="6"/>
        <v>0</v>
      </c>
      <c r="AY15" s="266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9">
        <f>IF($D15="是",AR15-AS15,0)</f>
        <v>0</v>
      </c>
    </row>
    <row r="16" s="3252" customFormat="1" ht="12.75" spans="1:72">
      <c r="A16" s="3281"/>
      <c r="B16" s="3281"/>
      <c r="C16" s="3287"/>
      <c r="D16" s="3283"/>
      <c r="E16" s="3267">
        <f>IF($C$3="是",ROUND($A$3*G16/$B$3,2),ROUND($A$3*(G16-AT16)/$B$3,2))</f>
        <v>0</v>
      </c>
      <c r="F16" s="3284"/>
      <c r="G16" s="3285">
        <f>H16+AC16+AT16</f>
        <v>0</v>
      </c>
      <c r="H16" s="3270">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7">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6">
        <f t="shared" si="6"/>
        <v>0</v>
      </c>
      <c r="AW16" s="646">
        <f t="shared" si="6"/>
        <v>0</v>
      </c>
      <c r="AX16" s="646">
        <f t="shared" si="6"/>
        <v>0</v>
      </c>
      <c r="AY16" s="266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9">
        <f>IF($D16="是",AR16-AS16,0)</f>
        <v>0</v>
      </c>
    </row>
    <row r="17" s="3252" customFormat="1" ht="12.75" spans="1:72">
      <c r="A17" s="3281"/>
      <c r="B17" s="3281"/>
      <c r="C17" s="3287"/>
      <c r="D17" s="3283"/>
      <c r="E17" s="3267">
        <f>IF($C$3="是",ROUND($A$3*G17/$B$3,2),ROUND($A$3*(G17-AT17)/$B$3,2))</f>
        <v>0</v>
      </c>
      <c r="F17" s="3284"/>
      <c r="G17" s="3285">
        <f>H17+AC17+AT17</f>
        <v>0</v>
      </c>
      <c r="H17" s="3270">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7">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6">
        <f t="shared" si="6"/>
        <v>0</v>
      </c>
      <c r="AW17" s="646">
        <f t="shared" si="6"/>
        <v>0</v>
      </c>
      <c r="AX17" s="646">
        <f t="shared" si="6"/>
        <v>0</v>
      </c>
      <c r="AY17" s="266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3">
        <f t="shared" ref="AV18:AV112" si="11">A18</f>
        <v>0</v>
      </c>
      <c r="AW18" s="963">
        <f t="shared" ref="AW18:AW112" si="12">B18</f>
        <v>0</v>
      </c>
      <c r="AX18" s="96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3">
        <f t="shared" si="11"/>
        <v>0</v>
      </c>
      <c r="AW19" s="963">
        <f t="shared" si="12"/>
        <v>0</v>
      </c>
      <c r="AX19" s="96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3">
        <f t="shared" si="11"/>
        <v>0</v>
      </c>
      <c r="AW20" s="963">
        <f t="shared" si="12"/>
        <v>0</v>
      </c>
      <c r="AX20" s="96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3">
        <f t="shared" si="11"/>
        <v>0</v>
      </c>
      <c r="AW21" s="963">
        <f t="shared" si="12"/>
        <v>0</v>
      </c>
      <c r="AX21" s="96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3">
        <f t="shared" si="11"/>
        <v>0</v>
      </c>
      <c r="AW22" s="963">
        <f t="shared" si="12"/>
        <v>0</v>
      </c>
      <c r="AX22" s="96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3">
        <f t="shared" si="11"/>
        <v>0</v>
      </c>
      <c r="AW23" s="963">
        <f t="shared" si="12"/>
        <v>0</v>
      </c>
      <c r="AX23" s="96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3">
        <f t="shared" si="11"/>
        <v>0</v>
      </c>
      <c r="AW24" s="963">
        <f t="shared" si="12"/>
        <v>0</v>
      </c>
      <c r="AX24" s="96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3">
        <f t="shared" si="11"/>
        <v>0</v>
      </c>
      <c r="AW25" s="963">
        <f t="shared" si="12"/>
        <v>0</v>
      </c>
      <c r="AX25" s="96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3">
        <f t="shared" si="11"/>
        <v>0</v>
      </c>
      <c r="AW26" s="963">
        <f t="shared" si="12"/>
        <v>0</v>
      </c>
      <c r="AX26" s="96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3">
        <f t="shared" si="11"/>
        <v>0</v>
      </c>
      <c r="AW27" s="963">
        <f t="shared" si="12"/>
        <v>0</v>
      </c>
      <c r="AX27" s="96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3">
        <f t="shared" si="11"/>
        <v>0</v>
      </c>
      <c r="AW28" s="963">
        <f t="shared" si="12"/>
        <v>0</v>
      </c>
      <c r="AX28" s="96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3">
        <f t="shared" si="11"/>
        <v>0</v>
      </c>
      <c r="AW29" s="963">
        <f t="shared" si="12"/>
        <v>0</v>
      </c>
      <c r="AX29" s="96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3">
        <f t="shared" si="11"/>
        <v>0</v>
      </c>
      <c r="AW30" s="963">
        <f t="shared" si="12"/>
        <v>0</v>
      </c>
      <c r="AX30" s="96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3">
        <f t="shared" si="11"/>
        <v>0</v>
      </c>
      <c r="AW31" s="963">
        <f t="shared" si="12"/>
        <v>0</v>
      </c>
      <c r="AX31" s="96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3">
        <f t="shared" si="11"/>
        <v>0</v>
      </c>
      <c r="AW32" s="963">
        <f t="shared" si="12"/>
        <v>0</v>
      </c>
      <c r="AX32" s="96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3">
        <f t="shared" si="11"/>
        <v>0</v>
      </c>
      <c r="AW33" s="963">
        <f t="shared" si="12"/>
        <v>0</v>
      </c>
      <c r="AX33" s="96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3">
        <f t="shared" si="11"/>
        <v>0</v>
      </c>
      <c r="AW34" s="963">
        <f t="shared" si="12"/>
        <v>0</v>
      </c>
      <c r="AX34" s="96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3">
        <f t="shared" si="11"/>
        <v>0</v>
      </c>
      <c r="AW35" s="963">
        <f t="shared" si="12"/>
        <v>0</v>
      </c>
      <c r="AX35" s="96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3">
        <f t="shared" si="11"/>
        <v>0</v>
      </c>
      <c r="AW36" s="963">
        <f t="shared" si="12"/>
        <v>0</v>
      </c>
      <c r="AX36" s="96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3">
        <f t="shared" si="11"/>
        <v>0</v>
      </c>
      <c r="AW37" s="963">
        <f t="shared" si="12"/>
        <v>0</v>
      </c>
      <c r="AX37" s="96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3">
        <f t="shared" si="11"/>
        <v>0</v>
      </c>
      <c r="AW38" s="963">
        <f t="shared" si="12"/>
        <v>0</v>
      </c>
      <c r="AX38" s="96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3">
        <f t="shared" si="11"/>
        <v>0</v>
      </c>
      <c r="AW39" s="963">
        <f t="shared" si="12"/>
        <v>0</v>
      </c>
      <c r="AX39" s="96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3">
        <f t="shared" si="11"/>
        <v>0</v>
      </c>
      <c r="AW40" s="963">
        <f t="shared" si="12"/>
        <v>0</v>
      </c>
      <c r="AX40" s="96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3">
        <f t="shared" si="11"/>
        <v>0</v>
      </c>
      <c r="AW41" s="963">
        <f t="shared" si="12"/>
        <v>0</v>
      </c>
      <c r="AX41" s="96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3">
        <f t="shared" si="11"/>
        <v>0</v>
      </c>
      <c r="AW42" s="963">
        <f t="shared" si="12"/>
        <v>0</v>
      </c>
      <c r="AX42" s="96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3">
        <f t="shared" si="11"/>
        <v>0</v>
      </c>
      <c r="AW43" s="963">
        <f t="shared" si="12"/>
        <v>0</v>
      </c>
      <c r="AX43" s="96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3">
        <f t="shared" si="11"/>
        <v>0</v>
      </c>
      <c r="AW44" s="963">
        <f t="shared" si="12"/>
        <v>0</v>
      </c>
      <c r="AX44" s="96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3">
        <f t="shared" si="11"/>
        <v>0</v>
      </c>
      <c r="AW45" s="963">
        <f t="shared" si="12"/>
        <v>0</v>
      </c>
      <c r="AX45" s="96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3">
        <f t="shared" si="11"/>
        <v>0</v>
      </c>
      <c r="AW46" s="963">
        <f t="shared" si="12"/>
        <v>0</v>
      </c>
      <c r="AX46" s="96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3">
        <f t="shared" si="11"/>
        <v>0</v>
      </c>
      <c r="AW47" s="963">
        <f t="shared" si="12"/>
        <v>0</v>
      </c>
      <c r="AX47" s="96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3">
        <f t="shared" si="11"/>
        <v>0</v>
      </c>
      <c r="AW48" s="963">
        <f t="shared" si="12"/>
        <v>0</v>
      </c>
      <c r="AX48" s="96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3">
        <f t="shared" si="11"/>
        <v>0</v>
      </c>
      <c r="AW49" s="963">
        <f t="shared" si="12"/>
        <v>0</v>
      </c>
      <c r="AX49" s="96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3">
        <f t="shared" si="11"/>
        <v>0</v>
      </c>
      <c r="AW50" s="963">
        <f t="shared" si="12"/>
        <v>0</v>
      </c>
      <c r="AX50" s="96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3">
        <f t="shared" si="11"/>
        <v>0</v>
      </c>
      <c r="AW51" s="963">
        <f t="shared" si="12"/>
        <v>0</v>
      </c>
      <c r="AX51" s="96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3">
        <f t="shared" si="11"/>
        <v>0</v>
      </c>
      <c r="AW52" s="963">
        <f t="shared" si="12"/>
        <v>0</v>
      </c>
      <c r="AX52" s="96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3">
        <f t="shared" si="11"/>
        <v>0</v>
      </c>
      <c r="AW53" s="963">
        <f t="shared" si="12"/>
        <v>0</v>
      </c>
      <c r="AX53" s="96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3">
        <f t="shared" si="11"/>
        <v>0</v>
      </c>
      <c r="AW54" s="963">
        <f t="shared" si="12"/>
        <v>0</v>
      </c>
      <c r="AX54" s="96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3">
        <f t="shared" si="11"/>
        <v>0</v>
      </c>
      <c r="AW55" s="963">
        <f t="shared" si="12"/>
        <v>0</v>
      </c>
      <c r="AX55" s="96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3">
        <f t="shared" si="11"/>
        <v>0</v>
      </c>
      <c r="AW56" s="963">
        <f t="shared" si="12"/>
        <v>0</v>
      </c>
      <c r="AX56" s="96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3">
        <f t="shared" si="11"/>
        <v>0</v>
      </c>
      <c r="AW57" s="963">
        <f t="shared" si="12"/>
        <v>0</v>
      </c>
      <c r="AX57" s="96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3">
        <f t="shared" si="11"/>
        <v>0</v>
      </c>
      <c r="AW58" s="963">
        <f t="shared" si="12"/>
        <v>0</v>
      </c>
      <c r="AX58" s="96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3">
        <f t="shared" si="11"/>
        <v>0</v>
      </c>
      <c r="AW59" s="963">
        <f t="shared" si="12"/>
        <v>0</v>
      </c>
      <c r="AX59" s="96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3">
        <f t="shared" si="11"/>
        <v>0</v>
      </c>
      <c r="AW60" s="963">
        <f t="shared" si="12"/>
        <v>0</v>
      </c>
      <c r="AX60" s="96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3">
        <f t="shared" si="11"/>
        <v>0</v>
      </c>
      <c r="AW61" s="963">
        <f t="shared" si="12"/>
        <v>0</v>
      </c>
      <c r="AX61" s="96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3">
        <f t="shared" si="11"/>
        <v>0</v>
      </c>
      <c r="AW62" s="963">
        <f t="shared" si="12"/>
        <v>0</v>
      </c>
      <c r="AX62" s="96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3">
        <f t="shared" si="11"/>
        <v>0</v>
      </c>
      <c r="AW63" s="963">
        <f t="shared" si="12"/>
        <v>0</v>
      </c>
      <c r="AX63" s="96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3">
        <f t="shared" si="11"/>
        <v>0</v>
      </c>
      <c r="AW64" s="963">
        <f t="shared" si="12"/>
        <v>0</v>
      </c>
      <c r="AX64" s="96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3">
        <f t="shared" si="11"/>
        <v>0</v>
      </c>
      <c r="AW65" s="963">
        <f t="shared" si="12"/>
        <v>0</v>
      </c>
      <c r="AX65" s="96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3">
        <f t="shared" si="11"/>
        <v>0</v>
      </c>
      <c r="AW66" s="963">
        <f t="shared" si="12"/>
        <v>0</v>
      </c>
      <c r="AX66" s="96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3">
        <f t="shared" si="11"/>
        <v>0</v>
      </c>
      <c r="AW67" s="963">
        <f t="shared" si="12"/>
        <v>0</v>
      </c>
      <c r="AX67" s="96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3">
        <f t="shared" si="11"/>
        <v>0</v>
      </c>
      <c r="AW68" s="963">
        <f t="shared" si="12"/>
        <v>0</v>
      </c>
      <c r="AX68" s="96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3">
        <f t="shared" si="11"/>
        <v>0</v>
      </c>
      <c r="AW69" s="963">
        <f t="shared" si="12"/>
        <v>0</v>
      </c>
      <c r="AX69" s="96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3">
        <f t="shared" si="11"/>
        <v>0</v>
      </c>
      <c r="AW70" s="963">
        <f t="shared" si="12"/>
        <v>0</v>
      </c>
      <c r="AX70" s="96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3">
        <f t="shared" si="11"/>
        <v>0</v>
      </c>
      <c r="AW71" s="963">
        <f t="shared" si="12"/>
        <v>0</v>
      </c>
      <c r="AX71" s="96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3">
        <f t="shared" si="11"/>
        <v>0</v>
      </c>
      <c r="AW72" s="963">
        <f t="shared" si="12"/>
        <v>0</v>
      </c>
      <c r="AX72" s="96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3">
        <f t="shared" si="11"/>
        <v>0</v>
      </c>
      <c r="AW73" s="963">
        <f t="shared" si="12"/>
        <v>0</v>
      </c>
      <c r="AX73" s="96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3">
        <f t="shared" si="11"/>
        <v>0</v>
      </c>
      <c r="AW74" s="963">
        <f t="shared" si="12"/>
        <v>0</v>
      </c>
      <c r="AX74" s="96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3">
        <f t="shared" si="11"/>
        <v>0</v>
      </c>
      <c r="AW75" s="963">
        <f t="shared" si="12"/>
        <v>0</v>
      </c>
      <c r="AX75" s="96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3">
        <f t="shared" si="11"/>
        <v>0</v>
      </c>
      <c r="AW76" s="963">
        <f t="shared" si="12"/>
        <v>0</v>
      </c>
      <c r="AX76" s="96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3">
        <f t="shared" si="11"/>
        <v>0</v>
      </c>
      <c r="AW77" s="963">
        <f t="shared" si="12"/>
        <v>0</v>
      </c>
      <c r="AX77" s="96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3">
        <f t="shared" si="11"/>
        <v>0</v>
      </c>
      <c r="AW78" s="963">
        <f t="shared" si="12"/>
        <v>0</v>
      </c>
      <c r="AX78" s="96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3">
        <f t="shared" si="11"/>
        <v>0</v>
      </c>
      <c r="AW79" s="963">
        <f t="shared" si="12"/>
        <v>0</v>
      </c>
      <c r="AX79" s="96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3">
        <f t="shared" si="11"/>
        <v>0</v>
      </c>
      <c r="AW80" s="963">
        <f t="shared" si="12"/>
        <v>0</v>
      </c>
      <c r="AX80" s="96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3">
        <f t="shared" si="11"/>
        <v>0</v>
      </c>
      <c r="AW81" s="963">
        <f t="shared" si="12"/>
        <v>0</v>
      </c>
      <c r="AX81" s="96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3">
        <f t="shared" si="11"/>
        <v>0</v>
      </c>
      <c r="AW82" s="963">
        <f t="shared" si="12"/>
        <v>0</v>
      </c>
      <c r="AX82" s="96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3">
        <f t="shared" si="11"/>
        <v>0</v>
      </c>
      <c r="AW83" s="963">
        <f t="shared" si="12"/>
        <v>0</v>
      </c>
      <c r="AX83" s="96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3">
        <f t="shared" si="11"/>
        <v>0</v>
      </c>
      <c r="AW84" s="963">
        <f t="shared" si="12"/>
        <v>0</v>
      </c>
      <c r="AX84" s="96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3">
        <f t="shared" si="11"/>
        <v>0</v>
      </c>
      <c r="AW85" s="963">
        <f t="shared" si="12"/>
        <v>0</v>
      </c>
      <c r="AX85" s="96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3">
        <f t="shared" si="11"/>
        <v>0</v>
      </c>
      <c r="AW86" s="963">
        <f t="shared" si="12"/>
        <v>0</v>
      </c>
      <c r="AX86" s="96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3">
        <f t="shared" si="11"/>
        <v>0</v>
      </c>
      <c r="AW87" s="963">
        <f t="shared" si="12"/>
        <v>0</v>
      </c>
      <c r="AX87" s="96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3">
        <f t="shared" si="11"/>
        <v>0</v>
      </c>
      <c r="AW88" s="963">
        <f t="shared" si="12"/>
        <v>0</v>
      </c>
      <c r="AX88" s="96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3">
        <f t="shared" si="11"/>
        <v>0</v>
      </c>
      <c r="AW89" s="963">
        <f t="shared" si="12"/>
        <v>0</v>
      </c>
      <c r="AX89" s="96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3">
        <f t="shared" si="11"/>
        <v>0</v>
      </c>
      <c r="AW90" s="963">
        <f t="shared" si="12"/>
        <v>0</v>
      </c>
      <c r="AX90" s="96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3">
        <f t="shared" si="11"/>
        <v>0</v>
      </c>
      <c r="AW91" s="963">
        <f t="shared" si="12"/>
        <v>0</v>
      </c>
      <c r="AX91" s="96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3">
        <f t="shared" si="11"/>
        <v>0</v>
      </c>
      <c r="AW92" s="963">
        <f t="shared" si="12"/>
        <v>0</v>
      </c>
      <c r="AX92" s="96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3">
        <f t="shared" si="11"/>
        <v>0</v>
      </c>
      <c r="AW93" s="963">
        <f t="shared" si="12"/>
        <v>0</v>
      </c>
      <c r="AX93" s="96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3">
        <f t="shared" si="11"/>
        <v>0</v>
      </c>
      <c r="AW94" s="963">
        <f t="shared" si="12"/>
        <v>0</v>
      </c>
      <c r="AX94" s="96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3">
        <f t="shared" si="11"/>
        <v>0</v>
      </c>
      <c r="AW95" s="963">
        <f t="shared" si="12"/>
        <v>0</v>
      </c>
      <c r="AX95" s="96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3">
        <f t="shared" si="11"/>
        <v>0</v>
      </c>
      <c r="AW96" s="963">
        <f t="shared" si="12"/>
        <v>0</v>
      </c>
      <c r="AX96" s="96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3">
        <f t="shared" si="11"/>
        <v>0</v>
      </c>
      <c r="AW97" s="963">
        <f t="shared" si="12"/>
        <v>0</v>
      </c>
      <c r="AX97" s="96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3">
        <f t="shared" si="11"/>
        <v>0</v>
      </c>
      <c r="AW98" s="963">
        <f t="shared" si="12"/>
        <v>0</v>
      </c>
      <c r="AX98" s="96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3">
        <f t="shared" si="11"/>
        <v>0</v>
      </c>
      <c r="AW99" s="963">
        <f t="shared" si="12"/>
        <v>0</v>
      </c>
      <c r="AX99" s="96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3">
        <f t="shared" si="11"/>
        <v>0</v>
      </c>
      <c r="AW100" s="963">
        <f t="shared" si="12"/>
        <v>0</v>
      </c>
      <c r="AX100" s="96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3">
        <f t="shared" si="11"/>
        <v>0</v>
      </c>
      <c r="AW101" s="963">
        <f t="shared" si="12"/>
        <v>0</v>
      </c>
      <c r="AX101" s="96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3">
        <f t="shared" si="11"/>
        <v>0</v>
      </c>
      <c r="AW102" s="963">
        <f t="shared" si="12"/>
        <v>0</v>
      </c>
      <c r="AX102" s="96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3">
        <f t="shared" si="11"/>
        <v>0</v>
      </c>
      <c r="AW103" s="963">
        <f t="shared" si="12"/>
        <v>0</v>
      </c>
      <c r="AX103" s="96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3">
        <f t="shared" si="11"/>
        <v>0</v>
      </c>
      <c r="AW104" s="963">
        <f t="shared" si="12"/>
        <v>0</v>
      </c>
      <c r="AX104" s="96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3">
        <f t="shared" si="11"/>
        <v>0</v>
      </c>
      <c r="AW105" s="963">
        <f t="shared" si="12"/>
        <v>0</v>
      </c>
      <c r="AX105" s="96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3">
        <f t="shared" si="11"/>
        <v>0</v>
      </c>
      <c r="AW106" s="963">
        <f t="shared" si="12"/>
        <v>0</v>
      </c>
      <c r="AX106" s="96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3">
        <f t="shared" si="11"/>
        <v>0</v>
      </c>
      <c r="AW107" s="963">
        <f t="shared" si="12"/>
        <v>0</v>
      </c>
      <c r="AX107" s="96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3">
        <f t="shared" si="11"/>
        <v>0</v>
      </c>
      <c r="AW108" s="963">
        <f t="shared" si="12"/>
        <v>0</v>
      </c>
      <c r="AX108" s="96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3">
        <f t="shared" si="11"/>
        <v>0</v>
      </c>
      <c r="AW109" s="963">
        <f t="shared" si="12"/>
        <v>0</v>
      </c>
      <c r="AX109" s="96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3">
        <f t="shared" si="11"/>
        <v>0</v>
      </c>
      <c r="AW110" s="963">
        <f t="shared" si="12"/>
        <v>0</v>
      </c>
      <c r="AX110" s="96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3">
        <f t="shared" si="11"/>
        <v>0</v>
      </c>
      <c r="AW111" s="963">
        <f t="shared" si="12"/>
        <v>0</v>
      </c>
      <c r="AX111" s="96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3">
        <f t="shared" si="11"/>
        <v>0</v>
      </c>
      <c r="AW112" s="963">
        <f t="shared" si="12"/>
        <v>0</v>
      </c>
      <c r="AX112" s="96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3">
        <f t="shared" ref="AV113:AV144" si="62">A113</f>
        <v>0</v>
      </c>
      <c r="AW113" s="963">
        <f t="shared" ref="AW113:AW144" si="63">B113</f>
        <v>0</v>
      </c>
      <c r="AX113" s="96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3">
        <f t="shared" si="62"/>
        <v>0</v>
      </c>
      <c r="AW114" s="963">
        <f t="shared" si="63"/>
        <v>0</v>
      </c>
      <c r="AX114" s="96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3">
        <f t="shared" si="62"/>
        <v>0</v>
      </c>
      <c r="AW115" s="963">
        <f t="shared" si="63"/>
        <v>0</v>
      </c>
      <c r="AX115" s="96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3">
        <f t="shared" si="62"/>
        <v>0</v>
      </c>
      <c r="AW116" s="963">
        <f t="shared" si="63"/>
        <v>0</v>
      </c>
      <c r="AX116" s="96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3">
        <f t="shared" si="62"/>
        <v>0</v>
      </c>
      <c r="AW117" s="963">
        <f t="shared" si="63"/>
        <v>0</v>
      </c>
      <c r="AX117" s="96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3">
        <f t="shared" si="62"/>
        <v>0</v>
      </c>
      <c r="AW118" s="963">
        <f t="shared" si="63"/>
        <v>0</v>
      </c>
      <c r="AX118" s="96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3">
        <f t="shared" si="62"/>
        <v>0</v>
      </c>
      <c r="AW119" s="963">
        <f t="shared" si="63"/>
        <v>0</v>
      </c>
      <c r="AX119" s="96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3">
        <f t="shared" si="62"/>
        <v>0</v>
      </c>
      <c r="AW120" s="963">
        <f t="shared" si="63"/>
        <v>0</v>
      </c>
      <c r="AX120" s="96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3">
        <f t="shared" si="62"/>
        <v>0</v>
      </c>
      <c r="AW121" s="963">
        <f t="shared" si="63"/>
        <v>0</v>
      </c>
      <c r="AX121" s="96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3">
        <f t="shared" si="62"/>
        <v>0</v>
      </c>
      <c r="AW122" s="963">
        <f t="shared" si="63"/>
        <v>0</v>
      </c>
      <c r="AX122" s="96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3">
        <f t="shared" si="62"/>
        <v>0</v>
      </c>
      <c r="AW123" s="963">
        <f t="shared" si="63"/>
        <v>0</v>
      </c>
      <c r="AX123" s="96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3">
        <f t="shared" si="62"/>
        <v>0</v>
      </c>
      <c r="AW124" s="963">
        <f t="shared" si="63"/>
        <v>0</v>
      </c>
      <c r="AX124" s="96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3">
        <f t="shared" si="62"/>
        <v>0</v>
      </c>
      <c r="AW125" s="963">
        <f t="shared" si="63"/>
        <v>0</v>
      </c>
      <c r="AX125" s="96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3">
        <f t="shared" si="62"/>
        <v>0</v>
      </c>
      <c r="AW126" s="963">
        <f t="shared" si="63"/>
        <v>0</v>
      </c>
      <c r="AX126" s="96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3">
        <f t="shared" si="62"/>
        <v>0</v>
      </c>
      <c r="AW127" s="963">
        <f t="shared" si="63"/>
        <v>0</v>
      </c>
      <c r="AX127" s="96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3">
        <f t="shared" si="62"/>
        <v>0</v>
      </c>
      <c r="AW128" s="963">
        <f t="shared" si="63"/>
        <v>0</v>
      </c>
      <c r="AX128" s="96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3">
        <f t="shared" si="62"/>
        <v>0</v>
      </c>
      <c r="AW129" s="963">
        <f t="shared" si="63"/>
        <v>0</v>
      </c>
      <c r="AX129" s="96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3">
        <f t="shared" si="62"/>
        <v>0</v>
      </c>
      <c r="AW130" s="963">
        <f t="shared" si="63"/>
        <v>0</v>
      </c>
      <c r="AX130" s="96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3">
        <f t="shared" si="62"/>
        <v>0</v>
      </c>
      <c r="AW131" s="963">
        <f t="shared" si="63"/>
        <v>0</v>
      </c>
      <c r="AX131" s="96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3">
        <f t="shared" si="62"/>
        <v>0</v>
      </c>
      <c r="AW132" s="963">
        <f t="shared" si="63"/>
        <v>0</v>
      </c>
      <c r="AX132" s="96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3">
        <f t="shared" si="62"/>
        <v>0</v>
      </c>
      <c r="AW133" s="963">
        <f t="shared" si="63"/>
        <v>0</v>
      </c>
      <c r="AX133" s="96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3">
        <f t="shared" si="62"/>
        <v>0</v>
      </c>
      <c r="AW134" s="963">
        <f t="shared" si="63"/>
        <v>0</v>
      </c>
      <c r="AX134" s="96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3">
        <f t="shared" si="62"/>
        <v>0</v>
      </c>
      <c r="AW135" s="963">
        <f t="shared" si="63"/>
        <v>0</v>
      </c>
      <c r="AX135" s="96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3">
        <f t="shared" si="62"/>
        <v>0</v>
      </c>
      <c r="AW136" s="963">
        <f t="shared" si="63"/>
        <v>0</v>
      </c>
      <c r="AX136" s="96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3">
        <f t="shared" si="62"/>
        <v>0</v>
      </c>
      <c r="AW137" s="963">
        <f t="shared" si="63"/>
        <v>0</v>
      </c>
      <c r="AX137" s="96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3">
        <f t="shared" si="62"/>
        <v>0</v>
      </c>
      <c r="AW138" s="963">
        <f t="shared" si="63"/>
        <v>0</v>
      </c>
      <c r="AX138" s="96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3">
        <f t="shared" si="62"/>
        <v>0</v>
      </c>
      <c r="AW139" s="963">
        <f t="shared" si="63"/>
        <v>0</v>
      </c>
      <c r="AX139" s="96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3">
        <f t="shared" si="62"/>
        <v>0</v>
      </c>
      <c r="AW140" s="963">
        <f t="shared" si="63"/>
        <v>0</v>
      </c>
      <c r="AX140" s="96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3">
        <f t="shared" si="62"/>
        <v>0</v>
      </c>
      <c r="AW141" s="963">
        <f t="shared" si="63"/>
        <v>0</v>
      </c>
      <c r="AX141" s="96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3">
        <f t="shared" si="62"/>
        <v>0</v>
      </c>
      <c r="AW142" s="963">
        <f t="shared" si="63"/>
        <v>0</v>
      </c>
      <c r="AX142" s="96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3">
        <f t="shared" si="62"/>
        <v>0</v>
      </c>
      <c r="AW143" s="963">
        <f t="shared" si="63"/>
        <v>0</v>
      </c>
      <c r="AX143" s="96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3">
        <f t="shared" si="62"/>
        <v>0</v>
      </c>
      <c r="AW144" s="963">
        <f t="shared" si="63"/>
        <v>0</v>
      </c>
      <c r="AX144" s="96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3">
        <f t="shared" ref="AV145:AV176" si="91">A145</f>
        <v>0</v>
      </c>
      <c r="AW145" s="963">
        <f t="shared" ref="AW145:AW176" si="92">B145</f>
        <v>0</v>
      </c>
      <c r="AX145" s="96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3">
        <f t="shared" si="91"/>
        <v>0</v>
      </c>
      <c r="AW146" s="963">
        <f t="shared" si="92"/>
        <v>0</v>
      </c>
      <c r="AX146" s="96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3">
        <f t="shared" si="91"/>
        <v>0</v>
      </c>
      <c r="AW147" s="963">
        <f t="shared" si="92"/>
        <v>0</v>
      </c>
      <c r="AX147" s="96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3">
        <f t="shared" si="91"/>
        <v>0</v>
      </c>
      <c r="AW148" s="963">
        <f t="shared" si="92"/>
        <v>0</v>
      </c>
      <c r="AX148" s="96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3">
        <f t="shared" si="91"/>
        <v>0</v>
      </c>
      <c r="AW149" s="963">
        <f t="shared" si="92"/>
        <v>0</v>
      </c>
      <c r="AX149" s="96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3">
        <f t="shared" si="91"/>
        <v>0</v>
      </c>
      <c r="AW150" s="963">
        <f t="shared" si="92"/>
        <v>0</v>
      </c>
      <c r="AX150" s="96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3">
        <f t="shared" si="91"/>
        <v>0</v>
      </c>
      <c r="AW151" s="963">
        <f t="shared" si="92"/>
        <v>0</v>
      </c>
      <c r="AX151" s="96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3">
        <f t="shared" si="91"/>
        <v>0</v>
      </c>
      <c r="AW152" s="963">
        <f t="shared" si="92"/>
        <v>0</v>
      </c>
      <c r="AX152" s="96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3">
        <f t="shared" si="91"/>
        <v>0</v>
      </c>
      <c r="AW153" s="963">
        <f t="shared" si="92"/>
        <v>0</v>
      </c>
      <c r="AX153" s="96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3">
        <f t="shared" si="91"/>
        <v>0</v>
      </c>
      <c r="AW154" s="963">
        <f t="shared" si="92"/>
        <v>0</v>
      </c>
      <c r="AX154" s="96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3">
        <f t="shared" si="91"/>
        <v>0</v>
      </c>
      <c r="AW155" s="963">
        <f t="shared" si="92"/>
        <v>0</v>
      </c>
      <c r="AX155" s="96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3">
        <f t="shared" si="91"/>
        <v>0</v>
      </c>
      <c r="AW156" s="963">
        <f t="shared" si="92"/>
        <v>0</v>
      </c>
      <c r="AX156" s="96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3">
        <f t="shared" si="91"/>
        <v>0</v>
      </c>
      <c r="AW157" s="963">
        <f t="shared" si="92"/>
        <v>0</v>
      </c>
      <c r="AX157" s="96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3">
        <f t="shared" si="91"/>
        <v>0</v>
      </c>
      <c r="AW158" s="963">
        <f t="shared" si="92"/>
        <v>0</v>
      </c>
      <c r="AX158" s="96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3">
        <f t="shared" si="91"/>
        <v>0</v>
      </c>
      <c r="AW159" s="963">
        <f t="shared" si="92"/>
        <v>0</v>
      </c>
      <c r="AX159" s="96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3">
        <f t="shared" si="91"/>
        <v>0</v>
      </c>
      <c r="AW160" s="963">
        <f t="shared" si="92"/>
        <v>0</v>
      </c>
      <c r="AX160" s="96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3">
        <f t="shared" si="91"/>
        <v>0</v>
      </c>
      <c r="AW161" s="963">
        <f t="shared" si="92"/>
        <v>0</v>
      </c>
      <c r="AX161" s="96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3">
        <f t="shared" si="91"/>
        <v>0</v>
      </c>
      <c r="AW162" s="963">
        <f t="shared" si="92"/>
        <v>0</v>
      </c>
      <c r="AX162" s="96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3">
        <f t="shared" si="91"/>
        <v>0</v>
      </c>
      <c r="AW163" s="963">
        <f t="shared" si="92"/>
        <v>0</v>
      </c>
      <c r="AX163" s="96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3">
        <f t="shared" si="91"/>
        <v>0</v>
      </c>
      <c r="AW164" s="963">
        <f t="shared" si="92"/>
        <v>0</v>
      </c>
      <c r="AX164" s="96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3">
        <f t="shared" si="91"/>
        <v>0</v>
      </c>
      <c r="AW165" s="963">
        <f t="shared" si="92"/>
        <v>0</v>
      </c>
      <c r="AX165" s="96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3">
        <f t="shared" si="91"/>
        <v>0</v>
      </c>
      <c r="AW166" s="963">
        <f t="shared" si="92"/>
        <v>0</v>
      </c>
      <c r="AX166" s="96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3">
        <f t="shared" si="91"/>
        <v>0</v>
      </c>
      <c r="AW167" s="963">
        <f t="shared" si="92"/>
        <v>0</v>
      </c>
      <c r="AX167" s="96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3">
        <f t="shared" si="91"/>
        <v>0</v>
      </c>
      <c r="AW168" s="963">
        <f t="shared" si="92"/>
        <v>0</v>
      </c>
      <c r="AX168" s="96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3">
        <f t="shared" si="91"/>
        <v>0</v>
      </c>
      <c r="AW169" s="963">
        <f t="shared" si="92"/>
        <v>0</v>
      </c>
      <c r="AX169" s="96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3">
        <f t="shared" si="91"/>
        <v>0</v>
      </c>
      <c r="AW170" s="963">
        <f t="shared" si="92"/>
        <v>0</v>
      </c>
      <c r="AX170" s="96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3">
        <f t="shared" si="91"/>
        <v>0</v>
      </c>
      <c r="AW171" s="963">
        <f t="shared" si="92"/>
        <v>0</v>
      </c>
      <c r="AX171" s="96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3">
        <f t="shared" si="91"/>
        <v>0</v>
      </c>
      <c r="AW172" s="963">
        <f t="shared" si="92"/>
        <v>0</v>
      </c>
      <c r="AX172" s="96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3">
        <f t="shared" si="91"/>
        <v>0</v>
      </c>
      <c r="AW173" s="963">
        <f t="shared" si="92"/>
        <v>0</v>
      </c>
      <c r="AX173" s="96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3">
        <f t="shared" si="91"/>
        <v>0</v>
      </c>
      <c r="AW174" s="963">
        <f t="shared" si="92"/>
        <v>0</v>
      </c>
      <c r="AX174" s="96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3">
        <f t="shared" si="91"/>
        <v>0</v>
      </c>
      <c r="AW175" s="963">
        <f t="shared" si="92"/>
        <v>0</v>
      </c>
      <c r="AX175" s="96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3">
        <f t="shared" si="91"/>
        <v>0</v>
      </c>
      <c r="AW176" s="963">
        <f t="shared" si="92"/>
        <v>0</v>
      </c>
      <c r="AX176" s="96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3">
        <f t="shared" ref="AV177:AV207" si="120">A177</f>
        <v>0</v>
      </c>
      <c r="AW177" s="963">
        <f t="shared" ref="AW177:AW207" si="121">B177</f>
        <v>0</v>
      </c>
      <c r="AX177" s="96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3">
        <f t="shared" si="120"/>
        <v>0</v>
      </c>
      <c r="AW178" s="963">
        <f t="shared" si="121"/>
        <v>0</v>
      </c>
      <c r="AX178" s="96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3">
        <f t="shared" si="120"/>
        <v>0</v>
      </c>
      <c r="AW179" s="963">
        <f t="shared" si="121"/>
        <v>0</v>
      </c>
      <c r="AX179" s="96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3">
        <f t="shared" si="120"/>
        <v>0</v>
      </c>
      <c r="AW180" s="963">
        <f t="shared" si="121"/>
        <v>0</v>
      </c>
      <c r="AX180" s="96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3">
        <f t="shared" si="120"/>
        <v>0</v>
      </c>
      <c r="AW181" s="963">
        <f t="shared" si="121"/>
        <v>0</v>
      </c>
      <c r="AX181" s="96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3">
        <f t="shared" si="120"/>
        <v>0</v>
      </c>
      <c r="AW182" s="963">
        <f t="shared" si="121"/>
        <v>0</v>
      </c>
      <c r="AX182" s="96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3">
        <f t="shared" si="120"/>
        <v>0</v>
      </c>
      <c r="AW183" s="963">
        <f t="shared" si="121"/>
        <v>0</v>
      </c>
      <c r="AX183" s="96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3">
        <f t="shared" si="120"/>
        <v>0</v>
      </c>
      <c r="AW184" s="963">
        <f t="shared" si="121"/>
        <v>0</v>
      </c>
      <c r="AX184" s="96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3">
        <f t="shared" si="120"/>
        <v>0</v>
      </c>
      <c r="AW185" s="963">
        <f t="shared" si="121"/>
        <v>0</v>
      </c>
      <c r="AX185" s="96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3">
        <f t="shared" si="120"/>
        <v>0</v>
      </c>
      <c r="AW186" s="963">
        <f t="shared" si="121"/>
        <v>0</v>
      </c>
      <c r="AX186" s="96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3">
        <f t="shared" si="120"/>
        <v>0</v>
      </c>
      <c r="AW187" s="963">
        <f t="shared" si="121"/>
        <v>0</v>
      </c>
      <c r="AX187" s="96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3">
        <f t="shared" si="120"/>
        <v>0</v>
      </c>
      <c r="AW188" s="963">
        <f t="shared" si="121"/>
        <v>0</v>
      </c>
      <c r="AX188" s="96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3">
        <f t="shared" si="120"/>
        <v>0</v>
      </c>
      <c r="AW189" s="963">
        <f t="shared" si="121"/>
        <v>0</v>
      </c>
      <c r="AX189" s="96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3">
        <f t="shared" si="120"/>
        <v>0</v>
      </c>
      <c r="AW190" s="963">
        <f t="shared" si="121"/>
        <v>0</v>
      </c>
      <c r="AX190" s="96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3">
        <f t="shared" si="120"/>
        <v>0</v>
      </c>
      <c r="AW191" s="963">
        <f t="shared" si="121"/>
        <v>0</v>
      </c>
      <c r="AX191" s="96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3">
        <f t="shared" si="120"/>
        <v>0</v>
      </c>
      <c r="AW192" s="963">
        <f t="shared" si="121"/>
        <v>0</v>
      </c>
      <c r="AX192" s="96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3">
        <f t="shared" si="120"/>
        <v>0</v>
      </c>
      <c r="AW193" s="963">
        <f t="shared" si="121"/>
        <v>0</v>
      </c>
      <c r="AX193" s="96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3">
        <f t="shared" si="120"/>
        <v>0</v>
      </c>
      <c r="AW194" s="963">
        <f t="shared" si="121"/>
        <v>0</v>
      </c>
      <c r="AX194" s="96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3">
        <f t="shared" si="120"/>
        <v>0</v>
      </c>
      <c r="AW195" s="963">
        <f t="shared" si="121"/>
        <v>0</v>
      </c>
      <c r="AX195" s="96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3">
        <f t="shared" si="120"/>
        <v>0</v>
      </c>
      <c r="AW196" s="963">
        <f t="shared" si="121"/>
        <v>0</v>
      </c>
      <c r="AX196" s="96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3">
        <f t="shared" si="120"/>
        <v>0</v>
      </c>
      <c r="AW197" s="963">
        <f t="shared" si="121"/>
        <v>0</v>
      </c>
      <c r="AX197" s="96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3">
        <f t="shared" si="120"/>
        <v>0</v>
      </c>
      <c r="AW198" s="963">
        <f t="shared" si="121"/>
        <v>0</v>
      </c>
      <c r="AX198" s="96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3">
        <f t="shared" si="120"/>
        <v>0</v>
      </c>
      <c r="AW199" s="963">
        <f t="shared" si="121"/>
        <v>0</v>
      </c>
      <c r="AX199" s="96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3">
        <f t="shared" si="120"/>
        <v>0</v>
      </c>
      <c r="AW200" s="963">
        <f t="shared" si="121"/>
        <v>0</v>
      </c>
      <c r="AX200" s="96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3">
        <f t="shared" si="120"/>
        <v>0</v>
      </c>
      <c r="AW201" s="963">
        <f t="shared" si="121"/>
        <v>0</v>
      </c>
      <c r="AX201" s="96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3">
        <f t="shared" si="120"/>
        <v>0</v>
      </c>
      <c r="AW202" s="963">
        <f t="shared" si="121"/>
        <v>0</v>
      </c>
      <c r="AX202" s="96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3">
        <f t="shared" si="120"/>
        <v>0</v>
      </c>
      <c r="AW203" s="963">
        <f t="shared" si="121"/>
        <v>0</v>
      </c>
      <c r="AX203" s="96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3">
        <f t="shared" si="120"/>
        <v>0</v>
      </c>
      <c r="AW204" s="963">
        <f t="shared" si="121"/>
        <v>0</v>
      </c>
      <c r="AX204" s="96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3">
        <f t="shared" si="120"/>
        <v>0</v>
      </c>
      <c r="AW205" s="963">
        <f t="shared" si="121"/>
        <v>0</v>
      </c>
      <c r="AX205" s="96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3">
        <f t="shared" si="120"/>
        <v>0</v>
      </c>
      <c r="AW206" s="963">
        <f t="shared" si="121"/>
        <v>0</v>
      </c>
      <c r="AX206" s="96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3">
        <f t="shared" si="120"/>
        <v>0</v>
      </c>
      <c r="AW207" s="963">
        <f t="shared" si="121"/>
        <v>0</v>
      </c>
      <c r="AX207" s="96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3">
        <f t="shared" ref="AV208:AV302" si="127">A208</f>
        <v>0</v>
      </c>
      <c r="AW208" s="963">
        <f t="shared" ref="AW208:AW302" si="128">B208</f>
        <v>0</v>
      </c>
      <c r="AX208" s="96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3">
        <f t="shared" si="127"/>
        <v>0</v>
      </c>
      <c r="AW209" s="963">
        <f t="shared" si="128"/>
        <v>0</v>
      </c>
      <c r="AX209" s="96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3">
        <f t="shared" si="127"/>
        <v>0</v>
      </c>
      <c r="AW210" s="963">
        <f t="shared" si="128"/>
        <v>0</v>
      </c>
      <c r="AX210" s="96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3">
        <f t="shared" si="127"/>
        <v>0</v>
      </c>
      <c r="AW211" s="963">
        <f t="shared" si="128"/>
        <v>0</v>
      </c>
      <c r="AX211" s="96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3">
        <f t="shared" si="127"/>
        <v>0</v>
      </c>
      <c r="AW212" s="963">
        <f t="shared" si="128"/>
        <v>0</v>
      </c>
      <c r="AX212" s="96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3">
        <f t="shared" si="127"/>
        <v>0</v>
      </c>
      <c r="AW213" s="963">
        <f t="shared" si="128"/>
        <v>0</v>
      </c>
      <c r="AX213" s="96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3">
        <f t="shared" si="127"/>
        <v>0</v>
      </c>
      <c r="AW214" s="963">
        <f t="shared" si="128"/>
        <v>0</v>
      </c>
      <c r="AX214" s="96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3">
        <f t="shared" si="127"/>
        <v>0</v>
      </c>
      <c r="AW215" s="963">
        <f t="shared" si="128"/>
        <v>0</v>
      </c>
      <c r="AX215" s="96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3">
        <f t="shared" si="127"/>
        <v>0</v>
      </c>
      <c r="AW216" s="963">
        <f t="shared" si="128"/>
        <v>0</v>
      </c>
      <c r="AX216" s="96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3">
        <f t="shared" si="127"/>
        <v>0</v>
      </c>
      <c r="AW217" s="963">
        <f t="shared" si="128"/>
        <v>0</v>
      </c>
      <c r="AX217" s="96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3">
        <f t="shared" si="127"/>
        <v>0</v>
      </c>
      <c r="AW218" s="963">
        <f t="shared" si="128"/>
        <v>0</v>
      </c>
      <c r="AX218" s="96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3">
        <f t="shared" si="127"/>
        <v>0</v>
      </c>
      <c r="AW219" s="963">
        <f t="shared" si="128"/>
        <v>0</v>
      </c>
      <c r="AX219" s="96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3">
        <f t="shared" si="127"/>
        <v>0</v>
      </c>
      <c r="AW220" s="963">
        <f t="shared" si="128"/>
        <v>0</v>
      </c>
      <c r="AX220" s="96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3">
        <f t="shared" si="127"/>
        <v>0</v>
      </c>
      <c r="AW221" s="963">
        <f t="shared" si="128"/>
        <v>0</v>
      </c>
      <c r="AX221" s="96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3">
        <f t="shared" si="127"/>
        <v>0</v>
      </c>
      <c r="AW222" s="963">
        <f t="shared" si="128"/>
        <v>0</v>
      </c>
      <c r="AX222" s="96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3">
        <f t="shared" si="127"/>
        <v>0</v>
      </c>
      <c r="AW223" s="963">
        <f t="shared" si="128"/>
        <v>0</v>
      </c>
      <c r="AX223" s="96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3">
        <f t="shared" si="127"/>
        <v>0</v>
      </c>
      <c r="AW224" s="963">
        <f t="shared" si="128"/>
        <v>0</v>
      </c>
      <c r="AX224" s="96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3">
        <f t="shared" si="127"/>
        <v>0</v>
      </c>
      <c r="AW225" s="963">
        <f t="shared" si="128"/>
        <v>0</v>
      </c>
      <c r="AX225" s="96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3">
        <f t="shared" si="127"/>
        <v>0</v>
      </c>
      <c r="AW226" s="963">
        <f t="shared" si="128"/>
        <v>0</v>
      </c>
      <c r="AX226" s="96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3">
        <f t="shared" si="127"/>
        <v>0</v>
      </c>
      <c r="AW227" s="963">
        <f t="shared" si="128"/>
        <v>0</v>
      </c>
      <c r="AX227" s="96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3">
        <f t="shared" si="127"/>
        <v>0</v>
      </c>
      <c r="AW228" s="963">
        <f t="shared" si="128"/>
        <v>0</v>
      </c>
      <c r="AX228" s="96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3">
        <f t="shared" si="127"/>
        <v>0</v>
      </c>
      <c r="AW229" s="963">
        <f t="shared" si="128"/>
        <v>0</v>
      </c>
      <c r="AX229" s="96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3">
        <f t="shared" si="127"/>
        <v>0</v>
      </c>
      <c r="AW230" s="963">
        <f t="shared" si="128"/>
        <v>0</v>
      </c>
      <c r="AX230" s="96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3">
        <f t="shared" si="127"/>
        <v>0</v>
      </c>
      <c r="AW231" s="963">
        <f t="shared" si="128"/>
        <v>0</v>
      </c>
      <c r="AX231" s="96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3">
        <f t="shared" si="127"/>
        <v>0</v>
      </c>
      <c r="AW232" s="963">
        <f t="shared" si="128"/>
        <v>0</v>
      </c>
      <c r="AX232" s="96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3">
        <f t="shared" si="127"/>
        <v>0</v>
      </c>
      <c r="AW233" s="963">
        <f t="shared" si="128"/>
        <v>0</v>
      </c>
      <c r="AX233" s="96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3">
        <f t="shared" si="127"/>
        <v>0</v>
      </c>
      <c r="AW234" s="963">
        <f t="shared" si="128"/>
        <v>0</v>
      </c>
      <c r="AX234" s="96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3">
        <f t="shared" si="127"/>
        <v>0</v>
      </c>
      <c r="AW235" s="963">
        <f t="shared" si="128"/>
        <v>0</v>
      </c>
      <c r="AX235" s="96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3">
        <f t="shared" si="127"/>
        <v>0</v>
      </c>
      <c r="AW236" s="963">
        <f t="shared" si="128"/>
        <v>0</v>
      </c>
      <c r="AX236" s="96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3">
        <f t="shared" si="127"/>
        <v>0</v>
      </c>
      <c r="AW237" s="963">
        <f t="shared" si="128"/>
        <v>0</v>
      </c>
      <c r="AX237" s="96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3">
        <f t="shared" si="127"/>
        <v>0</v>
      </c>
      <c r="AW238" s="963">
        <f t="shared" si="128"/>
        <v>0</v>
      </c>
      <c r="AX238" s="96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3">
        <f t="shared" si="127"/>
        <v>0</v>
      </c>
      <c r="AW239" s="963">
        <f t="shared" si="128"/>
        <v>0</v>
      </c>
      <c r="AX239" s="96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3">
        <f t="shared" si="127"/>
        <v>0</v>
      </c>
      <c r="AW240" s="963">
        <f t="shared" si="128"/>
        <v>0</v>
      </c>
      <c r="AX240" s="96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3">
        <f t="shared" si="127"/>
        <v>0</v>
      </c>
      <c r="AW241" s="963">
        <f t="shared" si="128"/>
        <v>0</v>
      </c>
      <c r="AX241" s="96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3">
        <f t="shared" si="127"/>
        <v>0</v>
      </c>
      <c r="AW242" s="963">
        <f t="shared" si="128"/>
        <v>0</v>
      </c>
      <c r="AX242" s="96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3">
        <f t="shared" si="127"/>
        <v>0</v>
      </c>
      <c r="AW243" s="963">
        <f t="shared" si="128"/>
        <v>0</v>
      </c>
      <c r="AX243" s="96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3">
        <f t="shared" si="127"/>
        <v>0</v>
      </c>
      <c r="AW244" s="963">
        <f t="shared" si="128"/>
        <v>0</v>
      </c>
      <c r="AX244" s="96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3">
        <f t="shared" si="127"/>
        <v>0</v>
      </c>
      <c r="AW245" s="963">
        <f t="shared" si="128"/>
        <v>0</v>
      </c>
      <c r="AX245" s="96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3">
        <f t="shared" si="127"/>
        <v>0</v>
      </c>
      <c r="AW246" s="963">
        <f t="shared" si="128"/>
        <v>0</v>
      </c>
      <c r="AX246" s="96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3">
        <f t="shared" si="127"/>
        <v>0</v>
      </c>
      <c r="AW247" s="963">
        <f t="shared" si="128"/>
        <v>0</v>
      </c>
      <c r="AX247" s="96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3">
        <f t="shared" si="127"/>
        <v>0</v>
      </c>
      <c r="AW248" s="963">
        <f t="shared" si="128"/>
        <v>0</v>
      </c>
      <c r="AX248" s="96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3">
        <f t="shared" si="127"/>
        <v>0</v>
      </c>
      <c r="AW249" s="963">
        <f t="shared" si="128"/>
        <v>0</v>
      </c>
      <c r="AX249" s="96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3">
        <f t="shared" si="127"/>
        <v>0</v>
      </c>
      <c r="AW250" s="963">
        <f t="shared" si="128"/>
        <v>0</v>
      </c>
      <c r="AX250" s="96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3">
        <f t="shared" si="127"/>
        <v>0</v>
      </c>
      <c r="AW251" s="963">
        <f t="shared" si="128"/>
        <v>0</v>
      </c>
      <c r="AX251" s="96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3">
        <f t="shared" si="127"/>
        <v>0</v>
      </c>
      <c r="AW252" s="963">
        <f t="shared" si="128"/>
        <v>0</v>
      </c>
      <c r="AX252" s="96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3">
        <f t="shared" si="127"/>
        <v>0</v>
      </c>
      <c r="AW253" s="963">
        <f t="shared" si="128"/>
        <v>0</v>
      </c>
      <c r="AX253" s="96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3">
        <f t="shared" si="127"/>
        <v>0</v>
      </c>
      <c r="AW254" s="963">
        <f t="shared" si="128"/>
        <v>0</v>
      </c>
      <c r="AX254" s="96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3">
        <f t="shared" si="127"/>
        <v>0</v>
      </c>
      <c r="AW255" s="963">
        <f t="shared" si="128"/>
        <v>0</v>
      </c>
      <c r="AX255" s="96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3">
        <f t="shared" si="127"/>
        <v>0</v>
      </c>
      <c r="AW256" s="963">
        <f t="shared" si="128"/>
        <v>0</v>
      </c>
      <c r="AX256" s="96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3">
        <f t="shared" si="127"/>
        <v>0</v>
      </c>
      <c r="AW257" s="963">
        <f t="shared" si="128"/>
        <v>0</v>
      </c>
      <c r="AX257" s="96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3">
        <f t="shared" si="127"/>
        <v>0</v>
      </c>
      <c r="AW258" s="963">
        <f t="shared" si="128"/>
        <v>0</v>
      </c>
      <c r="AX258" s="96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3">
        <f t="shared" si="127"/>
        <v>0</v>
      </c>
      <c r="AW259" s="963">
        <f t="shared" si="128"/>
        <v>0</v>
      </c>
      <c r="AX259" s="96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3">
        <f t="shared" si="127"/>
        <v>0</v>
      </c>
      <c r="AW260" s="963">
        <f t="shared" si="128"/>
        <v>0</v>
      </c>
      <c r="AX260" s="96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3">
        <f t="shared" si="127"/>
        <v>0</v>
      </c>
      <c r="AW261" s="963">
        <f t="shared" si="128"/>
        <v>0</v>
      </c>
      <c r="AX261" s="96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3">
        <f t="shared" si="127"/>
        <v>0</v>
      </c>
      <c r="AW262" s="963">
        <f t="shared" si="128"/>
        <v>0</v>
      </c>
      <c r="AX262" s="96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3">
        <f t="shared" si="127"/>
        <v>0</v>
      </c>
      <c r="AW263" s="963">
        <f t="shared" si="128"/>
        <v>0</v>
      </c>
      <c r="AX263" s="96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3">
        <f t="shared" si="127"/>
        <v>0</v>
      </c>
      <c r="AW264" s="963">
        <f t="shared" si="128"/>
        <v>0</v>
      </c>
      <c r="AX264" s="96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3">
        <f t="shared" si="127"/>
        <v>0</v>
      </c>
      <c r="AW265" s="963">
        <f t="shared" si="128"/>
        <v>0</v>
      </c>
      <c r="AX265" s="96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3">
        <f t="shared" si="127"/>
        <v>0</v>
      </c>
      <c r="AW266" s="963">
        <f t="shared" si="128"/>
        <v>0</v>
      </c>
      <c r="AX266" s="96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3">
        <f t="shared" si="127"/>
        <v>0</v>
      </c>
      <c r="AW267" s="963">
        <f t="shared" si="128"/>
        <v>0</v>
      </c>
      <c r="AX267" s="96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3">
        <f t="shared" si="127"/>
        <v>0</v>
      </c>
      <c r="AW268" s="963">
        <f t="shared" si="128"/>
        <v>0</v>
      </c>
      <c r="AX268" s="96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3">
        <f t="shared" si="127"/>
        <v>0</v>
      </c>
      <c r="AW269" s="963">
        <f t="shared" si="128"/>
        <v>0</v>
      </c>
      <c r="AX269" s="96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3">
        <f t="shared" si="127"/>
        <v>0</v>
      </c>
      <c r="AW270" s="963">
        <f t="shared" si="128"/>
        <v>0</v>
      </c>
      <c r="AX270" s="96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3">
        <f t="shared" si="127"/>
        <v>0</v>
      </c>
      <c r="AW271" s="963">
        <f t="shared" si="128"/>
        <v>0</v>
      </c>
      <c r="AX271" s="96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3">
        <f t="shared" si="127"/>
        <v>0</v>
      </c>
      <c r="AW272" s="963">
        <f t="shared" si="128"/>
        <v>0</v>
      </c>
      <c r="AX272" s="96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3">
        <f t="shared" si="127"/>
        <v>0</v>
      </c>
      <c r="AW273" s="963">
        <f t="shared" si="128"/>
        <v>0</v>
      </c>
      <c r="AX273" s="96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3">
        <f t="shared" si="127"/>
        <v>0</v>
      </c>
      <c r="AW274" s="963">
        <f t="shared" si="128"/>
        <v>0</v>
      </c>
      <c r="AX274" s="96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3">
        <f t="shared" si="127"/>
        <v>0</v>
      </c>
      <c r="AW275" s="963">
        <f t="shared" si="128"/>
        <v>0</v>
      </c>
      <c r="AX275" s="96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3">
        <f t="shared" si="127"/>
        <v>0</v>
      </c>
      <c r="AW276" s="963">
        <f t="shared" si="128"/>
        <v>0</v>
      </c>
      <c r="AX276" s="96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3">
        <f t="shared" si="127"/>
        <v>0</v>
      </c>
      <c r="AW277" s="963">
        <f t="shared" si="128"/>
        <v>0</v>
      </c>
      <c r="AX277" s="96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3">
        <f t="shared" si="127"/>
        <v>0</v>
      </c>
      <c r="AW278" s="963">
        <f t="shared" si="128"/>
        <v>0</v>
      </c>
      <c r="AX278" s="96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3">
        <f t="shared" si="127"/>
        <v>0</v>
      </c>
      <c r="AW279" s="963">
        <f t="shared" si="128"/>
        <v>0</v>
      </c>
      <c r="AX279" s="96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3">
        <f t="shared" si="127"/>
        <v>0</v>
      </c>
      <c r="AW280" s="963">
        <f t="shared" si="128"/>
        <v>0</v>
      </c>
      <c r="AX280" s="96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3">
        <f t="shared" si="127"/>
        <v>0</v>
      </c>
      <c r="AW281" s="963">
        <f t="shared" si="128"/>
        <v>0</v>
      </c>
      <c r="AX281" s="96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3">
        <f t="shared" si="127"/>
        <v>0</v>
      </c>
      <c r="AW282" s="963">
        <f t="shared" si="128"/>
        <v>0</v>
      </c>
      <c r="AX282" s="96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3">
        <f t="shared" si="127"/>
        <v>0</v>
      </c>
      <c r="AW283" s="963">
        <f t="shared" si="128"/>
        <v>0</v>
      </c>
      <c r="AX283" s="96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3">
        <f t="shared" si="127"/>
        <v>0</v>
      </c>
      <c r="AW284" s="963">
        <f t="shared" si="128"/>
        <v>0</v>
      </c>
      <c r="AX284" s="96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3">
        <f t="shared" si="127"/>
        <v>0</v>
      </c>
      <c r="AW285" s="963">
        <f t="shared" si="128"/>
        <v>0</v>
      </c>
      <c r="AX285" s="96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3">
        <f t="shared" si="127"/>
        <v>0</v>
      </c>
      <c r="AW286" s="963">
        <f t="shared" si="128"/>
        <v>0</v>
      </c>
      <c r="AX286" s="96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3">
        <f t="shared" si="127"/>
        <v>0</v>
      </c>
      <c r="AW287" s="963">
        <f t="shared" si="128"/>
        <v>0</v>
      </c>
      <c r="AX287" s="96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3">
        <f t="shared" si="127"/>
        <v>0</v>
      </c>
      <c r="AW288" s="963">
        <f t="shared" si="128"/>
        <v>0</v>
      </c>
      <c r="AX288" s="96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3">
        <f t="shared" si="127"/>
        <v>0</v>
      </c>
      <c r="AW289" s="963">
        <f t="shared" si="128"/>
        <v>0</v>
      </c>
      <c r="AX289" s="96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3">
        <f t="shared" si="127"/>
        <v>0</v>
      </c>
      <c r="AW290" s="963">
        <f t="shared" si="128"/>
        <v>0</v>
      </c>
      <c r="AX290" s="96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3">
        <f t="shared" si="127"/>
        <v>0</v>
      </c>
      <c r="AW291" s="963">
        <f t="shared" si="128"/>
        <v>0</v>
      </c>
      <c r="AX291" s="96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3">
        <f t="shared" si="127"/>
        <v>0</v>
      </c>
      <c r="AW292" s="963">
        <f t="shared" si="128"/>
        <v>0</v>
      </c>
      <c r="AX292" s="96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3">
        <f t="shared" si="127"/>
        <v>0</v>
      </c>
      <c r="AW293" s="963">
        <f t="shared" si="128"/>
        <v>0</v>
      </c>
      <c r="AX293" s="96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3">
        <f t="shared" si="127"/>
        <v>0</v>
      </c>
      <c r="AW294" s="963">
        <f t="shared" si="128"/>
        <v>0</v>
      </c>
      <c r="AX294" s="96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3">
        <f t="shared" si="127"/>
        <v>0</v>
      </c>
      <c r="AW295" s="963">
        <f t="shared" si="128"/>
        <v>0</v>
      </c>
      <c r="AX295" s="96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3">
        <f t="shared" si="127"/>
        <v>0</v>
      </c>
      <c r="AW296" s="963">
        <f t="shared" si="128"/>
        <v>0</v>
      </c>
      <c r="AX296" s="96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3">
        <f t="shared" si="127"/>
        <v>0</v>
      </c>
      <c r="AW297" s="963">
        <f t="shared" si="128"/>
        <v>0</v>
      </c>
      <c r="AX297" s="96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3">
        <f t="shared" si="127"/>
        <v>0</v>
      </c>
      <c r="AW298" s="963">
        <f t="shared" si="128"/>
        <v>0</v>
      </c>
      <c r="AX298" s="96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3">
        <f t="shared" si="127"/>
        <v>0</v>
      </c>
      <c r="AW299" s="963">
        <f t="shared" si="128"/>
        <v>0</v>
      </c>
      <c r="AX299" s="96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3">
        <f t="shared" si="127"/>
        <v>0</v>
      </c>
      <c r="AW300" s="963">
        <f t="shared" si="128"/>
        <v>0</v>
      </c>
      <c r="AX300" s="96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3">
        <f t="shared" si="127"/>
        <v>0</v>
      </c>
      <c r="AW301" s="963">
        <f t="shared" si="128"/>
        <v>0</v>
      </c>
      <c r="AX301" s="96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3">
        <f t="shared" si="127"/>
        <v>0</v>
      </c>
      <c r="AW302" s="963">
        <f t="shared" si="128"/>
        <v>0</v>
      </c>
      <c r="AX302" s="96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3">
        <f t="shared" ref="AV303:AV334" si="178">A303</f>
        <v>0</v>
      </c>
      <c r="AW303" s="963">
        <f t="shared" ref="AW303:AW334" si="179">B303</f>
        <v>0</v>
      </c>
      <c r="AX303" s="96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3">
        <f t="shared" si="178"/>
        <v>0</v>
      </c>
      <c r="AW304" s="963">
        <f t="shared" si="179"/>
        <v>0</v>
      </c>
      <c r="AX304" s="96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3">
        <f t="shared" si="178"/>
        <v>0</v>
      </c>
      <c r="AW305" s="963">
        <f t="shared" si="179"/>
        <v>0</v>
      </c>
      <c r="AX305" s="96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3">
        <f t="shared" si="178"/>
        <v>0</v>
      </c>
      <c r="AW306" s="963">
        <f t="shared" si="179"/>
        <v>0</v>
      </c>
      <c r="AX306" s="96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3">
        <f t="shared" si="178"/>
        <v>0</v>
      </c>
      <c r="AW307" s="963">
        <f t="shared" si="179"/>
        <v>0</v>
      </c>
      <c r="AX307" s="96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3">
        <f t="shared" si="178"/>
        <v>0</v>
      </c>
      <c r="AW308" s="963">
        <f t="shared" si="179"/>
        <v>0</v>
      </c>
      <c r="AX308" s="96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3">
        <f t="shared" si="178"/>
        <v>0</v>
      </c>
      <c r="AW309" s="963">
        <f t="shared" si="179"/>
        <v>0</v>
      </c>
      <c r="AX309" s="96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3">
        <f t="shared" si="178"/>
        <v>0</v>
      </c>
      <c r="AW310" s="963">
        <f t="shared" si="179"/>
        <v>0</v>
      </c>
      <c r="AX310" s="96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3">
        <f t="shared" si="178"/>
        <v>0</v>
      </c>
      <c r="AW311" s="963">
        <f t="shared" si="179"/>
        <v>0</v>
      </c>
      <c r="AX311" s="96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3">
        <f t="shared" si="178"/>
        <v>0</v>
      </c>
      <c r="AW312" s="963">
        <f t="shared" si="179"/>
        <v>0</v>
      </c>
      <c r="AX312" s="96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3">
        <f t="shared" si="178"/>
        <v>0</v>
      </c>
      <c r="AW313" s="963">
        <f t="shared" si="179"/>
        <v>0</v>
      </c>
      <c r="AX313" s="96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3">
        <f t="shared" si="178"/>
        <v>0</v>
      </c>
      <c r="AW314" s="963">
        <f t="shared" si="179"/>
        <v>0</v>
      </c>
      <c r="AX314" s="96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3">
        <f t="shared" si="178"/>
        <v>0</v>
      </c>
      <c r="AW315" s="963">
        <f t="shared" si="179"/>
        <v>0</v>
      </c>
      <c r="AX315" s="96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3">
        <f t="shared" si="178"/>
        <v>0</v>
      </c>
      <c r="AW316" s="963">
        <f t="shared" si="179"/>
        <v>0</v>
      </c>
      <c r="AX316" s="96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3">
        <f t="shared" si="178"/>
        <v>0</v>
      </c>
      <c r="AW317" s="963">
        <f t="shared" si="179"/>
        <v>0</v>
      </c>
      <c r="AX317" s="96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3">
        <f t="shared" si="178"/>
        <v>0</v>
      </c>
      <c r="AW318" s="963">
        <f t="shared" si="179"/>
        <v>0</v>
      </c>
      <c r="AX318" s="96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3">
        <f t="shared" si="178"/>
        <v>0</v>
      </c>
      <c r="AW319" s="963">
        <f t="shared" si="179"/>
        <v>0</v>
      </c>
      <c r="AX319" s="96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3">
        <f t="shared" si="178"/>
        <v>0</v>
      </c>
      <c r="AW320" s="963">
        <f t="shared" si="179"/>
        <v>0</v>
      </c>
      <c r="AX320" s="96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3">
        <f t="shared" si="178"/>
        <v>0</v>
      </c>
      <c r="AW321" s="963">
        <f t="shared" si="179"/>
        <v>0</v>
      </c>
      <c r="AX321" s="96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3">
        <f t="shared" si="178"/>
        <v>0</v>
      </c>
      <c r="AW322" s="963">
        <f t="shared" si="179"/>
        <v>0</v>
      </c>
      <c r="AX322" s="96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3">
        <f t="shared" si="178"/>
        <v>0</v>
      </c>
      <c r="AW323" s="963">
        <f t="shared" si="179"/>
        <v>0</v>
      </c>
      <c r="AX323" s="96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3">
        <f t="shared" si="178"/>
        <v>0</v>
      </c>
      <c r="AW324" s="963">
        <f t="shared" si="179"/>
        <v>0</v>
      </c>
      <c r="AX324" s="96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3">
        <f t="shared" si="178"/>
        <v>0</v>
      </c>
      <c r="AW325" s="963">
        <f t="shared" si="179"/>
        <v>0</v>
      </c>
      <c r="AX325" s="96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3">
        <f t="shared" si="178"/>
        <v>0</v>
      </c>
      <c r="AW326" s="963">
        <f t="shared" si="179"/>
        <v>0</v>
      </c>
      <c r="AX326" s="96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3">
        <f t="shared" si="178"/>
        <v>0</v>
      </c>
      <c r="AW327" s="963">
        <f t="shared" si="179"/>
        <v>0</v>
      </c>
      <c r="AX327" s="96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3">
        <f t="shared" si="178"/>
        <v>0</v>
      </c>
      <c r="AW328" s="963">
        <f t="shared" si="179"/>
        <v>0</v>
      </c>
      <c r="AX328" s="96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3">
        <f t="shared" si="178"/>
        <v>0</v>
      </c>
      <c r="AW329" s="963">
        <f t="shared" si="179"/>
        <v>0</v>
      </c>
      <c r="AX329" s="96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3">
        <f t="shared" si="178"/>
        <v>0</v>
      </c>
      <c r="AW330" s="963">
        <f t="shared" si="179"/>
        <v>0</v>
      </c>
      <c r="AX330" s="96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3">
        <f t="shared" si="178"/>
        <v>0</v>
      </c>
      <c r="AW331" s="963">
        <f t="shared" si="179"/>
        <v>0</v>
      </c>
      <c r="AX331" s="96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3">
        <f t="shared" si="178"/>
        <v>0</v>
      </c>
      <c r="AW332" s="963">
        <f t="shared" si="179"/>
        <v>0</v>
      </c>
      <c r="AX332" s="96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3">
        <f t="shared" si="178"/>
        <v>0</v>
      </c>
      <c r="AW333" s="963">
        <f t="shared" si="179"/>
        <v>0</v>
      </c>
      <c r="AX333" s="96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3">
        <f t="shared" si="178"/>
        <v>0</v>
      </c>
      <c r="AW334" s="963">
        <f t="shared" si="179"/>
        <v>0</v>
      </c>
      <c r="AX334" s="96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3">
        <f t="shared" ref="AV335:AV366" si="207">A335</f>
        <v>0</v>
      </c>
      <c r="AW335" s="963">
        <f t="shared" ref="AW335:AW366" si="208">B335</f>
        <v>0</v>
      </c>
      <c r="AX335" s="96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3">
        <f t="shared" si="207"/>
        <v>0</v>
      </c>
      <c r="AW336" s="963">
        <f t="shared" si="208"/>
        <v>0</v>
      </c>
      <c r="AX336" s="96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3">
        <f t="shared" si="207"/>
        <v>0</v>
      </c>
      <c r="AW337" s="963">
        <f t="shared" si="208"/>
        <v>0</v>
      </c>
      <c r="AX337" s="96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3">
        <f t="shared" si="207"/>
        <v>0</v>
      </c>
      <c r="AW338" s="963">
        <f t="shared" si="208"/>
        <v>0</v>
      </c>
      <c r="AX338" s="96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3">
        <f t="shared" si="207"/>
        <v>0</v>
      </c>
      <c r="AW339" s="963">
        <f t="shared" si="208"/>
        <v>0</v>
      </c>
      <c r="AX339" s="96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3">
        <f t="shared" si="207"/>
        <v>0</v>
      </c>
      <c r="AW340" s="963">
        <f t="shared" si="208"/>
        <v>0</v>
      </c>
      <c r="AX340" s="96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3">
        <f t="shared" si="207"/>
        <v>0</v>
      </c>
      <c r="AW341" s="963">
        <f t="shared" si="208"/>
        <v>0</v>
      </c>
      <c r="AX341" s="96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3">
        <f t="shared" si="207"/>
        <v>0</v>
      </c>
      <c r="AW342" s="963">
        <f t="shared" si="208"/>
        <v>0</v>
      </c>
      <c r="AX342" s="96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3">
        <f t="shared" si="207"/>
        <v>0</v>
      </c>
      <c r="AW343" s="963">
        <f t="shared" si="208"/>
        <v>0</v>
      </c>
      <c r="AX343" s="96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3">
        <f t="shared" si="207"/>
        <v>0</v>
      </c>
      <c r="AW344" s="963">
        <f t="shared" si="208"/>
        <v>0</v>
      </c>
      <c r="AX344" s="96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3">
        <f t="shared" si="207"/>
        <v>0</v>
      </c>
      <c r="AW345" s="963">
        <f t="shared" si="208"/>
        <v>0</v>
      </c>
      <c r="AX345" s="96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3">
        <f t="shared" si="207"/>
        <v>0</v>
      </c>
      <c r="AW346" s="963">
        <f t="shared" si="208"/>
        <v>0</v>
      </c>
      <c r="AX346" s="96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3">
        <f t="shared" si="207"/>
        <v>0</v>
      </c>
      <c r="AW347" s="963">
        <f t="shared" si="208"/>
        <v>0</v>
      </c>
      <c r="AX347" s="96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3">
        <f t="shared" si="207"/>
        <v>0</v>
      </c>
      <c r="AW348" s="963">
        <f t="shared" si="208"/>
        <v>0</v>
      </c>
      <c r="AX348" s="96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3">
        <f t="shared" si="207"/>
        <v>0</v>
      </c>
      <c r="AW349" s="963">
        <f t="shared" si="208"/>
        <v>0</v>
      </c>
      <c r="AX349" s="96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3">
        <f t="shared" si="207"/>
        <v>0</v>
      </c>
      <c r="AW350" s="963">
        <f t="shared" si="208"/>
        <v>0</v>
      </c>
      <c r="AX350" s="96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3">
        <f t="shared" si="207"/>
        <v>0</v>
      </c>
      <c r="AW351" s="963">
        <f t="shared" si="208"/>
        <v>0</v>
      </c>
      <c r="AX351" s="96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3">
        <f t="shared" si="207"/>
        <v>0</v>
      </c>
      <c r="AW352" s="963">
        <f t="shared" si="208"/>
        <v>0</v>
      </c>
      <c r="AX352" s="96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3">
        <f t="shared" si="207"/>
        <v>0</v>
      </c>
      <c r="AW353" s="963">
        <f t="shared" si="208"/>
        <v>0</v>
      </c>
      <c r="AX353" s="96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3">
        <f t="shared" si="207"/>
        <v>0</v>
      </c>
      <c r="AW354" s="963">
        <f t="shared" si="208"/>
        <v>0</v>
      </c>
      <c r="AX354" s="96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3">
        <f t="shared" si="207"/>
        <v>0</v>
      </c>
      <c r="AW355" s="963">
        <f t="shared" si="208"/>
        <v>0</v>
      </c>
      <c r="AX355" s="96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3">
        <f t="shared" si="207"/>
        <v>0</v>
      </c>
      <c r="AW356" s="963">
        <f t="shared" si="208"/>
        <v>0</v>
      </c>
      <c r="AX356" s="96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3">
        <f t="shared" si="207"/>
        <v>0</v>
      </c>
      <c r="AW357" s="963">
        <f t="shared" si="208"/>
        <v>0</v>
      </c>
      <c r="AX357" s="96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3">
        <f t="shared" si="207"/>
        <v>0</v>
      </c>
      <c r="AW358" s="963">
        <f t="shared" si="208"/>
        <v>0</v>
      </c>
      <c r="AX358" s="96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3">
        <f t="shared" si="207"/>
        <v>0</v>
      </c>
      <c r="AW359" s="963">
        <f t="shared" si="208"/>
        <v>0</v>
      </c>
      <c r="AX359" s="96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3">
        <f t="shared" si="207"/>
        <v>0</v>
      </c>
      <c r="AW360" s="963">
        <f t="shared" si="208"/>
        <v>0</v>
      </c>
      <c r="AX360" s="96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3">
        <f t="shared" si="207"/>
        <v>0</v>
      </c>
      <c r="AW361" s="963">
        <f t="shared" si="208"/>
        <v>0</v>
      </c>
      <c r="AX361" s="96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3">
        <f t="shared" si="207"/>
        <v>0</v>
      </c>
      <c r="AW362" s="963">
        <f t="shared" si="208"/>
        <v>0</v>
      </c>
      <c r="AX362" s="96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3">
        <f t="shared" si="207"/>
        <v>0</v>
      </c>
      <c r="AW363" s="963">
        <f t="shared" si="208"/>
        <v>0</v>
      </c>
      <c r="AX363" s="96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3">
        <f t="shared" si="207"/>
        <v>0</v>
      </c>
      <c r="AW364" s="963">
        <f t="shared" si="208"/>
        <v>0</v>
      </c>
      <c r="AX364" s="96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3">
        <f t="shared" si="207"/>
        <v>0</v>
      </c>
      <c r="AW365" s="963">
        <f t="shared" si="208"/>
        <v>0</v>
      </c>
      <c r="AX365" s="96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3">
        <f t="shared" si="207"/>
        <v>0</v>
      </c>
      <c r="AW366" s="963">
        <f t="shared" si="208"/>
        <v>0</v>
      </c>
      <c r="AX366" s="96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3">
        <f t="shared" ref="AV367:AV397" si="236">A367</f>
        <v>0</v>
      </c>
      <c r="AW367" s="963">
        <f t="shared" ref="AW367:AW397" si="237">B367</f>
        <v>0</v>
      </c>
      <c r="AX367" s="96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3">
        <f t="shared" si="236"/>
        <v>0</v>
      </c>
      <c r="AW368" s="963">
        <f t="shared" si="237"/>
        <v>0</v>
      </c>
      <c r="AX368" s="96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3">
        <f t="shared" si="236"/>
        <v>0</v>
      </c>
      <c r="AW369" s="963">
        <f t="shared" si="237"/>
        <v>0</v>
      </c>
      <c r="AX369" s="96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3">
        <f t="shared" si="236"/>
        <v>0</v>
      </c>
      <c r="AW370" s="963">
        <f t="shared" si="237"/>
        <v>0</v>
      </c>
      <c r="AX370" s="96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3">
        <f t="shared" si="236"/>
        <v>0</v>
      </c>
      <c r="AW371" s="963">
        <f t="shared" si="237"/>
        <v>0</v>
      </c>
      <c r="AX371" s="96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3">
        <f t="shared" si="236"/>
        <v>0</v>
      </c>
      <c r="AW372" s="963">
        <f t="shared" si="237"/>
        <v>0</v>
      </c>
      <c r="AX372" s="96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3">
        <f t="shared" si="236"/>
        <v>0</v>
      </c>
      <c r="AW373" s="963">
        <f t="shared" si="237"/>
        <v>0</v>
      </c>
      <c r="AX373" s="96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3">
        <f t="shared" si="236"/>
        <v>0</v>
      </c>
      <c r="AW374" s="963">
        <f t="shared" si="237"/>
        <v>0</v>
      </c>
      <c r="AX374" s="96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3">
        <f t="shared" si="236"/>
        <v>0</v>
      </c>
      <c r="AW375" s="963">
        <f t="shared" si="237"/>
        <v>0</v>
      </c>
      <c r="AX375" s="96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3">
        <f t="shared" si="236"/>
        <v>0</v>
      </c>
      <c r="AW376" s="963">
        <f t="shared" si="237"/>
        <v>0</v>
      </c>
      <c r="AX376" s="96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3">
        <f t="shared" si="236"/>
        <v>0</v>
      </c>
      <c r="AW377" s="963">
        <f t="shared" si="237"/>
        <v>0</v>
      </c>
      <c r="AX377" s="96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3">
        <f t="shared" si="236"/>
        <v>0</v>
      </c>
      <c r="AW378" s="963">
        <f t="shared" si="237"/>
        <v>0</v>
      </c>
      <c r="AX378" s="96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3">
        <f t="shared" si="236"/>
        <v>0</v>
      </c>
      <c r="AW379" s="963">
        <f t="shared" si="237"/>
        <v>0</v>
      </c>
      <c r="AX379" s="96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3">
        <f t="shared" si="236"/>
        <v>0</v>
      </c>
      <c r="AW380" s="963">
        <f t="shared" si="237"/>
        <v>0</v>
      </c>
      <c r="AX380" s="96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3">
        <f t="shared" si="236"/>
        <v>0</v>
      </c>
      <c r="AW381" s="963">
        <f t="shared" si="237"/>
        <v>0</v>
      </c>
      <c r="AX381" s="96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3">
        <f t="shared" si="236"/>
        <v>0</v>
      </c>
      <c r="AW382" s="963">
        <f t="shared" si="237"/>
        <v>0</v>
      </c>
      <c r="AX382" s="96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3">
        <f t="shared" si="236"/>
        <v>0</v>
      </c>
      <c r="AW383" s="963">
        <f t="shared" si="237"/>
        <v>0</v>
      </c>
      <c r="AX383" s="96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3">
        <f t="shared" si="236"/>
        <v>0</v>
      </c>
      <c r="AW384" s="963">
        <f t="shared" si="237"/>
        <v>0</v>
      </c>
      <c r="AX384" s="96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3">
        <f t="shared" si="236"/>
        <v>0</v>
      </c>
      <c r="AW385" s="963">
        <f t="shared" si="237"/>
        <v>0</v>
      </c>
      <c r="AX385" s="96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3">
        <f t="shared" si="236"/>
        <v>0</v>
      </c>
      <c r="AW386" s="963">
        <f t="shared" si="237"/>
        <v>0</v>
      </c>
      <c r="AX386" s="96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3">
        <f t="shared" si="236"/>
        <v>0</v>
      </c>
      <c r="AW387" s="963">
        <f t="shared" si="237"/>
        <v>0</v>
      </c>
      <c r="AX387" s="96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3">
        <f t="shared" si="236"/>
        <v>0</v>
      </c>
      <c r="AW388" s="963">
        <f t="shared" si="237"/>
        <v>0</v>
      </c>
      <c r="AX388" s="96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3">
        <f t="shared" si="236"/>
        <v>0</v>
      </c>
      <c r="AW389" s="963">
        <f t="shared" si="237"/>
        <v>0</v>
      </c>
      <c r="AX389" s="96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3">
        <f t="shared" si="236"/>
        <v>0</v>
      </c>
      <c r="AW390" s="963">
        <f t="shared" si="237"/>
        <v>0</v>
      </c>
      <c r="AX390" s="96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3">
        <f t="shared" si="236"/>
        <v>0</v>
      </c>
      <c r="AW391" s="963">
        <f t="shared" si="237"/>
        <v>0</v>
      </c>
      <c r="AX391" s="96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3">
        <f t="shared" si="236"/>
        <v>0</v>
      </c>
      <c r="AW392" s="963">
        <f t="shared" si="237"/>
        <v>0</v>
      </c>
      <c r="AX392" s="96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3">
        <f t="shared" si="236"/>
        <v>0</v>
      </c>
      <c r="AW393" s="963">
        <f t="shared" si="237"/>
        <v>0</v>
      </c>
      <c r="AX393" s="96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3">
        <f t="shared" si="236"/>
        <v>0</v>
      </c>
      <c r="AW394" s="963">
        <f t="shared" si="237"/>
        <v>0</v>
      </c>
      <c r="AX394" s="96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3">
        <f t="shared" si="236"/>
        <v>0</v>
      </c>
      <c r="AW395" s="963">
        <f t="shared" si="237"/>
        <v>0</v>
      </c>
      <c r="AX395" s="96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3">
        <f t="shared" si="236"/>
        <v>0</v>
      </c>
      <c r="AW396" s="963">
        <f t="shared" si="237"/>
        <v>0</v>
      </c>
      <c r="AX396" s="96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3">
        <f t="shared" si="236"/>
        <v>0</v>
      </c>
      <c r="AW397" s="963">
        <f t="shared" si="237"/>
        <v>0</v>
      </c>
      <c r="AX397" s="96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3">
        <f t="shared" ref="AV398:AV492" si="243">A398</f>
        <v>0</v>
      </c>
      <c r="AW398" s="963">
        <f t="shared" ref="AW398:AW492" si="244">B398</f>
        <v>0</v>
      </c>
      <c r="AX398" s="96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3">
        <f t="shared" si="243"/>
        <v>0</v>
      </c>
      <c r="AW399" s="963">
        <f t="shared" si="244"/>
        <v>0</v>
      </c>
      <c r="AX399" s="96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3">
        <f t="shared" si="243"/>
        <v>0</v>
      </c>
      <c r="AW400" s="963">
        <f t="shared" si="244"/>
        <v>0</v>
      </c>
      <c r="AX400" s="96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3">
        <f t="shared" si="243"/>
        <v>0</v>
      </c>
      <c r="AW401" s="963">
        <f t="shared" si="244"/>
        <v>0</v>
      </c>
      <c r="AX401" s="96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3">
        <f t="shared" si="243"/>
        <v>0</v>
      </c>
      <c r="AW402" s="963">
        <f t="shared" si="244"/>
        <v>0</v>
      </c>
      <c r="AX402" s="96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3">
        <f t="shared" si="243"/>
        <v>0</v>
      </c>
      <c r="AW403" s="963">
        <f t="shared" si="244"/>
        <v>0</v>
      </c>
      <c r="AX403" s="96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3">
        <f t="shared" si="243"/>
        <v>0</v>
      </c>
      <c r="AW404" s="963">
        <f t="shared" si="244"/>
        <v>0</v>
      </c>
      <c r="AX404" s="96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3">
        <f t="shared" si="243"/>
        <v>0</v>
      </c>
      <c r="AW405" s="963">
        <f t="shared" si="244"/>
        <v>0</v>
      </c>
      <c r="AX405" s="96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3">
        <f t="shared" si="243"/>
        <v>0</v>
      </c>
      <c r="AW406" s="963">
        <f t="shared" si="244"/>
        <v>0</v>
      </c>
      <c r="AX406" s="96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3">
        <f t="shared" si="243"/>
        <v>0</v>
      </c>
      <c r="AW407" s="963">
        <f t="shared" si="244"/>
        <v>0</v>
      </c>
      <c r="AX407" s="96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3">
        <f t="shared" si="243"/>
        <v>0</v>
      </c>
      <c r="AW408" s="963">
        <f t="shared" si="244"/>
        <v>0</v>
      </c>
      <c r="AX408" s="96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3">
        <f t="shared" si="243"/>
        <v>0</v>
      </c>
      <c r="AW409" s="963">
        <f t="shared" si="244"/>
        <v>0</v>
      </c>
      <c r="AX409" s="96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3">
        <f t="shared" si="243"/>
        <v>0</v>
      </c>
      <c r="AW410" s="963">
        <f t="shared" si="244"/>
        <v>0</v>
      </c>
      <c r="AX410" s="96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3">
        <f t="shared" si="243"/>
        <v>0</v>
      </c>
      <c r="AW411" s="963">
        <f t="shared" si="244"/>
        <v>0</v>
      </c>
      <c r="AX411" s="96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3">
        <f t="shared" si="243"/>
        <v>0</v>
      </c>
      <c r="AW412" s="963">
        <f t="shared" si="244"/>
        <v>0</v>
      </c>
      <c r="AX412" s="96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3">
        <f t="shared" si="243"/>
        <v>0</v>
      </c>
      <c r="AW413" s="963">
        <f t="shared" si="244"/>
        <v>0</v>
      </c>
      <c r="AX413" s="96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3">
        <f t="shared" si="243"/>
        <v>0</v>
      </c>
      <c r="AW414" s="963">
        <f t="shared" si="244"/>
        <v>0</v>
      </c>
      <c r="AX414" s="96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3">
        <f t="shared" si="243"/>
        <v>0</v>
      </c>
      <c r="AW415" s="963">
        <f t="shared" si="244"/>
        <v>0</v>
      </c>
      <c r="AX415" s="96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3">
        <f t="shared" si="243"/>
        <v>0</v>
      </c>
      <c r="AW416" s="963">
        <f t="shared" si="244"/>
        <v>0</v>
      </c>
      <c r="AX416" s="96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3">
        <f t="shared" si="243"/>
        <v>0</v>
      </c>
      <c r="AW417" s="963">
        <f t="shared" si="244"/>
        <v>0</v>
      </c>
      <c r="AX417" s="96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3">
        <f t="shared" si="243"/>
        <v>0</v>
      </c>
      <c r="AW418" s="963">
        <f t="shared" si="244"/>
        <v>0</v>
      </c>
      <c r="AX418" s="96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3">
        <f t="shared" si="243"/>
        <v>0</v>
      </c>
      <c r="AW419" s="963">
        <f t="shared" si="244"/>
        <v>0</v>
      </c>
      <c r="AX419" s="96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3">
        <f t="shared" si="243"/>
        <v>0</v>
      </c>
      <c r="AW420" s="963">
        <f t="shared" si="244"/>
        <v>0</v>
      </c>
      <c r="AX420" s="96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3">
        <f t="shared" si="243"/>
        <v>0</v>
      </c>
      <c r="AW421" s="963">
        <f t="shared" si="244"/>
        <v>0</v>
      </c>
      <c r="AX421" s="96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3">
        <f t="shared" si="243"/>
        <v>0</v>
      </c>
      <c r="AW422" s="963">
        <f t="shared" si="244"/>
        <v>0</v>
      </c>
      <c r="AX422" s="96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3">
        <f t="shared" si="243"/>
        <v>0</v>
      </c>
      <c r="AW423" s="963">
        <f t="shared" si="244"/>
        <v>0</v>
      </c>
      <c r="AX423" s="96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3">
        <f t="shared" si="243"/>
        <v>0</v>
      </c>
      <c r="AW424" s="963">
        <f t="shared" si="244"/>
        <v>0</v>
      </c>
      <c r="AX424" s="96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3">
        <f t="shared" si="243"/>
        <v>0</v>
      </c>
      <c r="AW425" s="963">
        <f t="shared" si="244"/>
        <v>0</v>
      </c>
      <c r="AX425" s="96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3">
        <f t="shared" si="243"/>
        <v>0</v>
      </c>
      <c r="AW426" s="963">
        <f t="shared" si="244"/>
        <v>0</v>
      </c>
      <c r="AX426" s="96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3">
        <f t="shared" si="243"/>
        <v>0</v>
      </c>
      <c r="AW427" s="963">
        <f t="shared" si="244"/>
        <v>0</v>
      </c>
      <c r="AX427" s="96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3">
        <f t="shared" si="243"/>
        <v>0</v>
      </c>
      <c r="AW428" s="963">
        <f t="shared" si="244"/>
        <v>0</v>
      </c>
      <c r="AX428" s="96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3">
        <f t="shared" si="243"/>
        <v>0</v>
      </c>
      <c r="AW429" s="963">
        <f t="shared" si="244"/>
        <v>0</v>
      </c>
      <c r="AX429" s="96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3">
        <f t="shared" si="243"/>
        <v>0</v>
      </c>
      <c r="AW430" s="963">
        <f t="shared" si="244"/>
        <v>0</v>
      </c>
      <c r="AX430" s="96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3">
        <f t="shared" si="243"/>
        <v>0</v>
      </c>
      <c r="AW431" s="963">
        <f t="shared" si="244"/>
        <v>0</v>
      </c>
      <c r="AX431" s="96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3">
        <f t="shared" si="243"/>
        <v>0</v>
      </c>
      <c r="AW432" s="963">
        <f t="shared" si="244"/>
        <v>0</v>
      </c>
      <c r="AX432" s="96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3">
        <f t="shared" si="243"/>
        <v>0</v>
      </c>
      <c r="AW433" s="963">
        <f t="shared" si="244"/>
        <v>0</v>
      </c>
      <c r="AX433" s="96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3">
        <f t="shared" si="243"/>
        <v>0</v>
      </c>
      <c r="AW434" s="963">
        <f t="shared" si="244"/>
        <v>0</v>
      </c>
      <c r="AX434" s="96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3">
        <f t="shared" si="243"/>
        <v>0</v>
      </c>
      <c r="AW435" s="963">
        <f t="shared" si="244"/>
        <v>0</v>
      </c>
      <c r="AX435" s="96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3">
        <f t="shared" si="243"/>
        <v>0</v>
      </c>
      <c r="AW436" s="963">
        <f t="shared" si="244"/>
        <v>0</v>
      </c>
      <c r="AX436" s="96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3">
        <f t="shared" si="243"/>
        <v>0</v>
      </c>
      <c r="AW437" s="963">
        <f t="shared" si="244"/>
        <v>0</v>
      </c>
      <c r="AX437" s="96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3">
        <f t="shared" si="243"/>
        <v>0</v>
      </c>
      <c r="AW438" s="963">
        <f t="shared" si="244"/>
        <v>0</v>
      </c>
      <c r="AX438" s="96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3">
        <f t="shared" si="243"/>
        <v>0</v>
      </c>
      <c r="AW439" s="963">
        <f t="shared" si="244"/>
        <v>0</v>
      </c>
      <c r="AX439" s="96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3">
        <f t="shared" si="243"/>
        <v>0</v>
      </c>
      <c r="AW440" s="963">
        <f t="shared" si="244"/>
        <v>0</v>
      </c>
      <c r="AX440" s="96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3">
        <f t="shared" si="243"/>
        <v>0</v>
      </c>
      <c r="AW441" s="963">
        <f t="shared" si="244"/>
        <v>0</v>
      </c>
      <c r="AX441" s="96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3">
        <f t="shared" si="243"/>
        <v>0</v>
      </c>
      <c r="AW442" s="963">
        <f t="shared" si="244"/>
        <v>0</v>
      </c>
      <c r="AX442" s="96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3">
        <f t="shared" si="243"/>
        <v>0</v>
      </c>
      <c r="AW443" s="963">
        <f t="shared" si="244"/>
        <v>0</v>
      </c>
      <c r="AX443" s="96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3">
        <f t="shared" si="243"/>
        <v>0</v>
      </c>
      <c r="AW444" s="963">
        <f t="shared" si="244"/>
        <v>0</v>
      </c>
      <c r="AX444" s="96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3">
        <f t="shared" si="243"/>
        <v>0</v>
      </c>
      <c r="AW445" s="963">
        <f t="shared" si="244"/>
        <v>0</v>
      </c>
      <c r="AX445" s="96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3">
        <f t="shared" si="243"/>
        <v>0</v>
      </c>
      <c r="AW446" s="963">
        <f t="shared" si="244"/>
        <v>0</v>
      </c>
      <c r="AX446" s="96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3">
        <f t="shared" si="243"/>
        <v>0</v>
      </c>
      <c r="AW447" s="963">
        <f t="shared" si="244"/>
        <v>0</v>
      </c>
      <c r="AX447" s="96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3">
        <f t="shared" si="243"/>
        <v>0</v>
      </c>
      <c r="AW448" s="963">
        <f t="shared" si="244"/>
        <v>0</v>
      </c>
      <c r="AX448" s="96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3">
        <f t="shared" si="243"/>
        <v>0</v>
      </c>
      <c r="AW449" s="963">
        <f t="shared" si="244"/>
        <v>0</v>
      </c>
      <c r="AX449" s="96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3">
        <f t="shared" si="243"/>
        <v>0</v>
      </c>
      <c r="AW450" s="963">
        <f t="shared" si="244"/>
        <v>0</v>
      </c>
      <c r="AX450" s="96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3">
        <f t="shared" si="243"/>
        <v>0</v>
      </c>
      <c r="AW451" s="963">
        <f t="shared" si="244"/>
        <v>0</v>
      </c>
      <c r="AX451" s="96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3">
        <f t="shared" si="243"/>
        <v>0</v>
      </c>
      <c r="AW452" s="963">
        <f t="shared" si="244"/>
        <v>0</v>
      </c>
      <c r="AX452" s="96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3">
        <f t="shared" si="243"/>
        <v>0</v>
      </c>
      <c r="AW453" s="963">
        <f t="shared" si="244"/>
        <v>0</v>
      </c>
      <c r="AX453" s="96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3">
        <f t="shared" si="243"/>
        <v>0</v>
      </c>
      <c r="AW454" s="963">
        <f t="shared" si="244"/>
        <v>0</v>
      </c>
      <c r="AX454" s="96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3">
        <f t="shared" si="243"/>
        <v>0</v>
      </c>
      <c r="AW455" s="963">
        <f t="shared" si="244"/>
        <v>0</v>
      </c>
      <c r="AX455" s="96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3">
        <f t="shared" si="243"/>
        <v>0</v>
      </c>
      <c r="AW456" s="963">
        <f t="shared" si="244"/>
        <v>0</v>
      </c>
      <c r="AX456" s="96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3">
        <f t="shared" si="243"/>
        <v>0</v>
      </c>
      <c r="AW457" s="963">
        <f t="shared" si="244"/>
        <v>0</v>
      </c>
      <c r="AX457" s="96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3">
        <f t="shared" si="243"/>
        <v>0</v>
      </c>
      <c r="AW458" s="963">
        <f t="shared" si="244"/>
        <v>0</v>
      </c>
      <c r="AX458" s="96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3">
        <f t="shared" si="243"/>
        <v>0</v>
      </c>
      <c r="AW459" s="963">
        <f t="shared" si="244"/>
        <v>0</v>
      </c>
      <c r="AX459" s="96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3">
        <f t="shared" si="243"/>
        <v>0</v>
      </c>
      <c r="AW460" s="963">
        <f t="shared" si="244"/>
        <v>0</v>
      </c>
      <c r="AX460" s="96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3">
        <f t="shared" si="243"/>
        <v>0</v>
      </c>
      <c r="AW461" s="963">
        <f t="shared" si="244"/>
        <v>0</v>
      </c>
      <c r="AX461" s="96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3">
        <f t="shared" si="243"/>
        <v>0</v>
      </c>
      <c r="AW462" s="963">
        <f t="shared" si="244"/>
        <v>0</v>
      </c>
      <c r="AX462" s="96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3">
        <f t="shared" si="243"/>
        <v>0</v>
      </c>
      <c r="AW463" s="963">
        <f t="shared" si="244"/>
        <v>0</v>
      </c>
      <c r="AX463" s="96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3">
        <f t="shared" si="243"/>
        <v>0</v>
      </c>
      <c r="AW464" s="963">
        <f t="shared" si="244"/>
        <v>0</v>
      </c>
      <c r="AX464" s="96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3">
        <f t="shared" si="243"/>
        <v>0</v>
      </c>
      <c r="AW465" s="963">
        <f t="shared" si="244"/>
        <v>0</v>
      </c>
      <c r="AX465" s="96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3">
        <f t="shared" si="243"/>
        <v>0</v>
      </c>
      <c r="AW466" s="963">
        <f t="shared" si="244"/>
        <v>0</v>
      </c>
      <c r="AX466" s="96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3">
        <f t="shared" si="243"/>
        <v>0</v>
      </c>
      <c r="AW467" s="963">
        <f t="shared" si="244"/>
        <v>0</v>
      </c>
      <c r="AX467" s="96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3">
        <f t="shared" si="243"/>
        <v>0</v>
      </c>
      <c r="AW468" s="963">
        <f t="shared" si="244"/>
        <v>0</v>
      </c>
      <c r="AX468" s="96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3">
        <f t="shared" si="243"/>
        <v>0</v>
      </c>
      <c r="AW469" s="963">
        <f t="shared" si="244"/>
        <v>0</v>
      </c>
      <c r="AX469" s="96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3">
        <f t="shared" si="243"/>
        <v>0</v>
      </c>
      <c r="AW470" s="963">
        <f t="shared" si="244"/>
        <v>0</v>
      </c>
      <c r="AX470" s="96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3">
        <f t="shared" si="243"/>
        <v>0</v>
      </c>
      <c r="AW471" s="963">
        <f t="shared" si="244"/>
        <v>0</v>
      </c>
      <c r="AX471" s="96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3">
        <f t="shared" si="243"/>
        <v>0</v>
      </c>
      <c r="AW472" s="963">
        <f t="shared" si="244"/>
        <v>0</v>
      </c>
      <c r="AX472" s="96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3">
        <f t="shared" si="243"/>
        <v>0</v>
      </c>
      <c r="AW473" s="963">
        <f t="shared" si="244"/>
        <v>0</v>
      </c>
      <c r="AX473" s="96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3">
        <f t="shared" si="243"/>
        <v>0</v>
      </c>
      <c r="AW474" s="963">
        <f t="shared" si="244"/>
        <v>0</v>
      </c>
      <c r="AX474" s="96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3">
        <f t="shared" si="243"/>
        <v>0</v>
      </c>
      <c r="AW475" s="963">
        <f t="shared" si="244"/>
        <v>0</v>
      </c>
      <c r="AX475" s="96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3">
        <f t="shared" si="243"/>
        <v>0</v>
      </c>
      <c r="AW476" s="963">
        <f t="shared" si="244"/>
        <v>0</v>
      </c>
      <c r="AX476" s="96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3">
        <f t="shared" si="243"/>
        <v>0</v>
      </c>
      <c r="AW477" s="963">
        <f t="shared" si="244"/>
        <v>0</v>
      </c>
      <c r="AX477" s="96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3">
        <f t="shared" si="243"/>
        <v>0</v>
      </c>
      <c r="AW478" s="963">
        <f t="shared" si="244"/>
        <v>0</v>
      </c>
      <c r="AX478" s="96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3">
        <f t="shared" si="243"/>
        <v>0</v>
      </c>
      <c r="AW479" s="963">
        <f t="shared" si="244"/>
        <v>0</v>
      </c>
      <c r="AX479" s="96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3">
        <f t="shared" si="243"/>
        <v>0</v>
      </c>
      <c r="AW480" s="963">
        <f t="shared" si="244"/>
        <v>0</v>
      </c>
      <c r="AX480" s="96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3">
        <f t="shared" si="243"/>
        <v>0</v>
      </c>
      <c r="AW481" s="963">
        <f t="shared" si="244"/>
        <v>0</v>
      </c>
      <c r="AX481" s="96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3">
        <f t="shared" si="243"/>
        <v>0</v>
      </c>
      <c r="AW482" s="963">
        <f t="shared" si="244"/>
        <v>0</v>
      </c>
      <c r="AX482" s="96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3">
        <f t="shared" si="243"/>
        <v>0</v>
      </c>
      <c r="AW483" s="963">
        <f t="shared" si="244"/>
        <v>0</v>
      </c>
      <c r="AX483" s="96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3">
        <f t="shared" si="243"/>
        <v>0</v>
      </c>
      <c r="AW484" s="963">
        <f t="shared" si="244"/>
        <v>0</v>
      </c>
      <c r="AX484" s="96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3">
        <f t="shared" si="243"/>
        <v>0</v>
      </c>
      <c r="AW485" s="963">
        <f t="shared" si="244"/>
        <v>0</v>
      </c>
      <c r="AX485" s="96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3">
        <f t="shared" si="243"/>
        <v>0</v>
      </c>
      <c r="AW486" s="963">
        <f t="shared" si="244"/>
        <v>0</v>
      </c>
      <c r="AX486" s="96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3">
        <f t="shared" si="243"/>
        <v>0</v>
      </c>
      <c r="AW487" s="963">
        <f t="shared" si="244"/>
        <v>0</v>
      </c>
      <c r="AX487" s="96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3">
        <f t="shared" si="243"/>
        <v>0</v>
      </c>
      <c r="AW488" s="963">
        <f t="shared" si="244"/>
        <v>0</v>
      </c>
      <c r="AX488" s="96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3">
        <f t="shared" si="243"/>
        <v>0</v>
      </c>
      <c r="AW489" s="963">
        <f t="shared" si="244"/>
        <v>0</v>
      </c>
      <c r="AX489" s="96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3">
        <f t="shared" si="243"/>
        <v>0</v>
      </c>
      <c r="AW490" s="963">
        <f t="shared" si="244"/>
        <v>0</v>
      </c>
      <c r="AX490" s="96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3">
        <f t="shared" si="243"/>
        <v>0</v>
      </c>
      <c r="AW491" s="963">
        <f t="shared" si="244"/>
        <v>0</v>
      </c>
      <c r="AX491" s="96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3">
        <f t="shared" si="243"/>
        <v>0</v>
      </c>
      <c r="AW492" s="963">
        <f t="shared" si="244"/>
        <v>0</v>
      </c>
      <c r="AX492" s="96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3">
        <f t="shared" ref="AV493:AV520" si="294">A493</f>
        <v>0</v>
      </c>
      <c r="AW493" s="963">
        <f t="shared" ref="AW493:AW520" si="295">B493</f>
        <v>0</v>
      </c>
      <c r="AX493" s="96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3">
        <f t="shared" si="294"/>
        <v>0</v>
      </c>
      <c r="AW494" s="963">
        <f t="shared" si="295"/>
        <v>0</v>
      </c>
      <c r="AX494" s="96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3">
        <f t="shared" si="294"/>
        <v>0</v>
      </c>
      <c r="AW495" s="963">
        <f t="shared" si="295"/>
        <v>0</v>
      </c>
      <c r="AX495" s="96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3">
        <f t="shared" si="294"/>
        <v>0</v>
      </c>
      <c r="AW496" s="963">
        <f t="shared" si="295"/>
        <v>0</v>
      </c>
      <c r="AX496" s="96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3">
        <f t="shared" si="294"/>
        <v>0</v>
      </c>
      <c r="AW497" s="963">
        <f t="shared" si="295"/>
        <v>0</v>
      </c>
      <c r="AX497" s="96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3">
        <f t="shared" si="294"/>
        <v>0</v>
      </c>
      <c r="AW498" s="963">
        <f t="shared" si="295"/>
        <v>0</v>
      </c>
      <c r="AX498" s="96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3">
        <f t="shared" si="294"/>
        <v>0</v>
      </c>
      <c r="AW499" s="963">
        <f t="shared" si="295"/>
        <v>0</v>
      </c>
      <c r="AX499" s="96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3">
        <f t="shared" si="294"/>
        <v>0</v>
      </c>
      <c r="AW500" s="963">
        <f t="shared" si="295"/>
        <v>0</v>
      </c>
      <c r="AX500" s="96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3">
        <f t="shared" si="294"/>
        <v>0</v>
      </c>
      <c r="AW501" s="963">
        <f t="shared" si="295"/>
        <v>0</v>
      </c>
      <c r="AX501" s="96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3">
        <f t="shared" si="294"/>
        <v>0</v>
      </c>
      <c r="AW502" s="963">
        <f t="shared" si="295"/>
        <v>0</v>
      </c>
      <c r="AX502" s="96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3">
        <f t="shared" si="294"/>
        <v>0</v>
      </c>
      <c r="AW503" s="963">
        <f t="shared" si="295"/>
        <v>0</v>
      </c>
      <c r="AX503" s="96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3">
        <f t="shared" si="294"/>
        <v>0</v>
      </c>
      <c r="AW504" s="963">
        <f t="shared" si="295"/>
        <v>0</v>
      </c>
      <c r="AX504" s="96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3">
        <f t="shared" si="294"/>
        <v>0</v>
      </c>
      <c r="AW505" s="963">
        <f t="shared" si="295"/>
        <v>0</v>
      </c>
      <c r="AX505" s="96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3">
        <f t="shared" si="294"/>
        <v>0</v>
      </c>
      <c r="AW506" s="963">
        <f t="shared" si="295"/>
        <v>0</v>
      </c>
      <c r="AX506" s="96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3">
        <f t="shared" si="294"/>
        <v>0</v>
      </c>
      <c r="AW507" s="963">
        <f t="shared" si="295"/>
        <v>0</v>
      </c>
      <c r="AX507" s="96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3">
        <f t="shared" si="294"/>
        <v>0</v>
      </c>
      <c r="AW508" s="963">
        <f t="shared" si="295"/>
        <v>0</v>
      </c>
      <c r="AX508" s="96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3">
        <f t="shared" si="294"/>
        <v>0</v>
      </c>
      <c r="AW509" s="963">
        <f t="shared" si="295"/>
        <v>0</v>
      </c>
      <c r="AX509" s="96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3">
        <f t="shared" si="294"/>
        <v>0</v>
      </c>
      <c r="AW510" s="963">
        <f t="shared" si="295"/>
        <v>0</v>
      </c>
      <c r="AX510" s="96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3">
        <f t="shared" si="294"/>
        <v>0</v>
      </c>
      <c r="AW511" s="963">
        <f t="shared" si="295"/>
        <v>0</v>
      </c>
      <c r="AX511" s="96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3">
        <f t="shared" si="294"/>
        <v>0</v>
      </c>
      <c r="AW512" s="963">
        <f t="shared" si="295"/>
        <v>0</v>
      </c>
      <c r="AX512" s="96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3">
        <f t="shared" si="294"/>
        <v>0</v>
      </c>
      <c r="AW513" s="963">
        <f t="shared" si="295"/>
        <v>0</v>
      </c>
      <c r="AX513" s="96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3">
        <f t="shared" si="294"/>
        <v>0</v>
      </c>
      <c r="AW514" s="963">
        <f t="shared" si="295"/>
        <v>0</v>
      </c>
      <c r="AX514" s="96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3">
        <f t="shared" si="294"/>
        <v>0</v>
      </c>
      <c r="AW515" s="963">
        <f t="shared" si="295"/>
        <v>0</v>
      </c>
      <c r="AX515" s="96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3">
        <f t="shared" si="294"/>
        <v>0</v>
      </c>
      <c r="AW516" s="963">
        <f t="shared" si="295"/>
        <v>0</v>
      </c>
      <c r="AX516" s="96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3">
        <f t="shared" si="294"/>
        <v>0</v>
      </c>
      <c r="AW517" s="963">
        <f t="shared" si="295"/>
        <v>0</v>
      </c>
      <c r="AX517" s="96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3">
        <f t="shared" si="294"/>
        <v>0</v>
      </c>
      <c r="AW518" s="963">
        <f t="shared" si="295"/>
        <v>0</v>
      </c>
      <c r="AX518" s="96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3">
        <f t="shared" si="294"/>
        <v>0</v>
      </c>
      <c r="AW519" s="963">
        <f t="shared" si="295"/>
        <v>0</v>
      </c>
      <c r="AX519" s="96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3">
        <f t="shared" si="294"/>
        <v>0</v>
      </c>
      <c r="AW520" s="963">
        <f t="shared" si="295"/>
        <v>0</v>
      </c>
      <c r="AX520" s="96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3">
        <f t="shared" ref="AV521:AV552" si="298">A521</f>
        <v>0</v>
      </c>
      <c r="AW521" s="963">
        <f t="shared" ref="AW521:AW552" si="299">B521</f>
        <v>0</v>
      </c>
      <c r="AX521" s="96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3">
        <f t="shared" si="298"/>
        <v>0</v>
      </c>
      <c r="AW522" s="963">
        <f t="shared" si="299"/>
        <v>0</v>
      </c>
      <c r="AX522" s="96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3">
        <f t="shared" si="298"/>
        <v>0</v>
      </c>
      <c r="AW523" s="963">
        <f t="shared" si="299"/>
        <v>0</v>
      </c>
      <c r="AX523" s="96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3">
        <f t="shared" si="298"/>
        <v>0</v>
      </c>
      <c r="AW524" s="963">
        <f t="shared" si="299"/>
        <v>0</v>
      </c>
      <c r="AX524" s="96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3">
        <f t="shared" si="298"/>
        <v>0</v>
      </c>
      <c r="AW525" s="963">
        <f t="shared" si="299"/>
        <v>0</v>
      </c>
      <c r="AX525" s="96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3">
        <f t="shared" si="298"/>
        <v>0</v>
      </c>
      <c r="AW526" s="963">
        <f t="shared" si="299"/>
        <v>0</v>
      </c>
      <c r="AX526" s="96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3">
        <f t="shared" si="298"/>
        <v>0</v>
      </c>
      <c r="AW527" s="963">
        <f t="shared" si="299"/>
        <v>0</v>
      </c>
      <c r="AX527" s="96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3">
        <f t="shared" si="298"/>
        <v>0</v>
      </c>
      <c r="AW528" s="963">
        <f t="shared" si="299"/>
        <v>0</v>
      </c>
      <c r="AX528" s="96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3">
        <f t="shared" si="298"/>
        <v>0</v>
      </c>
      <c r="AW529" s="963">
        <f t="shared" si="299"/>
        <v>0</v>
      </c>
      <c r="AX529" s="96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3">
        <f t="shared" si="298"/>
        <v>0</v>
      </c>
      <c r="AW530" s="963">
        <f t="shared" si="299"/>
        <v>0</v>
      </c>
      <c r="AX530" s="96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3">
        <f t="shared" si="298"/>
        <v>0</v>
      </c>
      <c r="AW531" s="963">
        <f t="shared" si="299"/>
        <v>0</v>
      </c>
      <c r="AX531" s="96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3">
        <f t="shared" si="298"/>
        <v>0</v>
      </c>
      <c r="AW532" s="963">
        <f t="shared" si="299"/>
        <v>0</v>
      </c>
      <c r="AX532" s="96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3">
        <f t="shared" si="298"/>
        <v>0</v>
      </c>
      <c r="AW533" s="963">
        <f t="shared" si="299"/>
        <v>0</v>
      </c>
      <c r="AX533" s="96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3">
        <f t="shared" si="298"/>
        <v>0</v>
      </c>
      <c r="AW534" s="963">
        <f t="shared" si="299"/>
        <v>0</v>
      </c>
      <c r="AX534" s="96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3">
        <f t="shared" si="298"/>
        <v>0</v>
      </c>
      <c r="AW535" s="963">
        <f t="shared" si="299"/>
        <v>0</v>
      </c>
      <c r="AX535" s="96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3">
        <f t="shared" si="298"/>
        <v>0</v>
      </c>
      <c r="AW536" s="963">
        <f t="shared" si="299"/>
        <v>0</v>
      </c>
      <c r="AX536" s="96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3">
        <f t="shared" si="298"/>
        <v>0</v>
      </c>
      <c r="AW537" s="963">
        <f t="shared" si="299"/>
        <v>0</v>
      </c>
      <c r="AX537" s="96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3">
        <f t="shared" si="298"/>
        <v>0</v>
      </c>
      <c r="AW538" s="963">
        <f t="shared" si="299"/>
        <v>0</v>
      </c>
      <c r="AX538" s="96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3">
        <f t="shared" si="298"/>
        <v>0</v>
      </c>
      <c r="AW539" s="963">
        <f t="shared" si="299"/>
        <v>0</v>
      </c>
      <c r="AX539" s="96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3">
        <f t="shared" si="298"/>
        <v>0</v>
      </c>
      <c r="AW540" s="963">
        <f t="shared" si="299"/>
        <v>0</v>
      </c>
      <c r="AX540" s="96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3">
        <f t="shared" si="298"/>
        <v>0</v>
      </c>
      <c r="AW541" s="963">
        <f t="shared" si="299"/>
        <v>0</v>
      </c>
      <c r="AX541" s="96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3">
        <f t="shared" si="298"/>
        <v>0</v>
      </c>
      <c r="AW542" s="963">
        <f t="shared" si="299"/>
        <v>0</v>
      </c>
      <c r="AX542" s="96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3">
        <f t="shared" si="298"/>
        <v>0</v>
      </c>
      <c r="AW543" s="963">
        <f t="shared" si="299"/>
        <v>0</v>
      </c>
      <c r="AX543" s="96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3">
        <f t="shared" si="298"/>
        <v>0</v>
      </c>
      <c r="AW544" s="963">
        <f t="shared" si="299"/>
        <v>0</v>
      </c>
      <c r="AX544" s="96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3">
        <f t="shared" si="298"/>
        <v>0</v>
      </c>
      <c r="AW545" s="963">
        <f t="shared" si="299"/>
        <v>0</v>
      </c>
      <c r="AX545" s="96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3">
        <f t="shared" si="298"/>
        <v>0</v>
      </c>
      <c r="AW546" s="963">
        <f t="shared" si="299"/>
        <v>0</v>
      </c>
      <c r="AX546" s="96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3">
        <f t="shared" si="298"/>
        <v>0</v>
      </c>
      <c r="AW547" s="963">
        <f t="shared" si="299"/>
        <v>0</v>
      </c>
      <c r="AX547" s="96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3">
        <f t="shared" si="298"/>
        <v>0</v>
      </c>
      <c r="AW548" s="963">
        <f t="shared" si="299"/>
        <v>0</v>
      </c>
      <c r="AX548" s="96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3">
        <f t="shared" si="298"/>
        <v>0</v>
      </c>
      <c r="AW549" s="963">
        <f t="shared" si="299"/>
        <v>0</v>
      </c>
      <c r="AX549" s="96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3">
        <f t="shared" si="298"/>
        <v>0</v>
      </c>
      <c r="AW550" s="963">
        <f t="shared" si="299"/>
        <v>0</v>
      </c>
      <c r="AX550" s="96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3">
        <f t="shared" si="298"/>
        <v>0</v>
      </c>
      <c r="AW551" s="963">
        <f t="shared" si="299"/>
        <v>0</v>
      </c>
      <c r="AX551" s="96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3">
        <f t="shared" si="298"/>
        <v>0</v>
      </c>
      <c r="AW552" s="963">
        <f t="shared" si="299"/>
        <v>0</v>
      </c>
      <c r="AX552" s="96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3">
        <f t="shared" ref="AV553:AV587" si="330">A553</f>
        <v>0</v>
      </c>
      <c r="AW553" s="963">
        <f t="shared" ref="AW553:AW587" si="331">B553</f>
        <v>0</v>
      </c>
      <c r="AX553" s="96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3">
        <f t="shared" si="330"/>
        <v>0</v>
      </c>
      <c r="AW554" s="963">
        <f t="shared" si="331"/>
        <v>0</v>
      </c>
      <c r="AX554" s="96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3">
        <f t="shared" si="330"/>
        <v>0</v>
      </c>
      <c r="AW555" s="963">
        <f t="shared" si="331"/>
        <v>0</v>
      </c>
      <c r="AX555" s="96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3">
        <f t="shared" si="330"/>
        <v>0</v>
      </c>
      <c r="AW556" s="963">
        <f t="shared" si="331"/>
        <v>0</v>
      </c>
      <c r="AX556" s="96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3">
        <f t="shared" si="330"/>
        <v>0</v>
      </c>
      <c r="AW557" s="963">
        <f t="shared" si="331"/>
        <v>0</v>
      </c>
      <c r="AX557" s="96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3">
        <f t="shared" si="330"/>
        <v>0</v>
      </c>
      <c r="AW558" s="963">
        <f t="shared" si="331"/>
        <v>0</v>
      </c>
      <c r="AX558" s="96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3">
        <f t="shared" si="330"/>
        <v>0</v>
      </c>
      <c r="AW559" s="963">
        <f t="shared" si="331"/>
        <v>0</v>
      </c>
      <c r="AX559" s="96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3">
        <f t="shared" si="330"/>
        <v>0</v>
      </c>
      <c r="AW560" s="963">
        <f t="shared" si="331"/>
        <v>0</v>
      </c>
      <c r="AX560" s="96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3">
        <f t="shared" si="330"/>
        <v>0</v>
      </c>
      <c r="AW561" s="963">
        <f t="shared" si="331"/>
        <v>0</v>
      </c>
      <c r="AX561" s="96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3">
        <f t="shared" si="330"/>
        <v>0</v>
      </c>
      <c r="AW562" s="963">
        <f t="shared" si="331"/>
        <v>0</v>
      </c>
      <c r="AX562" s="96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3">
        <f t="shared" si="330"/>
        <v>0</v>
      </c>
      <c r="AW563" s="963">
        <f t="shared" si="331"/>
        <v>0</v>
      </c>
      <c r="AX563" s="96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3">
        <f t="shared" si="330"/>
        <v>0</v>
      </c>
      <c r="AW564" s="963">
        <f t="shared" si="331"/>
        <v>0</v>
      </c>
      <c r="AX564" s="96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3">
        <f t="shared" si="330"/>
        <v>0</v>
      </c>
      <c r="AW565" s="963">
        <f t="shared" si="331"/>
        <v>0</v>
      </c>
      <c r="AX565" s="96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3">
        <f t="shared" si="330"/>
        <v>0</v>
      </c>
      <c r="AW566" s="963">
        <f t="shared" si="331"/>
        <v>0</v>
      </c>
      <c r="AX566" s="96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3">
        <f t="shared" si="330"/>
        <v>0</v>
      </c>
      <c r="AW567" s="963">
        <f t="shared" si="331"/>
        <v>0</v>
      </c>
      <c r="AX567" s="96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3">
        <f t="shared" si="330"/>
        <v>0</v>
      </c>
      <c r="AW568" s="963">
        <f t="shared" si="331"/>
        <v>0</v>
      </c>
      <c r="AX568" s="96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3">
        <f t="shared" si="330"/>
        <v>0</v>
      </c>
      <c r="AW569" s="963">
        <f t="shared" si="331"/>
        <v>0</v>
      </c>
      <c r="AX569" s="96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3">
        <f t="shared" si="330"/>
        <v>0</v>
      </c>
      <c r="AW570" s="963">
        <f t="shared" si="331"/>
        <v>0</v>
      </c>
      <c r="AX570" s="96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3">
        <f t="shared" si="330"/>
        <v>0</v>
      </c>
      <c r="AW571" s="963">
        <f t="shared" si="331"/>
        <v>0</v>
      </c>
      <c r="AX571" s="96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3">
        <f t="shared" si="330"/>
        <v>0</v>
      </c>
      <c r="AW572" s="963">
        <f t="shared" si="331"/>
        <v>0</v>
      </c>
      <c r="AX572" s="96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3">
        <f t="shared" si="330"/>
        <v>0</v>
      </c>
      <c r="AW573" s="963">
        <f t="shared" si="331"/>
        <v>0</v>
      </c>
      <c r="AX573" s="96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3">
        <f t="shared" si="330"/>
        <v>0</v>
      </c>
      <c r="AW574" s="963">
        <f t="shared" si="331"/>
        <v>0</v>
      </c>
      <c r="AX574" s="96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3">
        <f t="shared" si="330"/>
        <v>0</v>
      </c>
      <c r="AW575" s="963">
        <f t="shared" si="331"/>
        <v>0</v>
      </c>
      <c r="AX575" s="96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3">
        <f t="shared" si="330"/>
        <v>0</v>
      </c>
      <c r="AW576" s="963">
        <f t="shared" si="331"/>
        <v>0</v>
      </c>
      <c r="AX576" s="96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3">
        <f t="shared" si="330"/>
        <v>0</v>
      </c>
      <c r="AW577" s="963">
        <f t="shared" si="331"/>
        <v>0</v>
      </c>
      <c r="AX577" s="96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3">
        <f t="shared" si="330"/>
        <v>0</v>
      </c>
      <c r="AW578" s="963">
        <f t="shared" si="331"/>
        <v>0</v>
      </c>
      <c r="AX578" s="96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3">
        <f t="shared" si="330"/>
        <v>0</v>
      </c>
      <c r="AW579" s="963">
        <f t="shared" si="331"/>
        <v>0</v>
      </c>
      <c r="AX579" s="96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3">
        <f t="shared" si="330"/>
        <v>0</v>
      </c>
      <c r="AW580" s="963">
        <f t="shared" si="331"/>
        <v>0</v>
      </c>
      <c r="AX580" s="96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3">
        <f t="shared" si="330"/>
        <v>0</v>
      </c>
      <c r="AW581" s="963">
        <f t="shared" si="331"/>
        <v>0</v>
      </c>
      <c r="AX581" s="96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3">
        <f t="shared" si="330"/>
        <v>0</v>
      </c>
      <c r="AW582" s="963">
        <f t="shared" si="331"/>
        <v>0</v>
      </c>
      <c r="AX582" s="96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3">
        <f t="shared" si="330"/>
        <v>0</v>
      </c>
      <c r="AW583" s="963">
        <f t="shared" si="331"/>
        <v>0</v>
      </c>
      <c r="AX583" s="96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3">
        <f t="shared" si="330"/>
        <v>0</v>
      </c>
      <c r="AW584" s="963">
        <f t="shared" si="331"/>
        <v>0</v>
      </c>
      <c r="AX584" s="96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3">
        <f t="shared" si="330"/>
        <v>0</v>
      </c>
      <c r="AW585" s="963">
        <f t="shared" si="331"/>
        <v>0</v>
      </c>
      <c r="AX585" s="96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3">
        <f t="shared" si="330"/>
        <v>0</v>
      </c>
      <c r="AW586" s="963">
        <f t="shared" si="331"/>
        <v>0</v>
      </c>
      <c r="AX586" s="96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3">
        <f t="shared" si="330"/>
        <v>0</v>
      </c>
      <c r="AW587" s="963">
        <f t="shared" si="331"/>
        <v>0</v>
      </c>
      <c r="AX587" s="96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5"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6" customFormat="1" spans="3:4">
      <c r="C589" s="3349"/>
      <c r="D589" s="3349"/>
    </row>
    <row r="590" s="3256"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3156" customWidth="1"/>
    <col min="2" max="2" width="10.25" style="3156" customWidth="1"/>
    <col min="3" max="3" width="18.5" style="3156" customWidth="1"/>
    <col min="4" max="4" width="11.625" style="3156" customWidth="1"/>
    <col min="5" max="5" width="13.375" style="3156" customWidth="1"/>
    <col min="6" max="8" width="11.5" style="3156" customWidth="1"/>
    <col min="9" max="9" width="11.125" style="3156" customWidth="1"/>
    <col min="10" max="10" width="3.125" style="3157" customWidth="1"/>
    <col min="11" max="16" width="10" style="3156" customWidth="1"/>
    <col min="17" max="17" width="2.625" style="3156" customWidth="1"/>
    <col min="18" max="18" width="9.375" style="3156" customWidth="1"/>
    <col min="19" max="19" width="10.5" style="3156" customWidth="1"/>
    <col min="20" max="16384" width="9.25" style="3156"/>
  </cols>
  <sheetData>
    <row r="1" ht="19.5" spans="1:16">
      <c r="A1" s="2498" t="s">
        <v>565</v>
      </c>
      <c r="B1" s="2585"/>
      <c r="C1" s="2585"/>
      <c r="D1" s="2585"/>
      <c r="E1" s="2585"/>
      <c r="F1" s="2585"/>
      <c r="G1" s="2585"/>
      <c r="H1" s="2585"/>
      <c r="I1" s="2585"/>
      <c r="J1" s="2585"/>
      <c r="K1" s="2585"/>
      <c r="L1" s="2585"/>
      <c r="M1" s="2585"/>
      <c r="N1" s="2585"/>
      <c r="O1" s="2585"/>
      <c r="P1" s="2585"/>
    </row>
    <row r="2" spans="1:16">
      <c r="A2" s="2426" t="s">
        <v>566</v>
      </c>
      <c r="B2" s="2426"/>
      <c r="C2" s="2426"/>
      <c r="D2" s="2426" t="s">
        <v>567</v>
      </c>
      <c r="E2" s="3158" t="s">
        <v>568</v>
      </c>
      <c r="F2" s="3159"/>
      <c r="G2" s="3160"/>
      <c r="H2" s="3161"/>
      <c r="I2" s="2763" t="s">
        <v>569</v>
      </c>
      <c r="J2" s="3159"/>
      <c r="K2" s="3159"/>
      <c r="L2" s="3159"/>
      <c r="M2" s="3159"/>
      <c r="N2" s="1095"/>
      <c r="O2" s="3159"/>
      <c r="P2" s="3159"/>
    </row>
    <row r="3" ht="15.75" spans="1:16">
      <c r="A3" s="3162" t="s">
        <v>570</v>
      </c>
      <c r="B3" s="3162"/>
      <c r="C3" s="3162"/>
      <c r="D3" s="3163">
        <f>'数据-基础表'!AY6</f>
        <v>0</v>
      </c>
      <c r="E3" s="3163">
        <f>'数据-基础表'!AZ5</f>
        <v>695.5</v>
      </c>
      <c r="F3" s="3159"/>
      <c r="G3" s="3164"/>
      <c r="H3" s="2532" t="s">
        <v>571</v>
      </c>
      <c r="I3" s="3227" t="e">
        <f>ROUND('数据-基础表'!B3/'数据-基础表'!A3,2)</f>
        <v>#DIV/0!</v>
      </c>
      <c r="J3" s="3159"/>
      <c r="K3" s="3159"/>
      <c r="L3" s="3159"/>
      <c r="M3" s="3159"/>
      <c r="N3" s="1095"/>
      <c r="O3" s="3159"/>
      <c r="P3" s="3159"/>
    </row>
    <row r="4" ht="15" spans="1:16">
      <c r="A4" s="2761"/>
      <c r="B4" s="2762"/>
      <c r="C4" s="3165"/>
      <c r="D4" s="3166" t="s">
        <v>567</v>
      </c>
      <c r="E4" s="3167" t="s">
        <v>568</v>
      </c>
      <c r="F4" s="3159"/>
      <c r="G4" s="3168" t="s">
        <v>572</v>
      </c>
      <c r="H4" s="2532" t="s">
        <v>573</v>
      </c>
      <c r="I4" s="3227" t="e">
        <f>ROUND(SUMIF('数据-基础表'!I9:AS9,"地上",'数据-基础表'!I5:AS5)/'数据-基础表'!A3,2)</f>
        <v>#DIV/0!</v>
      </c>
      <c r="J4" s="3159"/>
      <c r="K4" s="3159"/>
      <c r="L4" s="3159"/>
      <c r="M4" s="3159"/>
      <c r="N4" s="1095"/>
      <c r="O4" s="3159"/>
      <c r="P4" s="3159"/>
    </row>
    <row r="5" spans="1:16">
      <c r="A5" s="3169" t="s">
        <v>574</v>
      </c>
      <c r="B5" s="979" t="s">
        <v>575</v>
      </c>
      <c r="C5" s="979"/>
      <c r="D5" s="3170">
        <f>ROUND($D$3*E5/$E$3,2)</f>
        <v>0</v>
      </c>
      <c r="E5" s="3171">
        <f>SUMIF('数据-基础表'!$11:$11,"住宅",'数据-基础表'!$5:$5)</f>
        <v>0</v>
      </c>
      <c r="F5" s="3159"/>
      <c r="G5" s="3164"/>
      <c r="H5" s="2532" t="s">
        <v>571</v>
      </c>
      <c r="I5" s="3227" t="e">
        <f>ROUND(E31/D31,2)</f>
        <v>#DIV/0!</v>
      </c>
      <c r="J5" s="3159"/>
      <c r="K5" s="3159"/>
      <c r="L5" s="3159"/>
      <c r="M5" s="3159"/>
      <c r="N5" s="3159"/>
      <c r="O5" s="3159"/>
      <c r="P5" s="3159"/>
    </row>
    <row r="6" ht="15" spans="1:16">
      <c r="A6" s="3172"/>
      <c r="B6" s="979" t="s">
        <v>576</v>
      </c>
      <c r="C6" s="979"/>
      <c r="D6" s="3170">
        <f>ROUND($D$3*E6/$E$3,2)</f>
        <v>0</v>
      </c>
      <c r="E6" s="3171">
        <f>E3-E5</f>
        <v>695.5</v>
      </c>
      <c r="F6" s="3159"/>
      <c r="G6" s="3173" t="s">
        <v>577</v>
      </c>
      <c r="H6" s="3174" t="s">
        <v>573</v>
      </c>
      <c r="I6" s="3228" t="e">
        <f>ROUND(F31/D31,2)</f>
        <v>#DIV/0!</v>
      </c>
      <c r="J6" s="3159"/>
      <c r="K6" s="3229" t="s">
        <v>578</v>
      </c>
      <c r="L6" s="3159">
        <v>1600</v>
      </c>
      <c r="M6" s="3159"/>
      <c r="N6" s="3159"/>
      <c r="O6" s="3159"/>
      <c r="P6" s="3159"/>
    </row>
    <row r="7" ht="15" spans="1:16">
      <c r="A7" s="3175"/>
      <c r="B7" s="3176"/>
      <c r="C7" s="3177"/>
      <c r="D7" s="3166" t="s">
        <v>567</v>
      </c>
      <c r="E7" s="3178" t="s">
        <v>579</v>
      </c>
      <c r="F7" s="3159"/>
      <c r="G7" s="3179" t="s">
        <v>580</v>
      </c>
      <c r="H7" s="3180"/>
      <c r="I7" s="3230">
        <f>ROUND(L7/L6,2)</f>
        <v>1.13</v>
      </c>
      <c r="J7" s="3159"/>
      <c r="K7" s="3229" t="s">
        <v>581</v>
      </c>
      <c r="L7" s="3159">
        <f>1107.1+695.5</f>
        <v>1802.6</v>
      </c>
      <c r="M7" s="3159"/>
      <c r="N7" s="3159"/>
      <c r="O7" s="3159"/>
      <c r="P7" s="3159"/>
    </row>
    <row r="8" spans="1:16">
      <c r="A8" s="3169" t="s">
        <v>582</v>
      </c>
      <c r="B8" s="3181" t="s">
        <v>583</v>
      </c>
      <c r="C8" s="3170" t="s">
        <v>584</v>
      </c>
      <c r="D8" s="3170">
        <f t="shared" ref="D8:D15" si="0">ROUND($D$3*E8/$E$3,2)</f>
        <v>0</v>
      </c>
      <c r="E8" s="3182">
        <f>SUMIF('数据-基础表'!BB10:BK10,"地上",'数据-基础表'!BB5:BK5)</f>
        <v>695.5</v>
      </c>
      <c r="F8" s="3159"/>
      <c r="G8" s="3183"/>
      <c r="H8" s="3183"/>
      <c r="I8" s="3159"/>
      <c r="J8" s="3159"/>
      <c r="K8" s="3159"/>
      <c r="L8" s="3159"/>
      <c r="M8" s="3159"/>
      <c r="N8" s="3159"/>
      <c r="O8" s="3159"/>
      <c r="P8" s="3159"/>
    </row>
    <row r="9" spans="1:16">
      <c r="A9" s="3184"/>
      <c r="B9" s="3185"/>
      <c r="C9" s="3170" t="s">
        <v>585</v>
      </c>
      <c r="D9" s="3170">
        <f t="shared" si="0"/>
        <v>0</v>
      </c>
      <c r="E9" s="3186">
        <v>0</v>
      </c>
      <c r="F9" s="3159"/>
      <c r="G9" s="3183"/>
      <c r="H9" s="3183"/>
      <c r="I9" s="3159"/>
      <c r="J9" s="3159"/>
      <c r="K9" s="3159"/>
      <c r="L9" s="3159"/>
      <c r="M9" s="3159"/>
      <c r="N9" s="3159"/>
      <c r="O9" s="3159"/>
      <c r="P9" s="3159"/>
    </row>
    <row r="10" spans="1:16">
      <c r="A10" s="3184"/>
      <c r="B10" s="3185"/>
      <c r="C10" s="3170" t="s">
        <v>586</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spans="1:16">
      <c r="A11" s="3184"/>
      <c r="B11" s="3185"/>
      <c r="C11" s="3170" t="s">
        <v>587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588</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spans="1:16">
      <c r="A13" s="3184"/>
      <c r="B13" s="3185"/>
      <c r="C13" s="3170" t="s">
        <v>589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spans="1:16">
      <c r="A14" s="3184"/>
      <c r="B14" s="3185"/>
      <c r="C14" s="3170" t="s">
        <v>590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 spans="1:16">
      <c r="A15" s="3184"/>
      <c r="B15" s="3185"/>
      <c r="C15" s="3170" t="s">
        <v>591</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 spans="1:16">
      <c r="A16" s="3172"/>
      <c r="B16" s="3185"/>
      <c r="C16" s="3181" t="s">
        <v>592</v>
      </c>
      <c r="D16" s="3181">
        <f>SUM(D8:D15)</f>
        <v>0</v>
      </c>
      <c r="E16" s="3187">
        <f>SUM(E8:E15)</f>
        <v>695.5</v>
      </c>
      <c r="F16" s="3159"/>
      <c r="G16" s="3183"/>
      <c r="H16" s="3188" t="s">
        <v>593</v>
      </c>
      <c r="I16" s="3231"/>
      <c r="J16" s="2585"/>
      <c r="K16" s="3232" t="s">
        <v>593</v>
      </c>
      <c r="L16" s="3190"/>
      <c r="M16" s="3190"/>
      <c r="N16" s="3190"/>
      <c r="O16" s="3190"/>
      <c r="P16" s="3233"/>
    </row>
    <row r="17" ht="15" spans="1:19">
      <c r="A17" s="3116" t="s">
        <v>594</v>
      </c>
      <c r="B17" s="3189" t="s">
        <v>595</v>
      </c>
      <c r="C17" s="3115" t="s">
        <v>596</v>
      </c>
      <c r="D17" s="3190" t="s">
        <v>567</v>
      </c>
      <c r="E17" s="3191" t="s">
        <v>568</v>
      </c>
      <c r="F17" s="3192"/>
      <c r="G17" s="3193"/>
      <c r="H17" s="3194" t="s">
        <v>597</v>
      </c>
      <c r="I17" s="3234" t="s">
        <v>598</v>
      </c>
      <c r="J17" s="2585"/>
      <c r="K17" s="3235" t="s">
        <v>599</v>
      </c>
      <c r="L17" s="3236"/>
      <c r="M17" s="3237"/>
      <c r="N17" s="3235" t="s">
        <v>600</v>
      </c>
      <c r="O17" s="3236"/>
      <c r="P17" s="3237"/>
      <c r="R17" s="3250" t="s">
        <v>601</v>
      </c>
      <c r="S17" s="2519"/>
    </row>
    <row r="18" ht="15" spans="1:19">
      <c r="A18" s="3184"/>
      <c r="B18" s="3195"/>
      <c r="C18" s="3196"/>
      <c r="D18" s="3197"/>
      <c r="E18" s="3198" t="s">
        <v>602</v>
      </c>
      <c r="F18" s="3199" t="s">
        <v>573</v>
      </c>
      <c r="G18" s="3200" t="s">
        <v>603</v>
      </c>
      <c r="H18" s="3121" t="s">
        <v>604</v>
      </c>
      <c r="I18" s="3238" t="s">
        <v>605</v>
      </c>
      <c r="J18" s="2585"/>
      <c r="K18" s="3121" t="s">
        <v>606</v>
      </c>
      <c r="L18" s="2782" t="s">
        <v>607</v>
      </c>
      <c r="M18" s="3227" t="s">
        <v>608</v>
      </c>
      <c r="N18" s="3121" t="s">
        <v>606</v>
      </c>
      <c r="O18" s="2782" t="s">
        <v>607</v>
      </c>
      <c r="P18" s="3227" t="s">
        <v>608</v>
      </c>
      <c r="R18" s="2532" t="s">
        <v>604</v>
      </c>
      <c r="S18" s="2532" t="s">
        <v>605</v>
      </c>
    </row>
    <row r="19" spans="1:19">
      <c r="A19" s="3201"/>
      <c r="B19" s="3181" t="s">
        <v>609</v>
      </c>
      <c r="C19" s="3202" t="s">
        <v>610</v>
      </c>
      <c r="D19" s="3170">
        <f>ROUND($D$3*E19/$E$3,2)</f>
        <v>0</v>
      </c>
      <c r="E19" s="3203">
        <f t="shared" ref="E19:E26" si="1">SUM(F19:G19)</f>
        <v>684.1</v>
      </c>
      <c r="F19" s="3204">
        <f>'数据-基础表'!I13</f>
        <v>684.1</v>
      </c>
      <c r="G19" s="3205"/>
      <c r="H19" s="3105">
        <f>ROUND($D$3*I19/$E$3,2)</f>
        <v>0</v>
      </c>
      <c r="I19" s="3182">
        <f t="shared" ref="I19:I26" si="2">IF($I$17="自定义",P19,M19)</f>
        <v>0</v>
      </c>
      <c r="J19" s="2585"/>
      <c r="K19" s="3239">
        <f t="shared" ref="K19:K26" si="3">ROUND(E$28*E19/E$27,2)</f>
        <v>0</v>
      </c>
      <c r="L19" s="2532">
        <f t="shared" ref="L19:L26" si="4">ROUND(IF(COUNTIF(C19,"*住宅*")&gt;0,E$29*E19/E$32,0),2)</f>
        <v>0</v>
      </c>
      <c r="M19" s="3240">
        <f>K19+L19</f>
        <v>0</v>
      </c>
      <c r="N19" s="3241"/>
      <c r="O19" s="3242"/>
      <c r="P19" s="3240">
        <f>N19+O19</f>
        <v>0</v>
      </c>
      <c r="R19" s="2532">
        <f t="shared" ref="R19:S26" si="5">D19+H19</f>
        <v>0</v>
      </c>
      <c r="S19" s="3251">
        <f t="shared" si="5"/>
        <v>684.1</v>
      </c>
    </row>
    <row r="20" spans="1:19">
      <c r="A20" s="3206"/>
      <c r="B20" s="3181" t="s">
        <v>609</v>
      </c>
      <c r="C20" s="3202" t="s">
        <v>611</v>
      </c>
      <c r="D20" s="3170">
        <f t="shared" ref="D20:D26" si="6">ROUND($D$3*E20/$E$3,2)</f>
        <v>0</v>
      </c>
      <c r="E20" s="3203">
        <f t="shared" si="1"/>
        <v>11.4</v>
      </c>
      <c r="F20" s="3204">
        <f>'数据-基础表'!I14</f>
        <v>11.4</v>
      </c>
      <c r="G20" s="3205"/>
      <c r="H20" s="3105">
        <f t="shared" ref="H20:H26" si="7">ROUND($D$3*I20/$E$3,2)</f>
        <v>0</v>
      </c>
      <c r="I20" s="3182">
        <f t="shared" si="2"/>
        <v>0</v>
      </c>
      <c r="J20" s="2585"/>
      <c r="K20" s="3239">
        <f t="shared" si="3"/>
        <v>0</v>
      </c>
      <c r="L20" s="2532">
        <f t="shared" si="4"/>
        <v>0</v>
      </c>
      <c r="M20" s="3240">
        <f t="shared" ref="M20:M26" si="8">K20+L20</f>
        <v>0</v>
      </c>
      <c r="N20" s="3241"/>
      <c r="O20" s="3242"/>
      <c r="P20" s="3240">
        <f t="shared" ref="P20:P26" si="9">N20+O20</f>
        <v>0</v>
      </c>
      <c r="R20" s="2532">
        <f t="shared" si="5"/>
        <v>0</v>
      </c>
      <c r="S20" s="3251">
        <f t="shared" si="5"/>
        <v>11.4</v>
      </c>
    </row>
    <row r="21" spans="1:19">
      <c r="A21" s="3206"/>
      <c r="B21" s="3181" t="s">
        <v>609</v>
      </c>
      <c r="C21" s="3202"/>
      <c r="D21" s="3170">
        <f t="shared" si="6"/>
        <v>0</v>
      </c>
      <c r="E21" s="3203">
        <f t="shared" si="1"/>
        <v>0</v>
      </c>
      <c r="F21" s="3204"/>
      <c r="G21" s="3205"/>
      <c r="H21" s="3105">
        <f t="shared" si="7"/>
        <v>0</v>
      </c>
      <c r="I21" s="3182">
        <f t="shared" si="2"/>
        <v>0</v>
      </c>
      <c r="J21" s="2585"/>
      <c r="K21" s="3239">
        <f t="shared" si="3"/>
        <v>0</v>
      </c>
      <c r="L21" s="2532">
        <f t="shared" si="4"/>
        <v>0</v>
      </c>
      <c r="M21" s="3240">
        <f t="shared" si="8"/>
        <v>0</v>
      </c>
      <c r="N21" s="3241"/>
      <c r="O21" s="3242"/>
      <c r="P21" s="3240">
        <f t="shared" si="9"/>
        <v>0</v>
      </c>
      <c r="R21" s="2532">
        <f t="shared" si="5"/>
        <v>0</v>
      </c>
      <c r="S21" s="3251">
        <f t="shared" si="5"/>
        <v>0</v>
      </c>
    </row>
    <row r="22" spans="1:19">
      <c r="A22" s="3206"/>
      <c r="B22" s="3181" t="s">
        <v>609</v>
      </c>
      <c r="C22" s="3207"/>
      <c r="D22" s="3170">
        <f t="shared" si="6"/>
        <v>0</v>
      </c>
      <c r="E22" s="3203">
        <f t="shared" si="1"/>
        <v>0</v>
      </c>
      <c r="F22" s="3208"/>
      <c r="G22" s="3209"/>
      <c r="H22" s="3105">
        <f t="shared" si="7"/>
        <v>0</v>
      </c>
      <c r="I22" s="3182">
        <f t="shared" si="2"/>
        <v>0</v>
      </c>
      <c r="J22" s="2585"/>
      <c r="K22" s="3239">
        <f t="shared" si="3"/>
        <v>0</v>
      </c>
      <c r="L22" s="2532">
        <f t="shared" si="4"/>
        <v>0</v>
      </c>
      <c r="M22" s="3240">
        <f t="shared" si="8"/>
        <v>0</v>
      </c>
      <c r="N22" s="3241"/>
      <c r="O22" s="3242"/>
      <c r="P22" s="3240">
        <f t="shared" si="9"/>
        <v>0</v>
      </c>
      <c r="R22" s="2532">
        <f t="shared" si="5"/>
        <v>0</v>
      </c>
      <c r="S22" s="3251">
        <f t="shared" si="5"/>
        <v>0</v>
      </c>
    </row>
    <row r="23" spans="1:19">
      <c r="A23" s="3206"/>
      <c r="B23" s="3181" t="s">
        <v>609</v>
      </c>
      <c r="C23" s="3207"/>
      <c r="D23" s="3170">
        <f t="shared" si="6"/>
        <v>0</v>
      </c>
      <c r="E23" s="3203">
        <f t="shared" si="1"/>
        <v>0</v>
      </c>
      <c r="F23" s="3208"/>
      <c r="G23" s="3209"/>
      <c r="H23" s="3105">
        <f t="shared" si="7"/>
        <v>0</v>
      </c>
      <c r="I23" s="3182">
        <f t="shared" si="2"/>
        <v>0</v>
      </c>
      <c r="J23" s="2585"/>
      <c r="K23" s="3239">
        <f t="shared" si="3"/>
        <v>0</v>
      </c>
      <c r="L23" s="2532">
        <f t="shared" si="4"/>
        <v>0</v>
      </c>
      <c r="M23" s="3240">
        <f t="shared" si="8"/>
        <v>0</v>
      </c>
      <c r="N23" s="3241"/>
      <c r="O23" s="3242"/>
      <c r="P23" s="3240">
        <f t="shared" si="9"/>
        <v>0</v>
      </c>
      <c r="R23" s="2532">
        <f t="shared" si="5"/>
        <v>0</v>
      </c>
      <c r="S23" s="3251">
        <f t="shared" si="5"/>
        <v>0</v>
      </c>
    </row>
    <row r="24" spans="1:19">
      <c r="A24" s="3206"/>
      <c r="B24" s="3181" t="s">
        <v>609</v>
      </c>
      <c r="C24" s="3207"/>
      <c r="D24" s="3170">
        <f t="shared" si="6"/>
        <v>0</v>
      </c>
      <c r="E24" s="3203">
        <f t="shared" si="1"/>
        <v>0</v>
      </c>
      <c r="F24" s="3208"/>
      <c r="G24" s="3209"/>
      <c r="H24" s="3105">
        <f t="shared" si="7"/>
        <v>0</v>
      </c>
      <c r="I24" s="3182">
        <f t="shared" si="2"/>
        <v>0</v>
      </c>
      <c r="J24" s="2585"/>
      <c r="K24" s="3239">
        <f t="shared" si="3"/>
        <v>0</v>
      </c>
      <c r="L24" s="2532">
        <f t="shared" si="4"/>
        <v>0</v>
      </c>
      <c r="M24" s="3240">
        <f t="shared" si="8"/>
        <v>0</v>
      </c>
      <c r="N24" s="3241"/>
      <c r="O24" s="3242"/>
      <c r="P24" s="3240">
        <f t="shared" si="9"/>
        <v>0</v>
      </c>
      <c r="R24" s="2532">
        <f t="shared" si="5"/>
        <v>0</v>
      </c>
      <c r="S24" s="3251">
        <f t="shared" si="5"/>
        <v>0</v>
      </c>
    </row>
    <row r="25" spans="1:19">
      <c r="A25" s="3206"/>
      <c r="B25" s="3181" t="s">
        <v>609</v>
      </c>
      <c r="C25" s="3207"/>
      <c r="D25" s="3170">
        <f t="shared" si="6"/>
        <v>0</v>
      </c>
      <c r="E25" s="3203">
        <f t="shared" si="1"/>
        <v>0</v>
      </c>
      <c r="F25" s="3208"/>
      <c r="G25" s="3209"/>
      <c r="H25" s="3169">
        <f t="shared" si="7"/>
        <v>0</v>
      </c>
      <c r="I25" s="3182">
        <f t="shared" si="2"/>
        <v>0</v>
      </c>
      <c r="J25" s="2585"/>
      <c r="K25" s="3239">
        <f t="shared" si="3"/>
        <v>0</v>
      </c>
      <c r="L25" s="2532">
        <f t="shared" si="4"/>
        <v>0</v>
      </c>
      <c r="M25" s="3240">
        <f t="shared" si="8"/>
        <v>0</v>
      </c>
      <c r="N25" s="3241"/>
      <c r="O25" s="3242"/>
      <c r="P25" s="3240">
        <f t="shared" si="9"/>
        <v>0</v>
      </c>
      <c r="R25" s="2532">
        <f t="shared" si="5"/>
        <v>0</v>
      </c>
      <c r="S25" s="3251">
        <f t="shared" si="5"/>
        <v>0</v>
      </c>
    </row>
    <row r="26" spans="1:19">
      <c r="A26" s="3206"/>
      <c r="B26" s="3181" t="s">
        <v>609</v>
      </c>
      <c r="C26" s="3210"/>
      <c r="D26" s="3170">
        <f t="shared" si="6"/>
        <v>0</v>
      </c>
      <c r="E26" s="3203">
        <f t="shared" si="1"/>
        <v>0</v>
      </c>
      <c r="F26" s="3208"/>
      <c r="G26" s="3209"/>
      <c r="H26" s="3169">
        <f t="shared" si="7"/>
        <v>0</v>
      </c>
      <c r="I26" s="3182">
        <f t="shared" si="2"/>
        <v>0</v>
      </c>
      <c r="J26" s="2585"/>
      <c r="K26" s="3164">
        <f t="shared" si="3"/>
        <v>0</v>
      </c>
      <c r="L26" s="3174">
        <f t="shared" si="4"/>
        <v>0</v>
      </c>
      <c r="M26" s="3217">
        <f t="shared" si="8"/>
        <v>0</v>
      </c>
      <c r="N26" s="3243"/>
      <c r="O26" s="3244"/>
      <c r="P26" s="3217">
        <f t="shared" si="9"/>
        <v>0</v>
      </c>
      <c r="R26" s="2532">
        <f t="shared" si="5"/>
        <v>0</v>
      </c>
      <c r="S26" s="3251">
        <f t="shared" si="5"/>
        <v>0</v>
      </c>
    </row>
    <row r="27" ht="15.75" spans="1:19">
      <c r="A27" s="3206"/>
      <c r="B27" s="3170"/>
      <c r="C27" s="2768" t="s">
        <v>612</v>
      </c>
      <c r="D27" s="3211">
        <f>SUM(D19:D26)</f>
        <v>0</v>
      </c>
      <c r="E27" s="3212">
        <f>IF(SUM(E19:E26)='数据-基础表'!BA5,SUM(E19:E26),IF(F27="地上面积有误","面积有误","地下面积有误"))</f>
        <v>695.5</v>
      </c>
      <c r="F27" s="3211">
        <f>IF(SUM(F19:F26)=E8,SUM(F19:F26),"地上面积有误")</f>
        <v>695.5</v>
      </c>
      <c r="G27" s="3213">
        <f>SUM(G19:G26)</f>
        <v>0</v>
      </c>
      <c r="H27" s="3214">
        <f>SUM(H19:H26)</f>
        <v>0</v>
      </c>
      <c r="I27" s="3245">
        <f>SUM(I19:I26)</f>
        <v>0</v>
      </c>
      <c r="J27" s="2585"/>
      <c r="K27" s="3246">
        <f>SUM(K19:K26)</f>
        <v>0</v>
      </c>
      <c r="L27" s="3247">
        <f>SUM(L19:L26)</f>
        <v>0</v>
      </c>
      <c r="M27" s="3248">
        <f>SUM(M19:M26)</f>
        <v>0</v>
      </c>
      <c r="N27" s="3246">
        <f t="shared" ref="N27:P27" si="10">SUM(N19:N26)</f>
        <v>0</v>
      </c>
      <c r="O27" s="3247">
        <f t="shared" si="10"/>
        <v>0</v>
      </c>
      <c r="P27" s="3249">
        <f t="shared" si="10"/>
        <v>0</v>
      </c>
      <c r="R27" s="3150">
        <f>IF(SUM(R19:R26)=$D$3,SUM(R19:R26),SUM(R19:R26)&amp;"误差"&amp;ROUND(SUM(R19:R26)-$D$3,2))</f>
        <v>0</v>
      </c>
      <c r="S27" s="2532">
        <f>IF(SUM(S19:S26)=$E$3,SUM(S19:S26),SUM(S19:S26)&amp;"误差"&amp;ROUND(SUM(S19:S26)-E3,2))</f>
        <v>695.5</v>
      </c>
    </row>
    <row r="28" spans="1:16">
      <c r="A28" s="3206"/>
      <c r="B28" s="3181" t="s">
        <v>613</v>
      </c>
      <c r="C28" s="3126" t="s">
        <v>614</v>
      </c>
      <c r="D28" s="3170">
        <f>ROUND($D$3*E28/$E$3,2)</f>
        <v>0</v>
      </c>
      <c r="E28" s="3203">
        <f>SUM(F28:G28)</f>
        <v>0</v>
      </c>
      <c r="F28" s="2519">
        <f>'数据-基础表'!BQ5+'数据-基础表'!BS5</f>
        <v>0</v>
      </c>
      <c r="G28" s="3215">
        <f>'数据-基础表'!BR5+'数据-基础表'!BT5</f>
        <v>0</v>
      </c>
      <c r="H28" s="3159"/>
      <c r="I28" s="3159"/>
      <c r="J28" s="3159"/>
      <c r="K28" s="3159"/>
      <c r="L28" s="3159"/>
      <c r="M28" s="3159"/>
      <c r="N28" s="3159"/>
      <c r="O28" s="3159"/>
      <c r="P28" s="3159"/>
    </row>
    <row r="29" spans="1:16">
      <c r="A29" s="3206"/>
      <c r="B29" s="3181" t="s">
        <v>613</v>
      </c>
      <c r="C29" s="2583" t="s">
        <v>615</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ht="15" spans="1:16">
      <c r="A30" s="3206"/>
      <c r="B30" s="3181"/>
      <c r="C30" s="3218" t="s">
        <v>612</v>
      </c>
      <c r="D30" s="3211">
        <f>SUM(D28:D29)</f>
        <v>0</v>
      </c>
      <c r="E30" s="3211">
        <f>SUM(E28:E29)</f>
        <v>0</v>
      </c>
      <c r="F30" s="3211">
        <f>SUM(F28:F29)</f>
        <v>0</v>
      </c>
      <c r="G30" s="3213">
        <f>SUM(G28:G29)</f>
        <v>0</v>
      </c>
      <c r="H30" s="3159"/>
      <c r="I30" s="3159"/>
      <c r="J30" s="3159"/>
      <c r="K30" s="3159"/>
      <c r="L30" s="3159"/>
      <c r="M30" s="3159"/>
      <c r="N30" s="3159"/>
      <c r="O30" s="3159"/>
      <c r="P30" s="3159"/>
    </row>
    <row r="31" ht="15.75" spans="1:16">
      <c r="A31" s="3219"/>
      <c r="B31" s="3220"/>
      <c r="C31" s="2468" t="s">
        <v>616</v>
      </c>
      <c r="D31" s="3221">
        <f>D27+D30</f>
        <v>0</v>
      </c>
      <c r="E31" s="3221">
        <f>E27+E30</f>
        <v>695.5</v>
      </c>
      <c r="F31" s="3222">
        <f>F27+F30</f>
        <v>695.5</v>
      </c>
      <c r="G31" s="3223">
        <f>G27+G30</f>
        <v>0</v>
      </c>
      <c r="H31" s="3159"/>
      <c r="I31" s="3159"/>
      <c r="J31" s="3159"/>
      <c r="K31" s="3159"/>
      <c r="L31" s="3159"/>
      <c r="M31" s="3159"/>
      <c r="N31" s="3159"/>
      <c r="O31" s="3159"/>
      <c r="P31" s="3159"/>
    </row>
    <row r="32" spans="1:16">
      <c r="A32" s="3224"/>
      <c r="B32" s="3224" t="s">
        <v>617</v>
      </c>
      <c r="C32" s="3224"/>
      <c r="D32" s="3224"/>
      <c r="E32" s="3225">
        <f>SUMIF(C19:C26,"*住宅*",E19:E26)</f>
        <v>0</v>
      </c>
      <c r="F32" s="3224"/>
      <c r="G32" s="3224"/>
      <c r="H32" s="3159"/>
      <c r="I32" s="3159"/>
      <c r="J32" s="3159"/>
      <c r="K32" s="3159"/>
      <c r="L32" s="3159"/>
      <c r="M32" s="3159"/>
      <c r="N32" s="3159"/>
      <c r="O32" s="3159"/>
      <c r="P32" s="3159"/>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618</v>
      </c>
      <c r="B1" s="2955"/>
      <c r="C1" s="1481"/>
      <c r="D1" s="2956"/>
      <c r="E1" s="1481"/>
      <c r="F1" s="1481"/>
      <c r="G1" s="1481"/>
      <c r="H1" s="1481"/>
      <c r="I1" s="1481"/>
      <c r="J1" s="1481"/>
      <c r="K1" s="633"/>
      <c r="L1" s="633"/>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2409"/>
      <c r="AO1" s="2409"/>
      <c r="AP1" s="2409"/>
      <c r="AQ1" s="2409"/>
      <c r="AR1" s="2409"/>
    </row>
    <row r="2" s="2946" customFormat="1" ht="15.75" spans="1:67">
      <c r="A2" s="2957" t="s">
        <v>619</v>
      </c>
      <c r="B2" s="2958">
        <f>项目基本情况!D3</f>
        <v>45394</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46" customFormat="1" ht="15" spans="1:67">
      <c r="A4" s="1221" t="s">
        <v>620</v>
      </c>
      <c r="B4" s="2539"/>
      <c r="C4" s="2963"/>
      <c r="D4" s="2964"/>
      <c r="E4" s="2963" t="s">
        <v>621</v>
      </c>
      <c r="F4" s="2963"/>
      <c r="G4" s="2963"/>
      <c r="H4" s="2963"/>
      <c r="I4" s="2963"/>
      <c r="J4" s="3057"/>
      <c r="K4" s="3058"/>
      <c r="L4" s="3059"/>
      <c r="M4" s="2963"/>
      <c r="N4" s="2963" t="s">
        <v>622</v>
      </c>
      <c r="O4" s="2963"/>
      <c r="P4" s="2963"/>
      <c r="Q4" s="2963"/>
      <c r="R4" s="2963"/>
      <c r="S4" s="3057"/>
      <c r="T4" s="3088" t="str">
        <f>'数据-汇总表'!I17</f>
        <v>按面积比例</v>
      </c>
      <c r="U4" s="2539" t="s">
        <v>623</v>
      </c>
      <c r="V4" s="2963"/>
      <c r="W4" s="2963"/>
      <c r="X4" s="2963"/>
      <c r="Y4" s="3057"/>
      <c r="Z4" s="3115" t="s">
        <v>624</v>
      </c>
      <c r="AA4" s="3115"/>
      <c r="AB4" s="3115"/>
      <c r="AC4" s="3115"/>
      <c r="AD4" s="3115"/>
      <c r="AE4" s="3116" t="s">
        <v>625</v>
      </c>
      <c r="AF4" s="3115"/>
      <c r="AG4" s="3130"/>
      <c r="AH4" s="2539"/>
      <c r="AI4" s="2963"/>
      <c r="AJ4" s="2963"/>
      <c r="AK4" s="2963"/>
      <c r="AL4" s="2963"/>
      <c r="AM4" s="3057"/>
      <c r="AN4" s="2992"/>
      <c r="AO4" s="2992"/>
      <c r="AP4" s="2992"/>
      <c r="AQ4" s="2992"/>
      <c r="AR4" s="299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47" customFormat="1" ht="42" spans="1:67">
      <c r="A5" s="2965" t="s">
        <v>596</v>
      </c>
      <c r="B5" s="2966" t="s">
        <v>595</v>
      </c>
      <c r="C5" s="2967" t="s">
        <v>626</v>
      </c>
      <c r="D5" s="2968" t="s">
        <v>627</v>
      </c>
      <c r="E5" s="2969" t="s">
        <v>628</v>
      </c>
      <c r="F5" s="2970" t="s">
        <v>629</v>
      </c>
      <c r="G5" s="2969" t="s">
        <v>630</v>
      </c>
      <c r="H5" s="2969" t="s">
        <v>631</v>
      </c>
      <c r="I5" s="2969" t="s">
        <v>632</v>
      </c>
      <c r="J5" s="3060" t="s">
        <v>633</v>
      </c>
      <c r="K5" s="3061" t="s">
        <v>605</v>
      </c>
      <c r="L5" s="3062" t="s">
        <v>634</v>
      </c>
      <c r="M5" s="3063" t="s">
        <v>635</v>
      </c>
      <c r="N5" s="3064" t="s">
        <v>636</v>
      </c>
      <c r="O5" s="3062" t="s">
        <v>637</v>
      </c>
      <c r="P5" s="3065" t="s">
        <v>638</v>
      </c>
      <c r="Q5" s="1106" t="s">
        <v>639</v>
      </c>
      <c r="R5" s="3089" t="s">
        <v>640</v>
      </c>
      <c r="S5" s="3090" t="s">
        <v>641</v>
      </c>
      <c r="T5" s="3091" t="s">
        <v>642</v>
      </c>
      <c r="U5" s="3092" t="s">
        <v>643</v>
      </c>
      <c r="V5" s="2969" t="s">
        <v>644</v>
      </c>
      <c r="W5" s="2969" t="s">
        <v>645</v>
      </c>
      <c r="X5" s="757"/>
      <c r="Y5" s="1238" t="s">
        <v>646</v>
      </c>
      <c r="Z5" s="3117" t="s">
        <v>643</v>
      </c>
      <c r="AA5" s="2969" t="s">
        <v>644</v>
      </c>
      <c r="AB5" s="2969" t="s">
        <v>645</v>
      </c>
      <c r="AC5" s="757"/>
      <c r="AD5" s="757" t="s">
        <v>646</v>
      </c>
      <c r="AE5" s="3092" t="s">
        <v>647</v>
      </c>
      <c r="AF5" s="2969" t="s">
        <v>648</v>
      </c>
      <c r="AG5" s="1238" t="s">
        <v>649</v>
      </c>
      <c r="AH5" s="3092" t="s">
        <v>650</v>
      </c>
      <c r="AI5" s="3117" t="s">
        <v>651</v>
      </c>
      <c r="AJ5" s="3117" t="s">
        <v>652</v>
      </c>
      <c r="AK5" s="2969" t="s">
        <v>653</v>
      </c>
      <c r="AL5" s="2969" t="s">
        <v>654</v>
      </c>
      <c r="AM5" s="1238" t="s">
        <v>655</v>
      </c>
      <c r="AN5" s="3131" t="s">
        <v>656</v>
      </c>
      <c r="AO5" s="3149" t="s">
        <v>657</v>
      </c>
      <c r="AP5" s="3150" t="s">
        <v>658</v>
      </c>
      <c r="AQ5" s="3151" t="s">
        <v>659</v>
      </c>
      <c r="AR5" s="3151" t="s">
        <v>660</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46" customFormat="1" ht="14.25" spans="1:67">
      <c r="A6" s="2971" t="str">
        <f>'数据-汇总表'!C19</f>
        <v>3号楼</v>
      </c>
      <c r="B6" s="2972" t="str">
        <f>IF(A6=0,"","经营性")</f>
        <v>经营性</v>
      </c>
      <c r="C6" s="2973" t="s">
        <v>552</v>
      </c>
      <c r="D6" s="2974">
        <f>SUMIF(项目基本情况!C$12:I$12,C6,项目基本情况!C$14:I$14)</f>
        <v>50</v>
      </c>
      <c r="E6" s="2975">
        <f>IF(B6="","",SUMIF(项目基本情况!C$12:I$12,C6,项目基本情况!C$13:I$13))</f>
        <v>63654</v>
      </c>
      <c r="F6" s="2976">
        <f>SUMIF(项目基本情况!C$12:I$12,C6,项目基本情况!C$15:I$15)</f>
        <v>50</v>
      </c>
      <c r="G6" s="2977">
        <f>IF(ISERROR(ROUND(POWER(1+H6,D6-F6)*(POWER(1+H6,F6)-1)/(POWER(1+H6,D6)-1),3)),0,ROUND(POWER(1+H6,D6-F6)*(POWER(1+H6,F6)-1)/(POWER(1+H6,D6)-1),3))</f>
        <v>1</v>
      </c>
      <c r="H6" s="2978">
        <v>0.055</v>
      </c>
      <c r="I6" s="3066">
        <v>0.06</v>
      </c>
      <c r="J6" s="2979">
        <v>0.07</v>
      </c>
      <c r="K6" s="3067">
        <f>SUMIF('数据-汇总表'!C$19:C$33,A6,'数据-汇总表'!E$19:E$33)</f>
        <v>684.1</v>
      </c>
      <c r="L6" s="3068">
        <f>建筑物重置成新价!J14</f>
        <v>2245</v>
      </c>
      <c r="M6" s="3069">
        <f t="shared" ref="M6:M14" si="0">ROUND(K6*L6/10000,0)</f>
        <v>154</v>
      </c>
      <c r="N6" s="3070">
        <v>0.6</v>
      </c>
      <c r="O6" s="3069" t="str">
        <f>IF($N$5="成新度","——",ROUND(M6*N6,0))</f>
        <v>——</v>
      </c>
      <c r="P6" s="3071" t="str">
        <f>IF($N$5="成新度","——",M6-O6)</f>
        <v>——</v>
      </c>
      <c r="Q6" s="3093">
        <v>0.1</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f>'比较法-办公3号楼'!C49</f>
        <v>2.9</v>
      </c>
      <c r="V6" s="3098">
        <v>0.02</v>
      </c>
      <c r="W6" s="3098">
        <v>0.1</v>
      </c>
      <c r="X6" s="3099"/>
      <c r="Y6" s="3118">
        <f>N6</f>
        <v>0.6</v>
      </c>
      <c r="Z6" s="3119"/>
      <c r="AA6" s="2979"/>
      <c r="AB6" s="2979"/>
      <c r="AC6" s="3099"/>
      <c r="AD6" s="3120"/>
      <c r="AE6" s="3121">
        <f ca="1">IF(AN6="",0,SUMIF(INDIRECT("'"&amp;AN6&amp;"'"&amp;"!E:E"),$AE$5,INDIRECT("'"&amp;AN6&amp;"'"&amp;"!F:F")))</f>
        <v>11</v>
      </c>
      <c r="AF6" s="2514"/>
      <c r="AG6" s="1733">
        <f ca="1">IF(AF6="",0,AE6-AF6)</f>
        <v>0</v>
      </c>
      <c r="AH6" s="3132"/>
      <c r="AI6" s="3133">
        <v>365</v>
      </c>
      <c r="AJ6" s="3134"/>
      <c r="AK6" s="3135">
        <v>0.015</v>
      </c>
      <c r="AL6" s="3136">
        <v>0.001</v>
      </c>
      <c r="AM6" s="3137">
        <v>0.02</v>
      </c>
      <c r="AN6" s="3138" t="s">
        <v>315</v>
      </c>
      <c r="AO6" s="979">
        <f ca="1">SUMIF(INDIRECT("'"&amp;AN6&amp;"'"&amp;"!A:A"),"总价",INDIRECT("'"&amp;AN6&amp;"'"&amp;"!B:B"))</f>
        <v>2977.8256</v>
      </c>
      <c r="AP6" s="3152">
        <f>IF(C6="住宅",K6*L6,0)</f>
        <v>0</v>
      </c>
      <c r="AQ6" s="979">
        <f>ROUND($L$14*$N$14*S6/10000,0)</f>
        <v>0</v>
      </c>
      <c r="AR6" s="979">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46" customFormat="1" ht="14.25" spans="1:67">
      <c r="A7" s="2971" t="str">
        <f>'数据-汇总表'!C20</f>
        <v>4号楼</v>
      </c>
      <c r="B7" s="2972" t="str">
        <f t="shared" ref="B7:B13" si="1">IF(A7=0,"","经营性")</f>
        <v>经营性</v>
      </c>
      <c r="C7" s="2973" t="s">
        <v>552</v>
      </c>
      <c r="D7" s="2974">
        <f>SUMIF(项目基本情况!C$12:I$12,C7,项目基本情况!C$14:I$14)</f>
        <v>50</v>
      </c>
      <c r="E7" s="2975">
        <f>IF(B7="","",SUMIF(项目基本情况!C$12:I$12,C7,项目基本情况!C$13:I$13))</f>
        <v>63654</v>
      </c>
      <c r="F7" s="2976">
        <f>SUMIF(项目基本情况!C$12:I$12,C7,项目基本情况!C$15:I$15)</f>
        <v>50</v>
      </c>
      <c r="G7" s="2977">
        <f t="shared" ref="G7:G13" si="2">IF(ISERROR(ROUND(POWER(1+H7,D7-F7)*(POWER(1+H7,F7)-1)/(POWER(1+H7,D7)-1),3)),0,ROUND(POWER(1+H7,D7-F7)*(POWER(1+H7,F7)-1)/(POWER(1+H7,D7)-1),3))</f>
        <v>1</v>
      </c>
      <c r="H7" s="2978">
        <v>0.055</v>
      </c>
      <c r="I7" s="3066">
        <v>0.06</v>
      </c>
      <c r="J7" s="2979">
        <f>J6</f>
        <v>0.07</v>
      </c>
      <c r="K7" s="3067">
        <f>SUMIF('数据-汇总表'!C$19:C$33,A7,'数据-汇总表'!E$19:E$33)</f>
        <v>11.4</v>
      </c>
      <c r="L7" s="3072">
        <v>1550</v>
      </c>
      <c r="M7" s="3069">
        <f t="shared" si="0"/>
        <v>2</v>
      </c>
      <c r="N7" s="3073">
        <v>0.4</v>
      </c>
      <c r="O7" s="3069" t="str">
        <f t="shared" ref="O7:O14" si="3">IF($N$5="成新度","——",ROUND(M7*N7,0))</f>
        <v>——</v>
      </c>
      <c r="P7" s="3071" t="str">
        <f t="shared" ref="P7:P14" si="4">IF($N$5="成新度","——",M7-O7)</f>
        <v>——</v>
      </c>
      <c r="Q7" s="3093">
        <v>0.1</v>
      </c>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f>'比较法-办公4号楼'!C49</f>
        <v>2.8</v>
      </c>
      <c r="V7" s="3098">
        <v>0.02</v>
      </c>
      <c r="W7" s="3098">
        <v>0.1</v>
      </c>
      <c r="X7" s="3099"/>
      <c r="Y7" s="3118">
        <v>0.6</v>
      </c>
      <c r="Z7" s="3119"/>
      <c r="AA7" s="2979"/>
      <c r="AB7" s="2979"/>
      <c r="AC7" s="3099"/>
      <c r="AD7" s="3122"/>
      <c r="AE7" s="3121">
        <f ca="1" t="shared" ref="AE7:AE13" si="6">IF(AN7="",0,SUMIF(INDIRECT("'"&amp;AN7&amp;"'"&amp;"!E:E"),$AE$5,INDIRECT("'"&amp;AN7&amp;"'"&amp;"!F:F")))</f>
        <v>6</v>
      </c>
      <c r="AF7" s="3123"/>
      <c r="AG7" s="1733">
        <f ca="1" t="shared" ref="AG7:AG13" si="7">IF(AF7="",0,AE7-AF7)</f>
        <v>0</v>
      </c>
      <c r="AH7" s="3132"/>
      <c r="AI7" s="3133">
        <v>365</v>
      </c>
      <c r="AJ7" s="3134"/>
      <c r="AK7" s="3135">
        <v>0.015</v>
      </c>
      <c r="AL7" s="3136">
        <v>0.001</v>
      </c>
      <c r="AM7" s="3137">
        <v>0.02</v>
      </c>
      <c r="AN7" s="3138" t="s">
        <v>317</v>
      </c>
      <c r="AO7" s="979">
        <f ca="1" t="shared" ref="AO7:AO13" si="8">SUMIF(INDIRECT("'"&amp;AN7&amp;"'"&amp;"!A:A"),"总价",INDIRECT("'"&amp;AN7&amp;"'"&amp;"!B:B"))</f>
        <v>97.0409</v>
      </c>
      <c r="AP7" s="3152">
        <f t="shared" ref="AP7:AP13" si="9">IF(C7="住宅",K7*L7,0)</f>
        <v>0</v>
      </c>
      <c r="AQ7" s="979">
        <f t="shared" ref="AQ7:AQ13" si="10">ROUND($L$14*$N$14*S7/10000,0)</f>
        <v>0</v>
      </c>
      <c r="AR7" s="979">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7">
        <f>SUMIF('数据-汇总表'!C$19:C$33,A8,'数据-汇总表'!E$19:E$33)</f>
        <v>0</v>
      </c>
      <c r="L8" s="3072"/>
      <c r="M8" s="3069">
        <f t="shared" si="0"/>
        <v>0</v>
      </c>
      <c r="N8" s="3070"/>
      <c r="O8" s="3069" t="str">
        <f t="shared" si="3"/>
        <v>——</v>
      </c>
      <c r="P8" s="3071"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79"/>
      <c r="AB8" s="2979"/>
      <c r="AC8" s="3099"/>
      <c r="AD8" s="3120"/>
      <c r="AE8" s="3121">
        <f ca="1" t="shared" si="6"/>
        <v>0</v>
      </c>
      <c r="AF8" s="2514"/>
      <c r="AG8" s="1733">
        <f ca="1" t="shared" si="7"/>
        <v>0</v>
      </c>
      <c r="AH8" s="3139"/>
      <c r="AI8" s="3133"/>
      <c r="AJ8" s="3134"/>
      <c r="AK8" s="3140"/>
      <c r="AL8" s="3141"/>
      <c r="AM8" s="3142"/>
      <c r="AN8" s="3138"/>
      <c r="AO8" s="979" t="e">
        <f ca="1" t="shared" si="8"/>
        <v>#REF!</v>
      </c>
      <c r="AP8" s="3152">
        <f t="shared" si="9"/>
        <v>0</v>
      </c>
      <c r="AQ8" s="979">
        <f t="shared" si="10"/>
        <v>0</v>
      </c>
      <c r="AR8" s="979">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7">
        <f>SUMIF('数据-汇总表'!C$19:C$33,A9,'数据-汇总表'!E$19:E$33)</f>
        <v>0</v>
      </c>
      <c r="L9" s="3072"/>
      <c r="M9" s="3069">
        <f t="shared" si="0"/>
        <v>0</v>
      </c>
      <c r="N9" s="3070"/>
      <c r="O9" s="3069" t="str">
        <f t="shared" si="3"/>
        <v>——</v>
      </c>
      <c r="P9" s="3071"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79"/>
      <c r="AB9" s="2979"/>
      <c r="AC9" s="3099"/>
      <c r="AD9" s="3120"/>
      <c r="AE9" s="3121">
        <f ca="1" t="shared" si="6"/>
        <v>0</v>
      </c>
      <c r="AF9" s="2514"/>
      <c r="AG9" s="1733">
        <f ca="1" t="shared" si="7"/>
        <v>0</v>
      </c>
      <c r="AH9" s="3132"/>
      <c r="AI9" s="3133"/>
      <c r="AJ9" s="3134"/>
      <c r="AK9" s="3135"/>
      <c r="AL9" s="3136"/>
      <c r="AM9" s="3137"/>
      <c r="AN9" s="3138"/>
      <c r="AO9" s="979" t="e">
        <f ca="1" t="shared" si="8"/>
        <v>#REF!</v>
      </c>
      <c r="AP9" s="3152">
        <f t="shared" si="9"/>
        <v>0</v>
      </c>
      <c r="AQ9" s="979">
        <f t="shared" si="10"/>
        <v>0</v>
      </c>
      <c r="AR9" s="979">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7">
        <f>SUMIF('数据-汇总表'!C$19:C$33,A10,'数据-汇总表'!E$19:E$33)</f>
        <v>0</v>
      </c>
      <c r="L10" s="3072"/>
      <c r="M10" s="3069">
        <f t="shared" si="0"/>
        <v>0</v>
      </c>
      <c r="N10" s="3070"/>
      <c r="O10" s="3069" t="str">
        <f t="shared" si="3"/>
        <v>——</v>
      </c>
      <c r="P10" s="3071"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79"/>
      <c r="AB10" s="2979"/>
      <c r="AC10" s="3099"/>
      <c r="AD10" s="3120"/>
      <c r="AE10" s="3121">
        <f ca="1" t="shared" si="6"/>
        <v>0</v>
      </c>
      <c r="AF10" s="2514"/>
      <c r="AG10" s="1733">
        <f ca="1" t="shared" si="7"/>
        <v>0</v>
      </c>
      <c r="AH10" s="3132"/>
      <c r="AI10" s="3133"/>
      <c r="AJ10" s="3134"/>
      <c r="AK10" s="3135"/>
      <c r="AL10" s="3136"/>
      <c r="AM10" s="3137"/>
      <c r="AN10" s="3138"/>
      <c r="AO10" s="979" t="e">
        <f ca="1" t="shared" si="8"/>
        <v>#REF!</v>
      </c>
      <c r="AP10" s="3152">
        <f t="shared" si="9"/>
        <v>0</v>
      </c>
      <c r="AQ10" s="979">
        <f t="shared" si="10"/>
        <v>0</v>
      </c>
      <c r="AR10" s="979">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7">
        <f>SUMIF('数据-汇总表'!C$19:C$33,A11,'数据-汇总表'!E$19:E$33)</f>
        <v>0</v>
      </c>
      <c r="L11" s="3074"/>
      <c r="M11" s="3069">
        <f t="shared" si="0"/>
        <v>0</v>
      </c>
      <c r="N11" s="3070"/>
      <c r="O11" s="3069" t="str">
        <f t="shared" si="3"/>
        <v>——</v>
      </c>
      <c r="P11" s="3071"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79"/>
      <c r="W11" s="2979"/>
      <c r="X11" s="3099"/>
      <c r="Y11" s="3118"/>
      <c r="Z11" s="3124"/>
      <c r="AA11" s="2979"/>
      <c r="AB11" s="2979"/>
      <c r="AC11" s="3099"/>
      <c r="AD11" s="3120"/>
      <c r="AE11" s="3121">
        <f ca="1" t="shared" si="6"/>
        <v>0</v>
      </c>
      <c r="AF11" s="2514"/>
      <c r="AG11" s="1733">
        <f ca="1" t="shared" si="7"/>
        <v>0</v>
      </c>
      <c r="AH11" s="3132"/>
      <c r="AI11" s="3133"/>
      <c r="AJ11" s="3134"/>
      <c r="AK11" s="3143"/>
      <c r="AL11" s="3144"/>
      <c r="AM11" s="3145"/>
      <c r="AN11" s="3138"/>
      <c r="AO11" s="979" t="e">
        <f ca="1" t="shared" si="8"/>
        <v>#REF!</v>
      </c>
      <c r="AP11" s="3152">
        <f t="shared" si="9"/>
        <v>0</v>
      </c>
      <c r="AQ11" s="979">
        <f t="shared" si="10"/>
        <v>0</v>
      </c>
      <c r="AR11" s="979">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7">
        <f>SUMIF('数据-汇总表'!C$19:C$33,A12,'数据-汇总表'!E$19:E$33)</f>
        <v>0</v>
      </c>
      <c r="L12" s="3074"/>
      <c r="M12" s="3069">
        <f t="shared" si="0"/>
        <v>0</v>
      </c>
      <c r="N12" s="3070"/>
      <c r="O12" s="3069" t="str">
        <f t="shared" si="3"/>
        <v>——</v>
      </c>
      <c r="P12" s="3071"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79"/>
      <c r="W12" s="2979"/>
      <c r="X12" s="3099"/>
      <c r="Y12" s="3118"/>
      <c r="Z12" s="3124"/>
      <c r="AA12" s="2979"/>
      <c r="AB12" s="2979"/>
      <c r="AC12" s="3099"/>
      <c r="AD12" s="3120"/>
      <c r="AE12" s="3121">
        <f ca="1" t="shared" si="6"/>
        <v>0</v>
      </c>
      <c r="AF12" s="2514"/>
      <c r="AG12" s="1733">
        <f ca="1" t="shared" si="7"/>
        <v>0</v>
      </c>
      <c r="AH12" s="3132"/>
      <c r="AI12" s="3133"/>
      <c r="AJ12" s="3134"/>
      <c r="AK12" s="3143"/>
      <c r="AL12" s="3144"/>
      <c r="AM12" s="3145"/>
      <c r="AN12" s="3138"/>
      <c r="AO12" s="979" t="e">
        <f ca="1" t="shared" si="8"/>
        <v>#REF!</v>
      </c>
      <c r="AP12" s="3152">
        <f t="shared" si="9"/>
        <v>0</v>
      </c>
      <c r="AQ12" s="979">
        <f t="shared" si="10"/>
        <v>0</v>
      </c>
      <c r="AR12" s="979">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7">
        <f>SUMIF('数据-汇总表'!C$19:C$33,A13,'数据-汇总表'!E$19:E$33)</f>
        <v>0</v>
      </c>
      <c r="L13" s="3074"/>
      <c r="M13" s="3069">
        <f t="shared" si="0"/>
        <v>0</v>
      </c>
      <c r="N13" s="3075"/>
      <c r="O13" s="3069" t="str">
        <f t="shared" si="3"/>
        <v>——</v>
      </c>
      <c r="P13" s="3071"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79"/>
      <c r="AB13" s="2979"/>
      <c r="AC13" s="3099"/>
      <c r="AD13" s="3120"/>
      <c r="AE13" s="3121">
        <f ca="1" t="shared" si="6"/>
        <v>0</v>
      </c>
      <c r="AF13" s="2514"/>
      <c r="AG13" s="1733">
        <f ca="1" t="shared" si="7"/>
        <v>0</v>
      </c>
      <c r="AH13" s="3132"/>
      <c r="AI13" s="3133"/>
      <c r="AJ13" s="3134"/>
      <c r="AK13" s="3135"/>
      <c r="AL13" s="3136"/>
      <c r="AM13" s="3137"/>
      <c r="AN13" s="3138"/>
      <c r="AO13" s="979" t="e">
        <f ca="1" t="shared" si="8"/>
        <v>#REF!</v>
      </c>
      <c r="AP13" s="3152">
        <f t="shared" si="9"/>
        <v>0</v>
      </c>
      <c r="AQ13" s="979">
        <f t="shared" si="10"/>
        <v>0</v>
      </c>
      <c r="AR13" s="979">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46" customFormat="1" ht="14.25" spans="1:67">
      <c r="A14" s="2980" t="s">
        <v>614</v>
      </c>
      <c r="B14" s="2972" t="s">
        <v>613</v>
      </c>
      <c r="C14" s="2981" t="s">
        <v>614</v>
      </c>
      <c r="D14" s="2974"/>
      <c r="E14" s="2975"/>
      <c r="F14" s="2976"/>
      <c r="G14" s="2977"/>
      <c r="H14" s="2982"/>
      <c r="I14" s="2982"/>
      <c r="J14" s="2982"/>
      <c r="K14" s="3067">
        <f>SUMIF('数据-汇总表'!C$19:C$33,A14,'数据-汇总表'!E$19:E$33)</f>
        <v>0</v>
      </c>
      <c r="L14" s="3074"/>
      <c r="M14" s="3069">
        <f t="shared" si="0"/>
        <v>0</v>
      </c>
      <c r="N14" s="3075"/>
      <c r="O14" s="3069" t="str">
        <f t="shared" si="3"/>
        <v>——</v>
      </c>
      <c r="P14" s="3071" t="str">
        <f t="shared" si="4"/>
        <v>——</v>
      </c>
      <c r="Q14" s="3104"/>
      <c r="R14" s="3094"/>
      <c r="S14" s="3095"/>
      <c r="T14" s="3096"/>
      <c r="U14" s="3105"/>
      <c r="V14" s="3106"/>
      <c r="W14" s="3106"/>
      <c r="X14" s="3107"/>
      <c r="Y14" s="3125"/>
      <c r="Z14" s="3126"/>
      <c r="AA14" s="3127"/>
      <c r="AB14" s="3127"/>
      <c r="AC14" s="3099"/>
      <c r="AD14" s="3107"/>
      <c r="AE14" s="3121"/>
      <c r="AF14" s="979"/>
      <c r="AG14" s="1733"/>
      <c r="AH14" s="3121"/>
      <c r="AI14" s="962"/>
      <c r="AJ14" s="978"/>
      <c r="AK14" s="3146"/>
      <c r="AL14" s="3147"/>
      <c r="AM14" s="3148"/>
      <c r="AN14" s="2409"/>
      <c r="AO14" s="2992"/>
      <c r="AP14" s="2992"/>
      <c r="AQ14" s="2992"/>
      <c r="AR14" s="299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46" customFormat="1" ht="27" spans="1:67">
      <c r="A15" s="2980" t="s">
        <v>615</v>
      </c>
      <c r="B15" s="2972" t="s">
        <v>613</v>
      </c>
      <c r="C15" s="2981" t="s">
        <v>661</v>
      </c>
      <c r="D15" s="2974"/>
      <c r="E15" s="2975"/>
      <c r="F15" s="2976"/>
      <c r="G15" s="2977"/>
      <c r="H15" s="2982"/>
      <c r="I15" s="2982"/>
      <c r="J15" s="2982"/>
      <c r="K15" s="3067">
        <f>SUMIF('数据-汇总表'!C$19:C$33,A15,'数据-汇总表'!E$19:E$33)</f>
        <v>0</v>
      </c>
      <c r="L15" s="3076"/>
      <c r="M15" s="3069"/>
      <c r="N15" s="3077"/>
      <c r="O15" s="3069"/>
      <c r="P15" s="3071"/>
      <c r="Q15" s="3104"/>
      <c r="R15" s="3094"/>
      <c r="S15" s="3095"/>
      <c r="T15" s="3096"/>
      <c r="U15" s="3105"/>
      <c r="V15" s="3106"/>
      <c r="W15" s="3106"/>
      <c r="X15" s="3107"/>
      <c r="Y15" s="3125"/>
      <c r="Z15" s="3126"/>
      <c r="AA15" s="3127"/>
      <c r="AB15" s="3127"/>
      <c r="AC15" s="3099"/>
      <c r="AD15" s="3107"/>
      <c r="AE15" s="3121"/>
      <c r="AF15" s="979"/>
      <c r="AG15" s="1733"/>
      <c r="AH15" s="3121"/>
      <c r="AI15" s="962"/>
      <c r="AJ15" s="978"/>
      <c r="AK15" s="3146"/>
      <c r="AL15" s="3147"/>
      <c r="AM15" s="3148"/>
      <c r="AN15" s="2409"/>
      <c r="AO15" s="2992"/>
      <c r="AP15" s="2992"/>
      <c r="AQ15" s="2992"/>
      <c r="AR15" s="299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46" customFormat="1" ht="15.75" spans="1:67">
      <c r="A16" s="2983" t="s">
        <v>616</v>
      </c>
      <c r="B16" s="2984"/>
      <c r="C16" s="2466"/>
      <c r="D16" s="2985"/>
      <c r="E16" s="2984"/>
      <c r="F16" s="2984"/>
      <c r="G16" s="2986">
        <f>ROUND(SUMPRODUCT(G6:G13,K6:K13)/SUMPRODUCT((G6:G13&gt;0)*(K6:K13)),3)</f>
        <v>1</v>
      </c>
      <c r="H16" s="2987">
        <f>ROUND(SUMPRODUCT(H6:H13,K6:K13)/SUMPRODUCT((H6:H13&gt;0)*(K6:K13)),3)</f>
        <v>0.055</v>
      </c>
      <c r="I16" s="3078"/>
      <c r="J16" s="3078"/>
      <c r="K16" s="3079">
        <f>SUM(K6:K15)</f>
        <v>695.5</v>
      </c>
      <c r="L16" s="3080">
        <f>ROUND(M16*10000/SUM(K6:K14),0)</f>
        <v>2243</v>
      </c>
      <c r="M16" s="3080">
        <f>SUM(M6:M14)</f>
        <v>156</v>
      </c>
      <c r="N16" s="3081">
        <f>ROUND(SUMPRODUCT(M6:M14,N6:N14)/M16,3)</f>
        <v>0.597</v>
      </c>
      <c r="O16" s="3080">
        <f>SUM(O6:O14)</f>
        <v>0</v>
      </c>
      <c r="P16" s="3080">
        <f>SUM(P6:P14)</f>
        <v>0</v>
      </c>
      <c r="Q16" s="3108">
        <f>ROUND(SUMPRODUCT(Q6:Q13,K6:K13)/SUMPRODUCT((Q6:Q13&gt;0)*(K6:K13)),2)</f>
        <v>0.1</v>
      </c>
      <c r="R16" s="3109">
        <f ca="1">SUM(R6:R13)</f>
        <v>0</v>
      </c>
      <c r="S16" s="3110">
        <f>SUM(S6:S13)</f>
        <v>0</v>
      </c>
      <c r="T16" s="3111">
        <f>IF(SUMIF(T6:T13,"&lt;9E307")=M14,SUMIF(T6:T13,"&lt;9E307"),"有误，请检查")</f>
        <v>0</v>
      </c>
      <c r="U16" s="3112"/>
      <c r="V16" s="3113"/>
      <c r="W16" s="3113"/>
      <c r="X16" s="3114"/>
      <c r="Y16" s="3128"/>
      <c r="Z16" s="3129"/>
      <c r="AA16" s="3113"/>
      <c r="AB16" s="3113"/>
      <c r="AC16" s="3114"/>
      <c r="AD16" s="3114"/>
      <c r="AE16" s="3112"/>
      <c r="AF16" s="3113"/>
      <c r="AG16" s="3128"/>
      <c r="AH16" s="3112"/>
      <c r="AI16" s="3129"/>
      <c r="AJ16" s="3129"/>
      <c r="AK16" s="3113"/>
      <c r="AL16" s="3113"/>
      <c r="AM16" s="3128"/>
      <c r="AN16" s="2409"/>
      <c r="AO16" s="2992"/>
      <c r="AP16" s="2992"/>
      <c r="AQ16" s="2992"/>
      <c r="AR16" s="299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88"/>
      <c r="B17" s="2989"/>
      <c r="C17" s="2409"/>
      <c r="D17" s="2990"/>
      <c r="E17" s="2990"/>
      <c r="F17" s="2409"/>
      <c r="G17" s="2409"/>
      <c r="H17" s="2409"/>
      <c r="I17" s="2409"/>
      <c r="J17" s="2409"/>
      <c r="K17" s="3082"/>
      <c r="L17" s="3082"/>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221" t="s">
        <v>662</v>
      </c>
      <c r="B18" s="2991"/>
      <c r="C18" s="2992"/>
      <c r="D18" s="2993"/>
      <c r="E18" s="2992"/>
      <c r="F18" s="2992"/>
      <c r="G18" s="2992"/>
      <c r="H18" s="2992"/>
      <c r="I18" s="3083" t="s">
        <v>663</v>
      </c>
      <c r="J18" s="3084" t="s">
        <v>664</v>
      </c>
      <c r="K18" s="3082"/>
      <c r="L18" s="3082">
        <v>1800</v>
      </c>
      <c r="M18" s="2409"/>
      <c r="N18" s="2409">
        <v>1985</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4" t="s">
        <v>665</v>
      </c>
      <c r="B19" s="2995">
        <v>0</v>
      </c>
      <c r="C19" s="2996" t="s">
        <v>666</v>
      </c>
      <c r="D19" s="2993"/>
      <c r="E19" s="2992"/>
      <c r="F19" s="2992"/>
      <c r="G19" s="2992"/>
      <c r="H19" s="2992"/>
      <c r="I19" s="2992"/>
      <c r="J19" s="3084" t="s">
        <v>667</v>
      </c>
      <c r="K19" s="3082"/>
      <c r="L19" s="3082">
        <v>600</v>
      </c>
      <c r="M19" s="2409"/>
      <c r="N19" s="3085">
        <f>ROUND(1-(2024-N18)/50*(1-0.02),2)</f>
        <v>0.24</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7" t="s">
        <v>668</v>
      </c>
      <c r="B20" s="2998">
        <v>1</v>
      </c>
      <c r="C20" s="2999" t="s">
        <v>669</v>
      </c>
      <c r="D20" s="2993"/>
      <c r="E20" s="2992"/>
      <c r="F20" s="2992"/>
      <c r="G20" s="2992"/>
      <c r="H20" s="2992"/>
      <c r="I20" s="2992"/>
      <c r="J20" s="3084" t="s">
        <v>670</v>
      </c>
      <c r="K20" s="3082"/>
      <c r="L20" s="3082">
        <v>800</v>
      </c>
      <c r="M20" s="2409"/>
      <c r="N20" s="2409">
        <v>0.7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0" t="s">
        <v>671</v>
      </c>
      <c r="B21" s="2998">
        <v>1</v>
      </c>
      <c r="C21" s="2992"/>
      <c r="D21" s="2993"/>
      <c r="E21" s="2992"/>
      <c r="F21" s="2992"/>
      <c r="G21" s="2992"/>
      <c r="H21" s="2992"/>
      <c r="I21" s="2992"/>
      <c r="J21" s="3084" t="s">
        <v>672</v>
      </c>
      <c r="K21" s="3086">
        <v>0.05</v>
      </c>
      <c r="L21" s="3082">
        <f>(L18+L19+L20)*K21</f>
        <v>160</v>
      </c>
      <c r="M21" s="2409"/>
      <c r="N21" s="2409">
        <f>(N19+N20)/2</f>
        <v>0.47</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7" t="s">
        <v>673</v>
      </c>
      <c r="B22" s="3001">
        <f>B19+B20</f>
        <v>1</v>
      </c>
      <c r="C22" s="2992"/>
      <c r="D22" s="2993"/>
      <c r="E22" s="2992"/>
      <c r="F22" s="2992"/>
      <c r="G22" s="2992"/>
      <c r="H22" s="2992"/>
      <c r="I22" s="2992"/>
      <c r="J22" s="2992"/>
      <c r="K22" s="3082"/>
      <c r="L22" s="3082">
        <f>L18+L19+L20+L21</f>
        <v>3360</v>
      </c>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0" t="s">
        <v>674</v>
      </c>
      <c r="B23" s="3001">
        <f>B19+B21</f>
        <v>1</v>
      </c>
      <c r="C23" s="2992"/>
      <c r="D23" s="2993"/>
      <c r="E23" s="2992"/>
      <c r="F23" s="2992"/>
      <c r="G23" s="2992"/>
      <c r="H23" s="2992"/>
      <c r="I23" s="2992"/>
      <c r="J23" s="2992"/>
      <c r="K23" s="3082"/>
      <c r="L23" s="3082"/>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2" t="s">
        <v>675</v>
      </c>
      <c r="B24" s="3003">
        <f>B20-B21</f>
        <v>0</v>
      </c>
      <c r="C24" s="2992"/>
      <c r="D24" s="2993"/>
      <c r="E24" s="2992"/>
      <c r="F24" s="2992"/>
      <c r="G24" s="2992"/>
      <c r="H24" s="2992"/>
      <c r="I24" s="3083" t="s">
        <v>676</v>
      </c>
      <c r="J24" s="3084" t="s">
        <v>664</v>
      </c>
      <c r="K24" s="3082"/>
      <c r="L24" s="3082">
        <v>1800</v>
      </c>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1"/>
      <c r="B25" s="2962"/>
      <c r="C25" s="2992"/>
      <c r="D25" s="2993"/>
      <c r="E25" s="2992"/>
      <c r="F25" s="2992"/>
      <c r="G25" s="2992"/>
      <c r="H25" s="2992"/>
      <c r="I25" s="2992"/>
      <c r="J25" s="3084" t="s">
        <v>667</v>
      </c>
      <c r="K25" s="3082"/>
      <c r="L25" s="3082">
        <v>400</v>
      </c>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7" t="s">
        <v>677</v>
      </c>
      <c r="B26" s="3004" t="s">
        <v>678</v>
      </c>
      <c r="C26" s="3005" t="s">
        <v>679</v>
      </c>
      <c r="D26" s="2993"/>
      <c r="E26" s="2992"/>
      <c r="F26" s="2992"/>
      <c r="G26" s="2992"/>
      <c r="H26" s="2992"/>
      <c r="I26" s="2992"/>
      <c r="J26" s="3084" t="s">
        <v>670</v>
      </c>
      <c r="K26" s="3082"/>
      <c r="L26" s="3082">
        <v>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8" customFormat="1" ht="27.75" spans="1:67">
      <c r="A27" s="3006" t="s">
        <v>680</v>
      </c>
      <c r="B27" s="3007"/>
      <c r="C27" s="3008" t="s">
        <v>681</v>
      </c>
      <c r="D27" s="3009"/>
      <c r="E27" s="1095"/>
      <c r="F27" s="1095"/>
      <c r="G27" s="2992"/>
      <c r="H27" s="2992"/>
      <c r="I27" s="2992"/>
      <c r="J27" s="3084" t="s">
        <v>672</v>
      </c>
      <c r="K27" s="3086">
        <v>0.05</v>
      </c>
      <c r="L27" s="3082">
        <f>(L24+L25+L26)*K27</f>
        <v>135</v>
      </c>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8" customFormat="1" ht="27.75" spans="1:67">
      <c r="A28" s="3010" t="s">
        <v>682</v>
      </c>
      <c r="B28" s="3011">
        <v>200</v>
      </c>
      <c r="C28" s="3012"/>
      <c r="D28" s="3009"/>
      <c r="E28" s="1095"/>
      <c r="F28" s="1095"/>
      <c r="G28" s="2992"/>
      <c r="H28" s="2992"/>
      <c r="I28" s="2992"/>
      <c r="J28" s="2992"/>
      <c r="K28" s="3082"/>
      <c r="L28" s="3082">
        <f>L24+L25+L26+L27</f>
        <v>2835</v>
      </c>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8" customFormat="1" ht="28.5" spans="1:67">
      <c r="A29" s="3013" t="s">
        <v>683</v>
      </c>
      <c r="B29" s="3014"/>
      <c r="C29" s="3015" t="s">
        <v>684</v>
      </c>
      <c r="D29" s="3009"/>
      <c r="E29" s="1095"/>
      <c r="F29" s="1095"/>
      <c r="G29" s="2992"/>
      <c r="H29" s="2992"/>
      <c r="I29" s="2992"/>
      <c r="J29" s="2992"/>
      <c r="K29" s="3082"/>
      <c r="L29" s="30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8" customFormat="1" ht="27" spans="1:67">
      <c r="A30" s="3016" t="s">
        <v>685</v>
      </c>
      <c r="B30" s="3017">
        <v>200</v>
      </c>
      <c r="C30" s="3012"/>
      <c r="D30" s="3009"/>
      <c r="E30" s="1095"/>
      <c r="F30" s="1095"/>
      <c r="G30" s="2992"/>
      <c r="H30" s="2992"/>
      <c r="I30" s="2992"/>
      <c r="J30" s="2992"/>
      <c r="K30" s="3082"/>
      <c r="L30" s="30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8" customFormat="1" ht="27" spans="1:67">
      <c r="A31" s="3010" t="s">
        <v>686</v>
      </c>
      <c r="B31" s="3018">
        <f>B30-B32</f>
        <v>200</v>
      </c>
      <c r="C31" s="3019"/>
      <c r="D31" s="3009"/>
      <c r="E31" s="1095"/>
      <c r="F31" s="1095"/>
      <c r="G31" s="2992"/>
      <c r="H31" s="2992"/>
      <c r="I31" s="2992"/>
      <c r="J31" s="2992"/>
      <c r="K31" s="3082"/>
      <c r="L31" s="30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8" customFormat="1" ht="27.75" spans="1:67">
      <c r="A32" s="3020" t="s">
        <v>687</v>
      </c>
      <c r="B32" s="3021">
        <v>0</v>
      </c>
      <c r="C32" s="3012"/>
      <c r="D32" s="2993"/>
      <c r="E32" s="2992"/>
      <c r="F32" s="2992"/>
      <c r="G32" s="2992"/>
      <c r="H32" s="2992"/>
      <c r="I32" s="2992"/>
      <c r="J32" s="2992"/>
      <c r="K32" s="3082"/>
      <c r="L32" s="30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8" customFormat="1" ht="14.25" spans="1:67">
      <c r="A33" s="3006" t="s">
        <v>688</v>
      </c>
      <c r="B33" s="3022">
        <v>0.03</v>
      </c>
      <c r="C33" s="3023" t="s">
        <v>689</v>
      </c>
      <c r="D33" s="2993"/>
      <c r="E33" s="2992"/>
      <c r="F33" s="2992"/>
      <c r="G33" s="2992"/>
      <c r="H33" s="2992"/>
      <c r="I33" s="2992"/>
      <c r="J33" s="2992"/>
      <c r="K33" s="3082"/>
      <c r="L33" s="30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8" customFormat="1" ht="14.25" spans="1:67">
      <c r="A34" s="3010" t="s">
        <v>690</v>
      </c>
      <c r="B34" s="3024">
        <v>0</v>
      </c>
      <c r="C34" s="3023" t="s">
        <v>691</v>
      </c>
      <c r="D34" s="3025" t="s">
        <v>692</v>
      </c>
      <c r="E34" s="2989"/>
      <c r="F34" s="2992"/>
      <c r="G34" s="2992"/>
      <c r="H34" s="2992"/>
      <c r="I34" s="2992"/>
      <c r="J34" s="2992"/>
      <c r="K34" s="3082"/>
      <c r="L34" s="30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8" customFormat="1" ht="14.25" spans="1:67">
      <c r="A35" s="3010" t="s">
        <v>693</v>
      </c>
      <c r="B35" s="3011">
        <v>200</v>
      </c>
      <c r="C35" s="3023" t="s">
        <v>694</v>
      </c>
      <c r="D35" s="3009"/>
      <c r="E35" s="1095"/>
      <c r="F35" s="1095"/>
      <c r="G35" s="2992"/>
      <c r="H35" s="2992"/>
      <c r="I35" s="2992"/>
      <c r="J35" s="2992"/>
      <c r="K35" s="3082"/>
      <c r="L35" s="30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3" t="s">
        <v>695</v>
      </c>
      <c r="B36" s="3026">
        <v>0.015</v>
      </c>
      <c r="C36" s="3023" t="s">
        <v>696</v>
      </c>
      <c r="D36" s="2993"/>
      <c r="E36" s="2992"/>
      <c r="F36" s="2992"/>
      <c r="G36" s="2992"/>
      <c r="H36" s="2992"/>
      <c r="I36" s="2992"/>
      <c r="J36" s="2992"/>
      <c r="K36" s="3082"/>
      <c r="L36" s="30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6" t="s">
        <v>697</v>
      </c>
      <c r="B37" s="3027">
        <v>0.02</v>
      </c>
      <c r="C37" s="3023" t="s">
        <v>698</v>
      </c>
      <c r="D37" s="2993"/>
      <c r="E37" s="2992"/>
      <c r="F37" s="2992"/>
      <c r="G37" s="2992"/>
      <c r="H37" s="2992"/>
      <c r="I37" s="2992"/>
      <c r="J37" s="2992"/>
      <c r="K37" s="3082"/>
      <c r="L37" s="30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0" t="s">
        <v>699</v>
      </c>
      <c r="B38" s="3024">
        <v>0.02</v>
      </c>
      <c r="C38" s="3023" t="s">
        <v>698</v>
      </c>
      <c r="D38" s="2993"/>
      <c r="E38" s="2992"/>
      <c r="F38" s="2992"/>
      <c r="G38" s="2992"/>
      <c r="H38" s="2992"/>
      <c r="I38" s="2992"/>
      <c r="J38" s="2992"/>
      <c r="K38" s="3082"/>
      <c r="L38" s="30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0" t="s">
        <v>700</v>
      </c>
      <c r="B39" s="3028">
        <f ca="1">存贷款利率!I1</f>
        <v>0.015</v>
      </c>
      <c r="C39" s="3029"/>
      <c r="D39" s="2993"/>
      <c r="E39" s="2992"/>
      <c r="F39" s="2992"/>
      <c r="G39" s="2992"/>
      <c r="H39" s="2992"/>
      <c r="I39" s="2992"/>
      <c r="J39" s="2992"/>
      <c r="K39" s="3082"/>
      <c r="L39" s="30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0" t="s">
        <v>701</v>
      </c>
      <c r="B40" s="3031">
        <f ca="1">IF(A40="利息：取LPR",存贷款利率!G1,存贷款利率!G1+C40)</f>
        <v>0.0345</v>
      </c>
      <c r="C40" s="3032">
        <v>0.005</v>
      </c>
      <c r="D40" s="2409"/>
      <c r="E40" s="2993"/>
      <c r="F40" s="2992"/>
      <c r="G40" s="2992"/>
      <c r="H40" s="2992"/>
      <c r="I40" s="2992"/>
      <c r="J40" s="2992"/>
      <c r="K40" s="3082"/>
      <c r="L40" s="30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6" t="s">
        <v>702</v>
      </c>
      <c r="B41" s="3033">
        <f>B42+B43</f>
        <v>0.056</v>
      </c>
      <c r="C41" s="3019"/>
      <c r="D41" s="2409"/>
      <c r="E41" s="2993"/>
      <c r="F41" s="2992"/>
      <c r="G41" s="2992"/>
      <c r="H41" s="2992"/>
      <c r="I41" s="2992"/>
      <c r="J41" s="2992"/>
      <c r="K41" s="3082"/>
      <c r="L41" s="30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4" t="s">
        <v>703</v>
      </c>
      <c r="B42" s="3035">
        <v>0.05</v>
      </c>
      <c r="C42" s="3036">
        <f>IF(B2&lt;DATE(2016,5,1),0,B42)</f>
        <v>0.05</v>
      </c>
      <c r="D42" s="2993"/>
      <c r="E42" s="2992"/>
      <c r="F42" s="2992"/>
      <c r="G42" s="2992"/>
      <c r="H42" s="2992"/>
      <c r="I42" s="2992"/>
      <c r="J42" s="2992"/>
      <c r="K42" s="3082"/>
      <c r="L42" s="30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4" t="s">
        <v>704</v>
      </c>
      <c r="B43" s="3037">
        <f>B42*(B44+B45+B46)+B47</f>
        <v>0.006</v>
      </c>
      <c r="C43" s="3019"/>
      <c r="D43" s="2993"/>
      <c r="E43" s="2992"/>
      <c r="F43" s="2992"/>
      <c r="G43" s="2992"/>
      <c r="H43" s="2992"/>
      <c r="I43" s="2992"/>
      <c r="J43" s="2992"/>
      <c r="K43" s="3082"/>
      <c r="L43" s="30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8" t="s">
        <v>705</v>
      </c>
      <c r="B44" s="3039">
        <v>0.07</v>
      </c>
      <c r="C44" s="3023" t="s">
        <v>706</v>
      </c>
      <c r="D44" s="2993"/>
      <c r="E44" s="2992"/>
      <c r="F44" s="2992"/>
      <c r="G44" s="2992"/>
      <c r="H44" s="2992"/>
      <c r="I44" s="2992"/>
      <c r="J44" s="2992"/>
      <c r="K44" s="3082"/>
      <c r="L44" s="30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8" t="s">
        <v>707</v>
      </c>
      <c r="B45" s="3035">
        <v>0.03</v>
      </c>
      <c r="C45" s="3015" t="s">
        <v>708</v>
      </c>
      <c r="D45" s="2993"/>
      <c r="E45" s="2992"/>
      <c r="F45" s="2992"/>
      <c r="G45" s="2992"/>
      <c r="H45" s="2992"/>
      <c r="I45" s="2992"/>
      <c r="J45" s="2992"/>
      <c r="K45" s="3082"/>
      <c r="L45" s="30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8" t="s">
        <v>709</v>
      </c>
      <c r="B46" s="3035">
        <v>0.02</v>
      </c>
      <c r="C46" s="3015" t="s">
        <v>710</v>
      </c>
      <c r="D46" s="2993"/>
      <c r="E46" s="2992"/>
      <c r="F46" s="2992"/>
      <c r="G46" s="2992"/>
      <c r="H46" s="2992"/>
      <c r="I46" s="2992"/>
      <c r="J46" s="2992"/>
      <c r="K46" s="3082"/>
      <c r="L46" s="30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0" t="s">
        <v>711</v>
      </c>
      <c r="B47" s="3041"/>
      <c r="C47" s="3042" t="s">
        <v>712</v>
      </c>
      <c r="D47" s="2993"/>
      <c r="E47" s="2992"/>
      <c r="F47" s="2992"/>
      <c r="G47" s="2992"/>
      <c r="H47" s="2992"/>
      <c r="I47" s="2992"/>
      <c r="J47" s="2992"/>
      <c r="K47" s="3082"/>
      <c r="L47" s="30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3" t="s">
        <v>713</v>
      </c>
      <c r="B48" s="3044">
        <v>0.03</v>
      </c>
      <c r="C48" s="3015" t="s">
        <v>708</v>
      </c>
      <c r="D48" s="2993"/>
      <c r="E48" s="2992"/>
      <c r="F48" s="2992"/>
      <c r="G48" s="2992"/>
      <c r="H48" s="2992"/>
      <c r="I48" s="2992"/>
      <c r="J48" s="2992"/>
      <c r="K48" s="3082"/>
      <c r="L48" s="30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0" t="s">
        <v>714</v>
      </c>
      <c r="B49" s="3035">
        <v>0.0005</v>
      </c>
      <c r="C49" s="3015" t="s">
        <v>715</v>
      </c>
      <c r="D49" s="2993"/>
      <c r="E49" s="2992"/>
      <c r="F49" s="2992"/>
      <c r="G49" s="2992"/>
      <c r="H49" s="2992"/>
      <c r="I49" s="2992"/>
      <c r="J49" s="2992"/>
      <c r="K49" s="3082"/>
      <c r="L49" s="30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5" t="s">
        <v>716</v>
      </c>
      <c r="B50" s="3046">
        <v>0.012</v>
      </c>
      <c r="C50" s="1095"/>
      <c r="D50" s="2993"/>
      <c r="E50" s="2992"/>
      <c r="F50" s="2992"/>
      <c r="G50" s="2992"/>
      <c r="H50" s="2992"/>
      <c r="I50" s="2992"/>
      <c r="J50" s="2992"/>
      <c r="K50" s="3082"/>
      <c r="L50" s="30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3" t="s">
        <v>717</v>
      </c>
      <c r="B51" s="3047">
        <v>0.12</v>
      </c>
      <c r="C51" s="1095"/>
      <c r="D51" s="2993"/>
      <c r="E51" s="2992"/>
      <c r="F51" s="2992"/>
      <c r="G51" s="2992"/>
      <c r="H51" s="2992"/>
      <c r="I51" s="2992"/>
      <c r="J51" s="2992"/>
      <c r="K51" s="3082"/>
      <c r="L51" s="30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5" t="s">
        <v>718</v>
      </c>
      <c r="B52" s="3048">
        <f>SUMIF(A54:A63,B53,B54:B63)</f>
        <v>0</v>
      </c>
      <c r="C52" s="1095"/>
      <c r="D52" s="2993"/>
      <c r="E52" s="2992"/>
      <c r="F52" s="2992"/>
      <c r="G52" s="2992"/>
      <c r="H52" s="2992"/>
      <c r="I52" s="2992"/>
      <c r="J52" s="2992"/>
      <c r="K52" s="3082"/>
      <c r="L52" s="30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0" t="s">
        <v>719</v>
      </c>
      <c r="B53" s="3049"/>
      <c r="C53" s="1095" t="s">
        <v>720</v>
      </c>
      <c r="D53" s="3050" t="s">
        <v>721</v>
      </c>
      <c r="E53" s="2992"/>
      <c r="F53" s="2992"/>
      <c r="G53" s="2992"/>
      <c r="H53" s="2992"/>
      <c r="I53" s="2992"/>
      <c r="J53" s="2992"/>
      <c r="K53" s="3082"/>
      <c r="L53" s="30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1" t="s">
        <v>722</v>
      </c>
      <c r="B54" s="3052"/>
      <c r="C54" s="1095">
        <v>30</v>
      </c>
      <c r="D54" s="2993"/>
      <c r="E54" s="2992"/>
      <c r="F54" s="2992"/>
      <c r="G54" s="2992"/>
      <c r="H54" s="2992"/>
      <c r="I54" s="2992"/>
      <c r="J54" s="2992"/>
      <c r="K54" s="3082"/>
      <c r="L54" s="30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1" t="s">
        <v>723</v>
      </c>
      <c r="B55" s="3052"/>
      <c r="C55" s="1095">
        <v>24</v>
      </c>
      <c r="D55" s="2993"/>
      <c r="E55" s="2992"/>
      <c r="F55" s="2992"/>
      <c r="G55" s="2992"/>
      <c r="H55" s="2992"/>
      <c r="I55" s="3087"/>
      <c r="J55" s="2992"/>
      <c r="K55" s="3082"/>
      <c r="L55" s="30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1" t="s">
        <v>724</v>
      </c>
      <c r="B56" s="3052"/>
      <c r="C56" s="1095">
        <v>18</v>
      </c>
      <c r="D56" s="2993"/>
      <c r="E56" s="2992"/>
      <c r="F56" s="2992"/>
      <c r="G56" s="2992"/>
      <c r="H56" s="2992"/>
      <c r="I56" s="2992"/>
      <c r="J56" s="2992"/>
      <c r="K56" s="3082"/>
      <c r="L56" s="30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1" t="s">
        <v>725</v>
      </c>
      <c r="B57" s="3052"/>
      <c r="C57" s="1095">
        <v>12</v>
      </c>
      <c r="D57" s="2993"/>
      <c r="E57" s="2992"/>
      <c r="F57" s="2992"/>
      <c r="G57" s="2992"/>
      <c r="H57" s="2992"/>
      <c r="I57" s="2992"/>
      <c r="J57" s="2992"/>
      <c r="K57" s="3082"/>
      <c r="L57" s="30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1" t="s">
        <v>726</v>
      </c>
      <c r="B58" s="3052"/>
      <c r="C58" s="1095">
        <v>3</v>
      </c>
      <c r="D58" s="2993"/>
      <c r="E58" s="2992"/>
      <c r="F58" s="2992"/>
      <c r="G58" s="2992"/>
      <c r="H58" s="2992"/>
      <c r="I58" s="2992"/>
      <c r="J58" s="2992"/>
      <c r="K58" s="3082"/>
      <c r="L58" s="30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1" t="s">
        <v>727</v>
      </c>
      <c r="B59" s="3052"/>
      <c r="C59" s="1095">
        <v>1.5</v>
      </c>
      <c r="D59" s="2993"/>
      <c r="E59" s="2992"/>
      <c r="F59" s="2992"/>
      <c r="G59" s="2992"/>
      <c r="H59" s="2992"/>
      <c r="I59" s="2992"/>
      <c r="J59" s="2992"/>
      <c r="K59" s="3082"/>
      <c r="L59" s="30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1" t="s">
        <v>728</v>
      </c>
      <c r="B60" s="3052"/>
      <c r="C60" s="2992"/>
      <c r="D60" s="2993"/>
      <c r="E60" s="2992"/>
      <c r="F60" s="2992"/>
      <c r="G60" s="2992"/>
      <c r="H60" s="2992"/>
      <c r="I60" s="2992"/>
      <c r="J60" s="2992"/>
      <c r="K60" s="3082"/>
      <c r="L60" s="30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1" t="s">
        <v>729</v>
      </c>
      <c r="B61" s="3052"/>
      <c r="C61" s="2992"/>
      <c r="D61" s="2993"/>
      <c r="E61" s="2992"/>
      <c r="F61" s="2992"/>
      <c r="G61" s="2992"/>
      <c r="H61" s="2992"/>
      <c r="I61" s="2992"/>
      <c r="J61" s="2992"/>
      <c r="K61" s="3082"/>
      <c r="L61" s="30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1" t="s">
        <v>730</v>
      </c>
      <c r="B62" s="3052"/>
      <c r="C62" s="2992"/>
      <c r="D62" s="2993"/>
      <c r="E62" s="2992"/>
      <c r="F62" s="2992"/>
      <c r="G62" s="2992"/>
      <c r="H62" s="2992"/>
      <c r="I62" s="2992"/>
      <c r="J62" s="2992"/>
      <c r="K62" s="3082"/>
      <c r="L62" s="30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3" t="s">
        <v>731</v>
      </c>
      <c r="B63" s="3054"/>
      <c r="C63" s="2992"/>
      <c r="D63" s="2993"/>
      <c r="E63" s="2992"/>
      <c r="F63" s="2992"/>
      <c r="G63" s="2992"/>
      <c r="H63" s="2992"/>
      <c r="I63" s="2992"/>
      <c r="J63" s="2992"/>
      <c r="K63" s="3082"/>
      <c r="L63" s="30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5"/>
      <c r="B64" s="2409"/>
      <c r="C64" s="2409"/>
      <c r="D64" s="2990"/>
      <c r="E64" s="2409"/>
      <c r="F64" s="2409"/>
      <c r="G64" s="2409"/>
      <c r="H64" s="2409"/>
      <c r="I64" s="2409"/>
      <c r="J64" s="2409"/>
      <c r="K64" s="3082"/>
      <c r="L64" s="30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5"/>
      <c r="B65" s="2409"/>
      <c r="C65" s="2409"/>
      <c r="D65" s="2990"/>
      <c r="E65" s="2409"/>
      <c r="F65" s="2409"/>
      <c r="G65" s="2409"/>
      <c r="H65" s="2409"/>
      <c r="I65" s="2409"/>
      <c r="J65" s="2409"/>
      <c r="K65" s="3082"/>
      <c r="L65" s="30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5"/>
      <c r="B66" s="2409"/>
      <c r="C66" s="2409"/>
      <c r="D66" s="2990"/>
      <c r="E66" s="2409"/>
      <c r="F66" s="2409"/>
      <c r="G66" s="2409"/>
      <c r="H66" s="2409"/>
      <c r="I66" s="2409"/>
      <c r="J66" s="2409"/>
      <c r="K66" s="3082"/>
      <c r="L66" s="30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5"/>
      <c r="B67" s="2409"/>
      <c r="C67" s="2409"/>
      <c r="D67" s="2990"/>
      <c r="E67" s="2409"/>
      <c r="F67" s="2409"/>
      <c r="G67" s="2409"/>
      <c r="H67" s="2409"/>
      <c r="I67" s="2409"/>
      <c r="J67" s="2409"/>
      <c r="K67" s="3082"/>
      <c r="L67" s="30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5"/>
      <c r="B68" s="2409"/>
      <c r="C68" s="2409"/>
      <c r="D68" s="2990"/>
      <c r="E68" s="2409"/>
      <c r="F68" s="2409"/>
      <c r="G68" s="2409"/>
      <c r="H68" s="2409"/>
      <c r="I68" s="2409"/>
      <c r="J68" s="2409"/>
      <c r="K68" s="3082"/>
      <c r="L68" s="30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2"/>
      <c r="D69" s="3153"/>
      <c r="K69" s="686"/>
      <c r="L69" s="686"/>
    </row>
    <row r="70" s="2481" customFormat="1" spans="1:12">
      <c r="A70" s="2842"/>
      <c r="D70" s="3153"/>
      <c r="K70" s="686"/>
      <c r="L70" s="686"/>
    </row>
    <row r="71" s="2481" customFormat="1" spans="1:12">
      <c r="A71" s="2842"/>
      <c r="D71" s="3153"/>
      <c r="K71" s="686"/>
      <c r="L71" s="686"/>
    </row>
    <row r="72" s="2481" customFormat="1" spans="1:12">
      <c r="A72" s="2842"/>
      <c r="D72" s="3153"/>
      <c r="K72" s="686"/>
      <c r="L72" s="686"/>
    </row>
    <row r="73" s="2481" customFormat="1" spans="1:12">
      <c r="A73" s="2842"/>
      <c r="D73" s="3153"/>
      <c r="K73" s="686"/>
      <c r="L73" s="686"/>
    </row>
    <row r="74" s="2481" customFormat="1" spans="1:12">
      <c r="A74" s="2842"/>
      <c r="D74" s="3153"/>
      <c r="K74" s="686"/>
      <c r="L74" s="686"/>
    </row>
    <row r="75" s="2481" customFormat="1" spans="1:12">
      <c r="A75" s="2842"/>
      <c r="D75" s="3153"/>
      <c r="K75" s="686"/>
      <c r="L75" s="686"/>
    </row>
    <row r="76" s="2481" customFormat="1" spans="1:12">
      <c r="A76" s="2842"/>
      <c r="D76" s="3153"/>
      <c r="K76" s="686"/>
      <c r="L76" s="686"/>
    </row>
    <row r="77" s="2481" customFormat="1" spans="1:12">
      <c r="A77" s="2842"/>
      <c r="D77" s="3153"/>
      <c r="K77" s="686"/>
      <c r="L77" s="686"/>
    </row>
    <row r="78" s="2481" customFormat="1" spans="1:12">
      <c r="A78" s="2842"/>
      <c r="D78" s="3153"/>
      <c r="K78" s="686"/>
      <c r="L78" s="686"/>
    </row>
    <row r="79" s="2481" customFormat="1" spans="1:12">
      <c r="A79" s="2842"/>
      <c r="D79" s="3153"/>
      <c r="K79" s="686"/>
      <c r="L79" s="686"/>
    </row>
    <row r="80" s="2481" customFormat="1" spans="1:12">
      <c r="A80" s="2842"/>
      <c r="D80" s="3153"/>
      <c r="K80" s="686"/>
      <c r="L80" s="686"/>
    </row>
    <row r="81" s="2481" customFormat="1" spans="1:12">
      <c r="A81" s="2842"/>
      <c r="D81" s="3153"/>
      <c r="K81" s="686"/>
      <c r="L81" s="686"/>
    </row>
    <row r="82" s="2481" customFormat="1" spans="1:12">
      <c r="A82" s="2842"/>
      <c r="D82" s="3153"/>
      <c r="K82" s="686"/>
      <c r="L82" s="686"/>
    </row>
    <row r="83" s="2481" customFormat="1" spans="1:12">
      <c r="A83" s="2842"/>
      <c r="D83" s="3153"/>
      <c r="K83" s="686"/>
      <c r="L83" s="686"/>
    </row>
    <row r="84" s="2481" customFormat="1" spans="1:12">
      <c r="A84" s="2842"/>
      <c r="D84" s="3153"/>
      <c r="K84" s="686"/>
      <c r="L84" s="686"/>
    </row>
    <row r="85" s="2481" customFormat="1" spans="1:12">
      <c r="A85" s="2842"/>
      <c r="D85" s="3153"/>
      <c r="K85" s="686"/>
      <c r="L85" s="686"/>
    </row>
    <row r="86" s="2481" customFormat="1" spans="1:12">
      <c r="A86" s="2842"/>
      <c r="D86" s="3153"/>
      <c r="K86" s="686"/>
      <c r="L86" s="686"/>
    </row>
    <row r="87" s="2481" customFormat="1" spans="1:12">
      <c r="A87" s="2842"/>
      <c r="D87" s="3153"/>
      <c r="K87" s="686"/>
      <c r="L87" s="686"/>
    </row>
    <row r="88" s="2481" customFormat="1" spans="1:12">
      <c r="A88" s="2842"/>
      <c r="D88" s="3153"/>
      <c r="K88" s="686"/>
      <c r="L88" s="686"/>
    </row>
    <row r="89" s="2481" customFormat="1" spans="1:12">
      <c r="A89" s="2842"/>
      <c r="D89" s="3153"/>
      <c r="K89" s="686"/>
      <c r="L89" s="686"/>
    </row>
    <row r="90" s="2481" customFormat="1" spans="1:12">
      <c r="A90" s="2842"/>
      <c r="D90" s="3153"/>
      <c r="K90" s="686"/>
      <c r="L90" s="686"/>
    </row>
    <row r="91" s="2481" customFormat="1" spans="1:12">
      <c r="A91" s="2842"/>
      <c r="D91" s="3153"/>
      <c r="K91" s="686"/>
      <c r="L91" s="686"/>
    </row>
    <row r="92" s="2481" customFormat="1" spans="1:12">
      <c r="A92" s="2842"/>
      <c r="D92" s="3153"/>
      <c r="K92" s="686"/>
      <c r="L92" s="686"/>
    </row>
    <row r="93" s="2481" customFormat="1" spans="1:12">
      <c r="A93" s="2842"/>
      <c r="D93" s="3153"/>
      <c r="K93" s="686"/>
      <c r="L93" s="686"/>
    </row>
    <row r="94" s="2481" customFormat="1" spans="1:12">
      <c r="A94" s="2842"/>
      <c r="D94" s="3153"/>
      <c r="K94" s="686"/>
      <c r="L94" s="686"/>
    </row>
    <row r="95" s="2481" customFormat="1" spans="1:12">
      <c r="A95" s="2842"/>
      <c r="D95" s="3153"/>
      <c r="K95" s="686"/>
      <c r="L95" s="686"/>
    </row>
    <row r="96" s="2481" customFormat="1" spans="1:12">
      <c r="A96" s="2842"/>
      <c r="D96" s="3153"/>
      <c r="K96" s="686"/>
      <c r="L96" s="686"/>
    </row>
    <row r="97" s="2481" customFormat="1" spans="1:12">
      <c r="A97" s="2842"/>
      <c r="D97" s="3153"/>
      <c r="K97" s="686"/>
      <c r="L97" s="686"/>
    </row>
    <row r="98" s="2481" customFormat="1" spans="1:12">
      <c r="A98" s="2842"/>
      <c r="D98" s="3153"/>
      <c r="K98" s="686"/>
      <c r="L98" s="686"/>
    </row>
    <row r="99" s="2481" customFormat="1" spans="1:12">
      <c r="A99" s="2842"/>
      <c r="D99" s="3153"/>
      <c r="K99" s="686"/>
      <c r="L99" s="686"/>
    </row>
    <row r="100" s="2481" customFormat="1" spans="1:12">
      <c r="A100" s="2842"/>
      <c r="D100" s="3153"/>
      <c r="K100" s="686"/>
      <c r="L100" s="686"/>
    </row>
    <row r="101" s="2481" customFormat="1" spans="1:12">
      <c r="A101" s="2842"/>
      <c r="D101" s="3153"/>
      <c r="K101" s="686"/>
      <c r="L101" s="686"/>
    </row>
    <row r="102" s="2481" customFormat="1" spans="1:12">
      <c r="A102" s="2842"/>
      <c r="D102" s="3153"/>
      <c r="K102" s="686"/>
      <c r="L102" s="686"/>
    </row>
    <row r="103" s="2481" customFormat="1" spans="1:12">
      <c r="A103" s="2842"/>
      <c r="D103" s="3153"/>
      <c r="K103" s="686"/>
      <c r="L103" s="686"/>
    </row>
    <row r="104" s="2481" customFormat="1" spans="1:12">
      <c r="A104" s="2842"/>
      <c r="D104" s="3153"/>
      <c r="K104" s="686"/>
      <c r="L104" s="686"/>
    </row>
    <row r="105" s="2481" customFormat="1" spans="1:12">
      <c r="A105" s="2842"/>
      <c r="D105" s="3153"/>
      <c r="K105" s="686"/>
      <c r="L105" s="686"/>
    </row>
    <row r="106" s="2481" customFormat="1" spans="1:12">
      <c r="A106" s="2842"/>
      <c r="D106" s="3153"/>
      <c r="K106" s="686"/>
      <c r="L106" s="686"/>
    </row>
    <row r="107" s="2481" customFormat="1" spans="1:12">
      <c r="A107" s="2842"/>
      <c r="D107" s="3153"/>
      <c r="K107" s="686"/>
      <c r="L107" s="686"/>
    </row>
    <row r="108" s="2481" customFormat="1" spans="1:12">
      <c r="A108" s="2842"/>
      <c r="D108" s="3153"/>
      <c r="K108" s="686"/>
      <c r="L108" s="686"/>
    </row>
    <row r="109" s="2481" customFormat="1" spans="1:12">
      <c r="A109" s="2842"/>
      <c r="D109" s="3153"/>
      <c r="K109" s="686"/>
      <c r="L109" s="686"/>
    </row>
    <row r="110" s="2481" customFormat="1" spans="1:12">
      <c r="A110" s="2842"/>
      <c r="D110" s="3153"/>
      <c r="K110" s="686"/>
      <c r="L110" s="686"/>
    </row>
    <row r="111" s="2481" customFormat="1" spans="1:12">
      <c r="A111" s="2842"/>
      <c r="D111" s="3153"/>
      <c r="K111" s="686"/>
      <c r="L111" s="686"/>
    </row>
    <row r="112" s="2481" customFormat="1" spans="1:12">
      <c r="A112" s="2842"/>
      <c r="D112" s="3153"/>
      <c r="K112" s="686"/>
      <c r="L112" s="686"/>
    </row>
    <row r="113" s="2481" customFormat="1" spans="1:12">
      <c r="A113" s="2842"/>
      <c r="D113" s="3153"/>
      <c r="K113" s="686"/>
      <c r="L113" s="686"/>
    </row>
    <row r="114" s="2481" customFormat="1" spans="1:12">
      <c r="A114" s="2842"/>
      <c r="D114" s="3153"/>
      <c r="K114" s="686"/>
      <c r="L114" s="686"/>
    </row>
    <row r="115" s="2481" customFormat="1" spans="1:12">
      <c r="A115" s="2842"/>
      <c r="D115" s="3153"/>
      <c r="K115" s="686"/>
      <c r="L115" s="686"/>
    </row>
    <row r="116" s="2481" customFormat="1" spans="1:12">
      <c r="A116" s="2842"/>
      <c r="D116" s="3153"/>
      <c r="K116" s="686"/>
      <c r="L116" s="686"/>
    </row>
    <row r="117" s="2481" customFormat="1" spans="1:12">
      <c r="A117" s="2842"/>
      <c r="D117" s="3153"/>
      <c r="K117" s="686"/>
      <c r="L117" s="686"/>
    </row>
    <row r="118" s="2481" customFormat="1" spans="1:12">
      <c r="A118" s="2842"/>
      <c r="D118" s="3153"/>
      <c r="K118" s="686"/>
      <c r="L118" s="686"/>
    </row>
    <row r="119" s="2481" customFormat="1" spans="1:12">
      <c r="A119" s="2842"/>
      <c r="D119" s="3153"/>
      <c r="K119" s="686"/>
      <c r="L119" s="686"/>
    </row>
    <row r="120" s="2481" customFormat="1" spans="1:12">
      <c r="A120" s="2842"/>
      <c r="D120" s="3153"/>
      <c r="K120" s="686"/>
      <c r="L120" s="686"/>
    </row>
    <row r="121" s="2481" customFormat="1" spans="1:12">
      <c r="A121" s="2842"/>
      <c r="D121" s="3153"/>
      <c r="K121" s="686"/>
      <c r="L121" s="686"/>
    </row>
    <row r="122" s="2481" customFormat="1" spans="1:12">
      <c r="A122" s="2842"/>
      <c r="D122" s="3153"/>
      <c r="K122" s="686"/>
      <c r="L122" s="686"/>
    </row>
    <row r="123" s="2481" customFormat="1" spans="1:12">
      <c r="A123" s="2842"/>
      <c r="D123" s="3153"/>
      <c r="K123" s="686"/>
      <c r="L123" s="686"/>
    </row>
    <row r="124" s="2481" customFormat="1" spans="1:12">
      <c r="A124" s="2842"/>
      <c r="D124" s="3153"/>
      <c r="K124" s="686"/>
      <c r="L124" s="686"/>
    </row>
    <row r="125" s="2481" customFormat="1" spans="1:12">
      <c r="A125" s="2842"/>
      <c r="D125" s="3153"/>
      <c r="K125" s="686"/>
      <c r="L125" s="686"/>
    </row>
    <row r="126" s="2481" customFormat="1" spans="1:12">
      <c r="A126" s="2842"/>
      <c r="D126" s="3153"/>
      <c r="K126" s="686"/>
      <c r="L126" s="686"/>
    </row>
    <row r="127" s="2481" customFormat="1" spans="1:12">
      <c r="A127" s="2842"/>
      <c r="D127" s="3153"/>
      <c r="K127" s="686"/>
      <c r="L127" s="686"/>
    </row>
    <row r="128" s="2481" customFormat="1" spans="1:12">
      <c r="A128" s="2842"/>
      <c r="D128" s="3153"/>
      <c r="K128" s="686"/>
      <c r="L128" s="686"/>
    </row>
    <row r="129" s="2481" customFormat="1" spans="1:12">
      <c r="A129" s="2842"/>
      <c r="D129" s="3153"/>
      <c r="K129" s="686"/>
      <c r="L129" s="686"/>
    </row>
    <row r="130" s="2481" customFormat="1" spans="1:12">
      <c r="A130" s="2842"/>
      <c r="D130" s="3153"/>
      <c r="K130" s="686"/>
      <c r="L130" s="686"/>
    </row>
    <row r="131" s="2481" customFormat="1" spans="1:12">
      <c r="A131" s="2842"/>
      <c r="D131" s="3153"/>
      <c r="K131" s="686"/>
      <c r="L131" s="686"/>
    </row>
    <row r="132" s="2481" customFormat="1" spans="1:12">
      <c r="A132" s="2842"/>
      <c r="D132" s="3153"/>
      <c r="K132" s="686"/>
      <c r="L132" s="686"/>
    </row>
    <row r="133" s="2481" customFormat="1" spans="1:12">
      <c r="A133" s="2842"/>
      <c r="D133" s="3153"/>
      <c r="K133" s="686"/>
      <c r="L133" s="686"/>
    </row>
    <row r="134" s="2949" customFormat="1" spans="1:12">
      <c r="A134" s="3154"/>
      <c r="D134" s="3155"/>
      <c r="K134" s="585"/>
      <c r="L134" s="585"/>
    </row>
    <row r="135" s="2949" customFormat="1" spans="1:12">
      <c r="A135" s="3154"/>
      <c r="D135" s="3155"/>
      <c r="K135" s="585"/>
      <c r="L135" s="585"/>
    </row>
    <row r="136" s="2949" customFormat="1" spans="1:12">
      <c r="A136" s="3154"/>
      <c r="D136" s="3155"/>
      <c r="K136" s="585"/>
      <c r="L136" s="585"/>
    </row>
    <row r="137" s="2949" customFormat="1" spans="1:12">
      <c r="A137" s="3154"/>
      <c r="D137" s="3155"/>
      <c r="K137" s="585"/>
      <c r="L137" s="585"/>
    </row>
    <row r="138" s="2949" customFormat="1" spans="1:12">
      <c r="A138" s="3154"/>
      <c r="D138" s="3155"/>
      <c r="K138" s="585"/>
      <c r="L138" s="585"/>
    </row>
    <row r="139" s="2949" customFormat="1" spans="1:12">
      <c r="A139" s="3154"/>
      <c r="D139" s="3155"/>
      <c r="K139" s="585"/>
      <c r="L139" s="585"/>
    </row>
    <row r="140" s="2949" customFormat="1" spans="1:12">
      <c r="A140" s="3154"/>
      <c r="D140" s="3155"/>
      <c r="K140" s="585"/>
      <c r="L140" s="585"/>
    </row>
    <row r="141" s="2949" customFormat="1" spans="1:12">
      <c r="A141" s="3154"/>
      <c r="D141" s="3155"/>
      <c r="K141" s="585"/>
      <c r="L141" s="585"/>
    </row>
    <row r="142" s="2949" customFormat="1" spans="1:12">
      <c r="A142" s="3154"/>
      <c r="D142" s="3155"/>
      <c r="K142" s="585"/>
      <c r="L142" s="585"/>
    </row>
    <row r="143" s="2949" customFormat="1" spans="1:12">
      <c r="A143" s="3154"/>
      <c r="D143" s="3155"/>
      <c r="K143" s="585"/>
      <c r="L143" s="585"/>
    </row>
    <row r="144" s="2949" customFormat="1" spans="1:12">
      <c r="A144" s="3154"/>
      <c r="D144" s="3155"/>
      <c r="K144" s="585"/>
      <c r="L144" s="585"/>
    </row>
    <row r="145" s="2949" customFormat="1" spans="1:12">
      <c r="A145" s="3154"/>
      <c r="D145" s="3155"/>
      <c r="K145" s="585"/>
      <c r="L145" s="585"/>
    </row>
    <row r="146" s="2949" customFormat="1" spans="1:12">
      <c r="A146" s="3154"/>
      <c r="D146" s="3155"/>
      <c r="K146" s="585"/>
      <c r="L146" s="585"/>
    </row>
    <row r="147" s="2949" customFormat="1" spans="1:12">
      <c r="A147" s="3154"/>
      <c r="D147" s="3155"/>
      <c r="K147" s="585"/>
      <c r="L147" s="585"/>
    </row>
    <row r="148" s="2949" customFormat="1" spans="1:12">
      <c r="A148" s="3154"/>
      <c r="D148" s="3155"/>
      <c r="K148" s="585"/>
      <c r="L148" s="585"/>
    </row>
    <row r="149" s="2949" customFormat="1" spans="1:12">
      <c r="A149" s="3154"/>
      <c r="D149" s="3155"/>
      <c r="K149" s="585"/>
      <c r="L149" s="585"/>
    </row>
    <row r="150" s="2949" customFormat="1" spans="1:12">
      <c r="A150" s="3154"/>
      <c r="D150" s="3155"/>
      <c r="K150" s="585"/>
      <c r="L150" s="585"/>
    </row>
    <row r="151" s="2949" customFormat="1" spans="1:12">
      <c r="A151" s="3154"/>
      <c r="D151" s="3155"/>
      <c r="K151" s="585"/>
      <c r="L151" s="585"/>
    </row>
    <row r="152" s="2949" customFormat="1" spans="1:12">
      <c r="A152" s="3154"/>
      <c r="D152" s="3155"/>
      <c r="K152" s="585"/>
      <c r="L152" s="585"/>
    </row>
    <row r="153" s="2949" customFormat="1" spans="1:12">
      <c r="A153" s="3154"/>
      <c r="D153" s="3155"/>
      <c r="K153" s="585"/>
      <c r="L153" s="585"/>
    </row>
    <row r="154" s="2949" customFormat="1" spans="1:12">
      <c r="A154" s="3154"/>
      <c r="D154" s="3155"/>
      <c r="K154" s="585"/>
      <c r="L154" s="585"/>
    </row>
    <row r="155" s="2949" customFormat="1" spans="1:12">
      <c r="A155" s="3154"/>
      <c r="D155" s="3155"/>
      <c r="K155" s="585"/>
      <c r="L155" s="585"/>
    </row>
    <row r="156" s="2949" customFormat="1" spans="1:12">
      <c r="A156" s="3154"/>
      <c r="D156" s="3155"/>
      <c r="K156" s="585"/>
      <c r="L156" s="585"/>
    </row>
    <row r="157" s="2949" customFormat="1" spans="1:12">
      <c r="A157" s="3154"/>
      <c r="D157" s="3155"/>
      <c r="K157" s="585"/>
      <c r="L157" s="585"/>
    </row>
    <row r="158" s="2949" customFormat="1" spans="1:12">
      <c r="A158" s="3154"/>
      <c r="D158" s="3155"/>
      <c r="K158" s="585"/>
      <c r="L158" s="585"/>
    </row>
    <row r="159" s="2949" customFormat="1" spans="1:12">
      <c r="A159" s="3154"/>
      <c r="D159" s="3155"/>
      <c r="K159" s="585"/>
      <c r="L159" s="585"/>
    </row>
    <row r="160" s="2949" customFormat="1" spans="1:12">
      <c r="A160" s="3154"/>
      <c r="D160" s="3155"/>
      <c r="K160" s="585"/>
      <c r="L160" s="585"/>
    </row>
    <row r="161" s="2949" customFormat="1" spans="1:12">
      <c r="A161" s="3154"/>
      <c r="D161" s="3155"/>
      <c r="K161" s="585"/>
      <c r="L161" s="585"/>
    </row>
    <row r="162" s="2949" customFormat="1" spans="1:12">
      <c r="A162" s="3154"/>
      <c r="D162" s="3155"/>
      <c r="K162" s="585"/>
      <c r="L162" s="585"/>
    </row>
    <row r="163" s="2949" customFormat="1" spans="1:12">
      <c r="A163" s="3154"/>
      <c r="D163" s="3155"/>
      <c r="K163" s="585"/>
      <c r="L163" s="585"/>
    </row>
    <row r="164" s="2949" customFormat="1" spans="1:12">
      <c r="A164" s="3154"/>
      <c r="D164" s="3155"/>
      <c r="K164" s="585"/>
      <c r="L164" s="585"/>
    </row>
    <row r="165" s="2949" customFormat="1" spans="1:12">
      <c r="A165" s="3154"/>
      <c r="D165" s="3155"/>
      <c r="K165" s="585"/>
      <c r="L165" s="585"/>
    </row>
    <row r="166" s="2949" customFormat="1" spans="1:12">
      <c r="A166" s="3154"/>
      <c r="D166" s="3155"/>
      <c r="K166" s="585"/>
      <c r="L166" s="585"/>
    </row>
    <row r="167" s="2949" customFormat="1" spans="1:12">
      <c r="A167" s="3154"/>
      <c r="D167" s="3155"/>
      <c r="K167" s="585"/>
      <c r="L167" s="585"/>
    </row>
    <row r="168" s="2949" customFormat="1" spans="1:12">
      <c r="A168" s="3154"/>
      <c r="D168" s="3155"/>
      <c r="K168" s="585"/>
      <c r="L168" s="585"/>
    </row>
    <row r="169" s="2949" customFormat="1" spans="1:12">
      <c r="A169" s="3154"/>
      <c r="D169" s="3155"/>
      <c r="K169" s="585"/>
      <c r="L169" s="585"/>
    </row>
    <row r="170" s="2949" customFormat="1" spans="1:12">
      <c r="A170" s="3154"/>
      <c r="D170" s="3155"/>
      <c r="K170" s="585"/>
      <c r="L170" s="585"/>
    </row>
    <row r="171" s="2949" customFormat="1" spans="1:12">
      <c r="A171" s="3154"/>
      <c r="D171" s="3155"/>
      <c r="K171" s="585"/>
      <c r="L171" s="585"/>
    </row>
    <row r="172" s="2949" customFormat="1" spans="1:12">
      <c r="A172" s="3154"/>
      <c r="D172" s="3155"/>
      <c r="K172" s="585"/>
      <c r="L172" s="585"/>
    </row>
    <row r="173" s="2949" customFormat="1" spans="1:12">
      <c r="A173" s="3154"/>
      <c r="D173" s="3155"/>
      <c r="K173" s="585"/>
      <c r="L173" s="585"/>
    </row>
    <row r="174" s="2949" customFormat="1" spans="1:12">
      <c r="A174" s="3154"/>
      <c r="D174" s="315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31"/>
  <sheetViews>
    <sheetView workbookViewId="0">
      <selection activeCell="V40" sqref="V40"/>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2" spans="2:20">
      <c r="B2" s="1319" t="s">
        <v>732</v>
      </c>
      <c r="I2" s="1319" t="s">
        <v>732</v>
      </c>
      <c r="P2" s="2939" t="s">
        <v>733</v>
      </c>
      <c r="Q2" s="2939">
        <v>3.8</v>
      </c>
      <c r="R2" s="2939" t="s">
        <v>734</v>
      </c>
      <c r="S2" s="2939">
        <v>0.8</v>
      </c>
      <c r="T2" s="2943">
        <f>3.8+S2*2</f>
        <v>5.4</v>
      </c>
    </row>
    <row r="3" spans="2:20">
      <c r="B3" s="2938" t="s">
        <v>733</v>
      </c>
      <c r="C3" s="2938">
        <v>3.8</v>
      </c>
      <c r="I3" s="2938" t="s">
        <v>735</v>
      </c>
      <c r="J3" s="2938">
        <v>1720</v>
      </c>
      <c r="K3" s="2938"/>
      <c r="P3" s="1319" t="s">
        <v>736</v>
      </c>
      <c r="Q3" s="1319">
        <v>3</v>
      </c>
      <c r="R3" s="1319" t="s">
        <v>737</v>
      </c>
      <c r="S3" s="1319">
        <f>S2</f>
        <v>0.8</v>
      </c>
      <c r="T3" s="2943">
        <f>Q3+S3</f>
        <v>3.8</v>
      </c>
    </row>
    <row r="4" spans="2:20">
      <c r="B4" s="2938" t="s">
        <v>736</v>
      </c>
      <c r="C4" s="2938">
        <v>3</v>
      </c>
      <c r="I4" s="2938" t="s">
        <v>738</v>
      </c>
      <c r="J4" s="2938">
        <v>-40</v>
      </c>
      <c r="K4" s="2938"/>
      <c r="S4" s="1319" t="s">
        <v>739</v>
      </c>
      <c r="T4" s="2943">
        <f>T2*T3</f>
        <v>20.52</v>
      </c>
    </row>
    <row r="5" spans="2:11">
      <c r="B5" s="1319" t="s">
        <v>740</v>
      </c>
      <c r="C5" s="1319">
        <f>C3*C4</f>
        <v>11.4</v>
      </c>
      <c r="I5" s="2938" t="s">
        <v>741</v>
      </c>
      <c r="J5" s="2938">
        <v>40</v>
      </c>
      <c r="K5" s="2938"/>
    </row>
    <row r="6" spans="2:20">
      <c r="B6" s="1319" t="s">
        <v>742</v>
      </c>
      <c r="C6" s="1319">
        <f>(C3+C4)*2</f>
        <v>13.6</v>
      </c>
      <c r="I6" s="2938" t="s">
        <v>743</v>
      </c>
      <c r="J6" s="2938">
        <f>ROUND(1-(2024-1985)/50*(1-2%),2)</f>
        <v>0.24</v>
      </c>
      <c r="K6" s="2942">
        <v>0.2</v>
      </c>
      <c r="P6" s="1319" t="s">
        <v>744</v>
      </c>
      <c r="Q6" s="1319" t="s">
        <v>745</v>
      </c>
      <c r="R6" s="1319" t="s">
        <v>746</v>
      </c>
      <c r="S6" s="1319" t="s">
        <v>740</v>
      </c>
      <c r="T6" s="1319">
        <f>1.8*0.72</f>
        <v>1.296</v>
      </c>
    </row>
    <row r="7" spans="2:20">
      <c r="B7" s="2938" t="s">
        <v>747</v>
      </c>
      <c r="C7" s="2938">
        <v>2.2</v>
      </c>
      <c r="I7" s="2938" t="s">
        <v>748</v>
      </c>
      <c r="J7" s="2938">
        <v>1.19</v>
      </c>
      <c r="K7" s="2942">
        <v>0.8</v>
      </c>
      <c r="S7" s="1319" t="s">
        <v>749</v>
      </c>
      <c r="T7" s="2943">
        <f>ROUNDUP(T4/T6*(1+T8),0)</f>
        <v>17</v>
      </c>
    </row>
    <row r="8" spans="2:20">
      <c r="B8" s="2938" t="s">
        <v>750</v>
      </c>
      <c r="C8" s="2938">
        <v>0.691</v>
      </c>
      <c r="D8" s="1319" t="s">
        <v>751</v>
      </c>
      <c r="I8" s="2938" t="s">
        <v>752</v>
      </c>
      <c r="J8" s="2938">
        <f>ROUND((J6*K6+J7*K7),2)</f>
        <v>1</v>
      </c>
      <c r="K8" s="2938"/>
      <c r="S8" s="1319" t="s">
        <v>753</v>
      </c>
      <c r="T8" s="2944">
        <v>0.05</v>
      </c>
    </row>
    <row r="9" spans="2:11">
      <c r="B9" s="2938" t="s">
        <v>754</v>
      </c>
      <c r="C9" s="2938">
        <v>20</v>
      </c>
      <c r="D9" s="1319" t="s">
        <v>755</v>
      </c>
      <c r="I9" s="2938" t="s">
        <v>756</v>
      </c>
      <c r="J9" s="2938">
        <v>1.3052</v>
      </c>
      <c r="K9" s="2938"/>
    </row>
    <row r="10" spans="2:11">
      <c r="B10" s="2939" t="s">
        <v>757</v>
      </c>
      <c r="C10" s="2939">
        <f>C5/C9</f>
        <v>0.57</v>
      </c>
      <c r="I10" s="2938" t="s">
        <v>758</v>
      </c>
      <c r="J10" s="2938">
        <v>0</v>
      </c>
      <c r="K10" s="2938"/>
    </row>
    <row r="11" spans="2:20">
      <c r="B11" s="2938" t="s">
        <v>759</v>
      </c>
      <c r="C11" s="2938">
        <v>0.5</v>
      </c>
      <c r="I11" s="2938" t="s">
        <v>581</v>
      </c>
      <c r="J11" s="2938">
        <f>'数据-基础表'!I13</f>
        <v>684.1</v>
      </c>
      <c r="K11" s="2938"/>
      <c r="S11" s="1319" t="s">
        <v>760</v>
      </c>
      <c r="T11" s="2943">
        <f>ROUND(23.5*T7,0)</f>
        <v>400</v>
      </c>
    </row>
    <row r="12" spans="2:20">
      <c r="B12" s="2938" t="s">
        <v>761</v>
      </c>
      <c r="C12" s="2938">
        <v>1</v>
      </c>
      <c r="D12" s="1319" t="s">
        <v>762</v>
      </c>
      <c r="Q12" s="1319" t="s">
        <v>763</v>
      </c>
      <c r="R12" s="1319" t="s">
        <v>764</v>
      </c>
      <c r="S12" s="1319" t="s">
        <v>765</v>
      </c>
      <c r="T12" s="1319">
        <v>800</v>
      </c>
    </row>
    <row r="13" spans="2:20">
      <c r="B13" s="1319" t="s">
        <v>766</v>
      </c>
      <c r="C13" s="1319">
        <v>295</v>
      </c>
      <c r="I13" s="1319" t="s">
        <v>767</v>
      </c>
      <c r="J13" s="1319">
        <f>ROUND((J3+J4+J5)*J8*J9*J11+J10,0)</f>
        <v>1535766</v>
      </c>
      <c r="Q13" s="1319" t="s">
        <v>768</v>
      </c>
      <c r="R13" s="1319" t="s">
        <v>769</v>
      </c>
      <c r="S13" s="1319" t="s">
        <v>354</v>
      </c>
      <c r="T13" s="2945">
        <f>T11+T12</f>
        <v>1200</v>
      </c>
    </row>
    <row r="14" spans="2:10">
      <c r="B14" s="2938" t="s">
        <v>770</v>
      </c>
      <c r="C14" s="2938">
        <v>1.3027</v>
      </c>
      <c r="D14" s="1319" t="s">
        <v>771</v>
      </c>
      <c r="I14" s="1319" t="s">
        <v>772</v>
      </c>
      <c r="J14" s="1319">
        <f>ROUND(J13/J11,0)</f>
        <v>2245</v>
      </c>
    </row>
    <row r="15" spans="1:3">
      <c r="A15" s="2940">
        <v>1</v>
      </c>
      <c r="B15" s="2941" t="s">
        <v>773</v>
      </c>
      <c r="C15" s="2941">
        <v>4.64</v>
      </c>
    </row>
    <row r="16" spans="1:3">
      <c r="A16" s="2940">
        <v>2</v>
      </c>
      <c r="B16" s="2941" t="s">
        <v>774</v>
      </c>
      <c r="C16" s="2941">
        <v>3.08</v>
      </c>
    </row>
    <row r="17" spans="1:3">
      <c r="A17" s="2940">
        <v>3</v>
      </c>
      <c r="B17" s="2941" t="s">
        <v>775</v>
      </c>
      <c r="C17" s="2941">
        <v>40.1</v>
      </c>
    </row>
    <row r="18" spans="1:3">
      <c r="A18" s="2940"/>
      <c r="B18" s="2937" t="s">
        <v>776</v>
      </c>
      <c r="C18" s="2937">
        <f>ROUND(1.7647*C6/C5,6)</f>
        <v>2.105256</v>
      </c>
    </row>
    <row r="19" spans="1:3">
      <c r="A19" s="2940"/>
      <c r="B19" s="2941" t="s">
        <v>777</v>
      </c>
      <c r="C19" s="2941">
        <v>1.1</v>
      </c>
    </row>
    <row r="20" spans="1:3">
      <c r="A20" s="2940"/>
      <c r="B20" s="2937" t="s">
        <v>778</v>
      </c>
      <c r="C20" s="2937">
        <f>ROUND(C17*C18*C19,4)</f>
        <v>92.8628</v>
      </c>
    </row>
    <row r="21" spans="1:3">
      <c r="A21" s="2940">
        <v>4</v>
      </c>
      <c r="B21" s="2941" t="s">
        <v>779</v>
      </c>
      <c r="C21" s="2941">
        <v>5.04</v>
      </c>
    </row>
    <row r="22" spans="1:3">
      <c r="A22" s="2940">
        <v>5</v>
      </c>
      <c r="B22" s="2941" t="s">
        <v>780</v>
      </c>
      <c r="C22" s="2941">
        <v>0</v>
      </c>
    </row>
    <row r="23" spans="1:3">
      <c r="A23" s="2940">
        <v>6</v>
      </c>
      <c r="B23" s="2941" t="s">
        <v>781</v>
      </c>
      <c r="C23" s="2941">
        <v>5.28</v>
      </c>
    </row>
    <row r="24" spans="1:3">
      <c r="A24" s="2940">
        <v>7</v>
      </c>
      <c r="B24" s="2941" t="s">
        <v>667</v>
      </c>
      <c r="C24" s="2941">
        <v>0</v>
      </c>
    </row>
    <row r="25" spans="1:3">
      <c r="A25" s="2940">
        <v>8</v>
      </c>
      <c r="B25" s="2941" t="s">
        <v>670</v>
      </c>
      <c r="C25" s="2941">
        <v>0</v>
      </c>
    </row>
    <row r="26" spans="1:3">
      <c r="A26" s="2940">
        <v>9</v>
      </c>
      <c r="B26" s="2941" t="s">
        <v>782</v>
      </c>
      <c r="C26" s="2941">
        <v>0</v>
      </c>
    </row>
    <row r="27" spans="1:3">
      <c r="A27" s="2940">
        <v>10</v>
      </c>
      <c r="B27" s="2941" t="s">
        <v>783</v>
      </c>
      <c r="C27" s="2941">
        <v>0</v>
      </c>
    </row>
    <row r="30" spans="2:3">
      <c r="B30" s="1319" t="s">
        <v>767</v>
      </c>
      <c r="C30" s="1319">
        <f>ROUND(((C15+C16+C22+C23+(C20+C21)*C8)*C10*C12+C24*C12+C25*C12+C26*C12)*C13*C14+C27,0)</f>
        <v>17666</v>
      </c>
    </row>
    <row r="31" spans="2:3">
      <c r="B31" s="1319" t="s">
        <v>772</v>
      </c>
      <c r="C31" s="1319">
        <f>ROUND(C30/C5,0)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20" sqref="G20"/>
    </sheetView>
  </sheetViews>
  <sheetFormatPr defaultColWidth="9" defaultRowHeight="14.25" outlineLevelRow="7"/>
  <cols>
    <col min="1" max="5" width="9" style="2936"/>
    <col min="6" max="6" width="37.5" style="2936" customWidth="1"/>
    <col min="7" max="7" width="17.25" style="2936" customWidth="1"/>
    <col min="8" max="8" width="7.5" style="2936" customWidth="1"/>
    <col min="9" max="16384" width="9" style="2936"/>
  </cols>
  <sheetData>
    <row r="5" spans="5:13">
      <c r="E5" s="2937" t="s">
        <v>784</v>
      </c>
      <c r="F5" s="2937" t="s">
        <v>785</v>
      </c>
      <c r="G5" s="2937" t="s">
        <v>786</v>
      </c>
      <c r="H5" s="2937" t="s">
        <v>787</v>
      </c>
      <c r="I5" s="2937" t="s">
        <v>581</v>
      </c>
      <c r="J5" s="2937" t="s">
        <v>788</v>
      </c>
      <c r="K5" s="2937" t="s">
        <v>789</v>
      </c>
      <c r="L5" s="2937" t="s">
        <v>790</v>
      </c>
      <c r="M5" s="2937" t="s">
        <v>791</v>
      </c>
    </row>
    <row r="6" spans="5:13">
      <c r="E6" s="2937">
        <v>1</v>
      </c>
      <c r="F6" s="2937" t="s">
        <v>792</v>
      </c>
      <c r="G6" s="2937" t="s">
        <v>793</v>
      </c>
      <c r="H6" s="2937" t="s">
        <v>794</v>
      </c>
      <c r="I6" s="2937">
        <v>684.1</v>
      </c>
      <c r="J6" s="2937">
        <v>3</v>
      </c>
      <c r="K6" s="2937" t="s">
        <v>795</v>
      </c>
      <c r="L6" s="2937">
        <v>1985</v>
      </c>
      <c r="M6" s="2937" t="s">
        <v>552</v>
      </c>
    </row>
    <row r="7" spans="5:13">
      <c r="E7" s="2937">
        <v>2</v>
      </c>
      <c r="F7" s="2937" t="s">
        <v>796</v>
      </c>
      <c r="G7" s="2937" t="s">
        <v>793</v>
      </c>
      <c r="H7" s="2937" t="s">
        <v>794</v>
      </c>
      <c r="I7" s="2937">
        <v>11.4</v>
      </c>
      <c r="J7" s="2937">
        <v>1</v>
      </c>
      <c r="K7" s="2937" t="s">
        <v>797</v>
      </c>
      <c r="L7" s="2937">
        <v>1990</v>
      </c>
      <c r="M7" s="2937" t="s">
        <v>552</v>
      </c>
    </row>
    <row r="8" spans="5:13">
      <c r="E8" s="2937" t="s">
        <v>354</v>
      </c>
      <c r="F8" s="2937"/>
      <c r="G8" s="2937"/>
      <c r="H8" s="2937"/>
      <c r="I8" s="2937">
        <f>SUM(I6:I7)</f>
        <v>695.5</v>
      </c>
      <c r="J8" s="2937"/>
      <c r="K8" s="2937"/>
      <c r="L8" s="2937"/>
      <c r="M8" s="2937"/>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98"/>
    <col min="30" max="16384" width="9" style="2865"/>
  </cols>
  <sheetData>
    <row r="1" s="2863" customFormat="1" ht="18.75" spans="1:29">
      <c r="A1" s="2872" t="s">
        <v>798</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799</v>
      </c>
      <c r="D2" s="2878"/>
      <c r="E2" s="2875"/>
      <c r="F2" s="2879"/>
      <c r="G2" s="2877" t="s">
        <v>800</v>
      </c>
      <c r="H2" s="2398"/>
      <c r="I2" s="2398"/>
      <c r="J2" s="2398"/>
      <c r="K2" s="2398"/>
      <c r="L2" s="2398"/>
      <c r="M2" s="2398"/>
      <c r="N2" s="2398"/>
      <c r="O2" s="2398"/>
      <c r="P2" s="2398"/>
      <c r="Q2" s="2398"/>
      <c r="R2" s="2398"/>
    </row>
    <row r="3" ht="48" spans="1:18">
      <c r="A3" s="2880" t="s">
        <v>801</v>
      </c>
      <c r="B3" s="2881" t="s">
        <v>802</v>
      </c>
      <c r="C3" s="2882" t="s">
        <v>803</v>
      </c>
      <c r="D3" s="2883"/>
      <c r="E3" s="2884" t="s">
        <v>801</v>
      </c>
      <c r="F3" s="2885" t="s">
        <v>804</v>
      </c>
      <c r="G3" s="2886" t="s">
        <v>805</v>
      </c>
      <c r="H3" s="2398"/>
      <c r="I3" s="2398"/>
      <c r="J3" s="2398"/>
      <c r="K3" s="2398"/>
      <c r="L3" s="2398"/>
      <c r="M3" s="2398"/>
      <c r="N3" s="2398"/>
      <c r="O3" s="2398"/>
      <c r="P3" s="2398"/>
      <c r="Q3" s="2398"/>
      <c r="R3" s="2398"/>
    </row>
    <row r="4" ht="36.75" spans="1:18">
      <c r="A4" s="2884"/>
      <c r="B4" s="1445" t="s">
        <v>806</v>
      </c>
      <c r="C4" s="2887" t="s">
        <v>807</v>
      </c>
      <c r="D4" s="2883"/>
      <c r="E4" s="2888"/>
      <c r="F4" s="2392" t="s">
        <v>808</v>
      </c>
      <c r="G4" s="2889" t="s">
        <v>809</v>
      </c>
      <c r="H4" s="2398"/>
      <c r="I4" s="2398"/>
      <c r="J4" s="2398"/>
      <c r="K4" s="2398"/>
      <c r="L4" s="2398"/>
      <c r="M4" s="2398"/>
      <c r="N4" s="2398"/>
      <c r="O4" s="2398"/>
      <c r="P4" s="2398"/>
      <c r="Q4" s="2398"/>
      <c r="R4" s="2398"/>
    </row>
    <row r="5" ht="36.75" spans="1:18">
      <c r="A5" s="2884"/>
      <c r="B5" s="1445" t="s">
        <v>810</v>
      </c>
      <c r="C5" s="2887" t="s">
        <v>811</v>
      </c>
      <c r="D5" s="2883"/>
      <c r="E5" s="2888"/>
      <c r="F5" s="1445" t="s">
        <v>553</v>
      </c>
      <c r="G5" s="2889" t="s">
        <v>812</v>
      </c>
      <c r="H5" s="2398"/>
      <c r="I5" s="2398"/>
      <c r="J5" s="2398"/>
      <c r="K5" s="2398"/>
      <c r="L5" s="2398"/>
      <c r="M5" s="2398"/>
      <c r="N5" s="2398"/>
      <c r="O5" s="2398"/>
      <c r="P5" s="2398"/>
      <c r="Q5" s="2398"/>
      <c r="R5" s="2398"/>
    </row>
    <row r="6" ht="36" spans="1:18">
      <c r="A6" s="2884"/>
      <c r="B6" s="1445" t="s">
        <v>808</v>
      </c>
      <c r="C6" s="2889" t="s">
        <v>809</v>
      </c>
      <c r="D6" s="2883"/>
      <c r="E6" s="2888"/>
      <c r="F6" s="1445" t="s">
        <v>813</v>
      </c>
      <c r="G6" s="2889" t="s">
        <v>814</v>
      </c>
      <c r="H6" s="2398"/>
      <c r="I6" s="2398"/>
      <c r="J6" s="2398"/>
      <c r="K6" s="2398"/>
      <c r="L6" s="2398"/>
      <c r="M6" s="2398"/>
      <c r="N6" s="2398"/>
      <c r="O6" s="2398"/>
      <c r="P6" s="2398"/>
      <c r="Q6" s="2398"/>
      <c r="R6" s="2398"/>
    </row>
    <row r="7" ht="24.75" spans="1:18">
      <c r="A7" s="2884"/>
      <c r="B7" s="1445" t="s">
        <v>553</v>
      </c>
      <c r="C7" s="2889" t="s">
        <v>812</v>
      </c>
      <c r="D7" s="2890"/>
      <c r="E7" s="2891"/>
      <c r="F7" s="2892" t="s">
        <v>815</v>
      </c>
      <c r="G7" s="2893" t="s">
        <v>816</v>
      </c>
      <c r="H7" s="2398"/>
      <c r="I7" s="2398"/>
      <c r="J7" s="2398"/>
      <c r="K7" s="2398"/>
      <c r="L7" s="2398"/>
      <c r="M7" s="2398"/>
      <c r="N7" s="2398"/>
      <c r="O7" s="2398"/>
      <c r="P7" s="2398"/>
      <c r="Q7" s="2398"/>
      <c r="R7" s="2398"/>
    </row>
    <row r="8" spans="1:18">
      <c r="A8" s="2884"/>
      <c r="B8" s="1445" t="s">
        <v>813</v>
      </c>
      <c r="C8" s="2889" t="s">
        <v>814</v>
      </c>
      <c r="D8" s="2890"/>
      <c r="E8" s="2890"/>
      <c r="F8" s="1569"/>
      <c r="G8" s="1569"/>
      <c r="H8" s="2398"/>
      <c r="I8" s="2398"/>
      <c r="J8" s="2398"/>
      <c r="K8" s="2398"/>
      <c r="L8" s="2398"/>
      <c r="M8" s="2398"/>
      <c r="N8" s="2398"/>
      <c r="O8" s="2398"/>
      <c r="P8" s="2398"/>
      <c r="Q8" s="2398"/>
      <c r="R8" s="2398"/>
    </row>
    <row r="9" ht="24" spans="1:18">
      <c r="A9" s="2884"/>
      <c r="B9" s="1445" t="s">
        <v>817</v>
      </c>
      <c r="C9" s="2887" t="s">
        <v>818</v>
      </c>
      <c r="D9" s="2883"/>
      <c r="E9" s="2890"/>
      <c r="F9" s="1569"/>
      <c r="G9" s="1569"/>
      <c r="H9" s="2398"/>
      <c r="I9" s="2398"/>
      <c r="J9" s="2398"/>
      <c r="K9" s="2398"/>
      <c r="L9" s="2398"/>
      <c r="M9" s="2398"/>
      <c r="N9" s="2398"/>
      <c r="O9" s="2398"/>
      <c r="P9" s="2398"/>
      <c r="Q9" s="2398"/>
      <c r="R9" s="2398"/>
    </row>
    <row r="10" s="2864" customFormat="1" ht="15" spans="1:29">
      <c r="A10" s="2894"/>
      <c r="B10" s="2895" t="s">
        <v>819</v>
      </c>
      <c r="C10" s="2896"/>
      <c r="D10" s="2883"/>
      <c r="E10" s="2883"/>
      <c r="F10" s="1569"/>
      <c r="G10" s="1569"/>
      <c r="H10" s="2897"/>
      <c r="I10" s="2927"/>
      <c r="J10" s="2928"/>
      <c r="K10" s="2897"/>
      <c r="L10" s="2927"/>
      <c r="M10" s="2928"/>
      <c r="N10" s="2897"/>
      <c r="O10" s="2927"/>
      <c r="P10" s="2928"/>
      <c r="Q10" s="2897"/>
      <c r="R10" s="2927"/>
      <c r="S10" s="2398"/>
      <c r="T10" s="2398"/>
      <c r="U10" s="2398"/>
      <c r="V10" s="2398"/>
      <c r="W10" s="2398"/>
      <c r="X10" s="2398"/>
      <c r="Y10" s="2398"/>
      <c r="Z10" s="2398"/>
      <c r="AA10" s="2398"/>
      <c r="AB10" s="2398"/>
      <c r="AC10" s="2398"/>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98"/>
      <c r="T11" s="2398"/>
      <c r="U11" s="2398"/>
      <c r="V11" s="2398"/>
      <c r="W11" s="2398"/>
      <c r="X11" s="2398"/>
      <c r="Y11" s="2398"/>
      <c r="Z11" s="2398"/>
      <c r="AA11" s="2398"/>
      <c r="AB11" s="2398"/>
      <c r="AC11" s="2398"/>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820</v>
      </c>
      <c r="B13" s="2900"/>
      <c r="C13" s="2900"/>
      <c r="D13" s="2898"/>
      <c r="E13" s="2900"/>
      <c r="F13" s="2900"/>
      <c r="G13" s="2900"/>
    </row>
    <row r="14" spans="1:7">
      <c r="A14" s="2903"/>
      <c r="B14" s="2903"/>
      <c r="C14" s="2904" t="s">
        <v>799</v>
      </c>
      <c r="D14" s="2883"/>
      <c r="E14" s="2905"/>
      <c r="F14" s="2905"/>
      <c r="G14" s="2877" t="s">
        <v>800</v>
      </c>
    </row>
    <row r="15" ht="48" spans="1:7">
      <c r="A15" s="2906" t="s">
        <v>801</v>
      </c>
      <c r="B15" s="2907" t="s">
        <v>802</v>
      </c>
      <c r="C15" s="2908" t="str">
        <f>C3</f>
        <v>估价对象周边居住用地比例、居住小区规模和社区发展完善程度，综合评价居住社区成熟度一般</v>
      </c>
      <c r="D15" s="2883"/>
      <c r="E15" s="2909" t="s">
        <v>801</v>
      </c>
      <c r="F15" s="2907" t="s">
        <v>804</v>
      </c>
      <c r="G15" s="2910" t="str">
        <f>G3</f>
        <v>估价对象位于XX开发区，园区建设成熟度XX，产业集聚程度XX</v>
      </c>
    </row>
    <row r="16" ht="36.75" spans="1:7">
      <c r="A16" s="2911"/>
      <c r="B16" s="2912" t="s">
        <v>806</v>
      </c>
      <c r="C16" s="2913" t="str">
        <f>C4</f>
        <v>估价对象位于XX商圈，周边商业氛围成熟，人流量大，商业繁华度好</v>
      </c>
      <c r="D16" s="2883"/>
      <c r="E16" s="2914"/>
      <c r="F16" s="2915" t="s">
        <v>808</v>
      </c>
      <c r="G16" s="2916" t="str">
        <f>G4</f>
        <v>估价对象周边道路状况、公共交通通达情况、停车便捷程度，综合评价交通便捷度较好</v>
      </c>
    </row>
    <row r="17" ht="36.75" spans="1:7">
      <c r="A17" s="2911"/>
      <c r="B17" s="2912" t="s">
        <v>810</v>
      </c>
      <c r="C17" s="2913" t="str">
        <f>C5</f>
        <v>估价对象位于XX商圈，周边办公楼项目较多，入驻率高，办公集聚程度较好</v>
      </c>
      <c r="D17" s="2890"/>
      <c r="E17" s="2914"/>
      <c r="F17" s="2915" t="s">
        <v>821</v>
      </c>
      <c r="G17" s="2917"/>
    </row>
    <row r="18" ht="36" spans="1:7">
      <c r="A18" s="2911"/>
      <c r="B18" s="2915" t="s">
        <v>808</v>
      </c>
      <c r="C18" s="2916" t="str">
        <f>C6</f>
        <v>估价对象周边道路状况、公共交通通达情况、停车便捷程度，综合评价交通便捷度较好</v>
      </c>
      <c r="D18" s="2890"/>
      <c r="E18" s="2914"/>
      <c r="F18" s="2915" t="s">
        <v>815</v>
      </c>
      <c r="G18" s="2916" t="str">
        <f>G7</f>
        <v>该园区内是否有污染型企业，绿化情况，卫生条件，整体环境状况判断</v>
      </c>
    </row>
    <row r="19" ht="24" spans="1:7">
      <c r="A19" s="2911"/>
      <c r="B19" s="2915" t="s">
        <v>821</v>
      </c>
      <c r="C19" s="2917"/>
      <c r="D19" s="2883"/>
      <c r="E19" s="2914"/>
      <c r="F19" s="1445" t="s">
        <v>553</v>
      </c>
      <c r="G19" s="2916" t="str">
        <f>G5</f>
        <v>估价对象所在区域公共配套设施齐备情况</v>
      </c>
    </row>
    <row r="20" ht="24" spans="1:7">
      <c r="A20" s="2911"/>
      <c r="B20" s="2915" t="s">
        <v>822</v>
      </c>
      <c r="C20" s="2913" t="str">
        <f>C9</f>
        <v>区域自然环境：；人文环境；综合评价环境状况一般</v>
      </c>
      <c r="D20" s="2890"/>
      <c r="E20" s="2914"/>
      <c r="F20" s="1445" t="s">
        <v>813</v>
      </c>
      <c r="G20" s="2916" t="str">
        <f>G6</f>
        <v>估价对象所在区域基础设施水平</v>
      </c>
    </row>
    <row r="21" ht="24" spans="1:7">
      <c r="A21" s="2911"/>
      <c r="B21" s="1445" t="s">
        <v>553</v>
      </c>
      <c r="C21" s="2916" t="str">
        <f>C7</f>
        <v>估价对象所在区域公共配套设施齐备情况</v>
      </c>
      <c r="D21" s="2883"/>
      <c r="E21" s="2914"/>
      <c r="F21" s="2915" t="s">
        <v>823</v>
      </c>
      <c r="G21" s="2918"/>
    </row>
    <row r="22" ht="13.5" customHeight="1" spans="1:7">
      <c r="A22" s="2911"/>
      <c r="B22" s="1445" t="s">
        <v>813</v>
      </c>
      <c r="C22" s="2916" t="str">
        <f>C8</f>
        <v>估价对象所在区域基础设施水平</v>
      </c>
      <c r="D22" s="2883"/>
      <c r="E22" s="2914"/>
      <c r="F22" s="2915" t="s">
        <v>819</v>
      </c>
      <c r="G22" s="2917"/>
    </row>
    <row r="23" s="2398" customFormat="1" ht="15" spans="1:18">
      <c r="A23" s="2911"/>
      <c r="B23" s="2915" t="s">
        <v>823</v>
      </c>
      <c r="C23" s="2918"/>
      <c r="D23" s="2842"/>
      <c r="E23" s="2919"/>
      <c r="F23" s="2920" t="s">
        <v>501</v>
      </c>
      <c r="G23" s="2921"/>
      <c r="H23" s="2869"/>
      <c r="I23" s="2870"/>
      <c r="J23" s="2869"/>
      <c r="K23" s="2869"/>
      <c r="L23" s="2870"/>
      <c r="M23" s="2869"/>
      <c r="N23" s="2869"/>
      <c r="O23" s="2870"/>
      <c r="P23" s="2869"/>
      <c r="Q23" s="2869"/>
      <c r="R23" s="2871"/>
    </row>
    <row r="24" s="2398" customFormat="1" ht="15" spans="1:18">
      <c r="A24" s="2922"/>
      <c r="B24" s="2920" t="s">
        <v>819</v>
      </c>
      <c r="C24" s="2923">
        <f>C10</f>
        <v>0</v>
      </c>
      <c r="D24" s="2842"/>
      <c r="E24" s="2924"/>
      <c r="F24" s="2924"/>
      <c r="G24" s="2925"/>
      <c r="H24" s="2869"/>
      <c r="I24" s="2870"/>
      <c r="J24" s="2869"/>
      <c r="K24" s="2869"/>
      <c r="L24" s="2870"/>
      <c r="M24" s="2869"/>
      <c r="N24" s="2869"/>
      <c r="O24" s="2870"/>
      <c r="P24" s="2869"/>
      <c r="Q24" s="2869"/>
      <c r="R24" s="2871"/>
    </row>
    <row r="25" s="2398" customFormat="1" spans="2:18">
      <c r="B25" s="2869"/>
      <c r="C25" s="2869"/>
      <c r="D25" s="2869"/>
      <c r="H25" s="2869"/>
      <c r="I25" s="2870"/>
      <c r="J25" s="2869"/>
      <c r="K25" s="2869"/>
      <c r="L25" s="2870"/>
      <c r="M25" s="2869"/>
      <c r="N25" s="2869"/>
      <c r="O25" s="2870"/>
      <c r="P25" s="2869"/>
      <c r="Q25" s="2869"/>
      <c r="R25" s="2871"/>
    </row>
    <row r="26" s="2398" customFormat="1" spans="2:18">
      <c r="B26" s="2869"/>
      <c r="C26" s="2869"/>
      <c r="D26" s="2869"/>
      <c r="H26" s="2869"/>
      <c r="I26" s="2870"/>
      <c r="J26" s="2869"/>
      <c r="K26" s="2869"/>
      <c r="L26" s="2870"/>
      <c r="M26" s="2869"/>
      <c r="N26" s="2869"/>
      <c r="O26" s="2870"/>
      <c r="P26" s="2869"/>
      <c r="Q26" s="2869"/>
      <c r="R26" s="2871"/>
    </row>
    <row r="27" s="2398" customFormat="1" spans="2:18">
      <c r="B27" s="2869"/>
      <c r="C27" s="2869"/>
      <c r="D27" s="2869"/>
      <c r="H27" s="2869"/>
      <c r="I27" s="2870"/>
      <c r="J27" s="2869"/>
      <c r="K27" s="2869"/>
      <c r="L27" s="2870"/>
      <c r="M27" s="2869"/>
      <c r="N27" s="2869"/>
      <c r="O27" s="2870"/>
      <c r="P27" s="2869"/>
      <c r="Q27" s="2869"/>
      <c r="R27" s="2871"/>
    </row>
    <row r="28" s="2398" customFormat="1" spans="2:18">
      <c r="B28" s="2869"/>
      <c r="C28" s="2869"/>
      <c r="D28" s="2869"/>
      <c r="H28" s="2869"/>
      <c r="I28" s="2870"/>
      <c r="J28" s="2869"/>
      <c r="K28" s="2869"/>
      <c r="L28" s="2870"/>
      <c r="M28" s="2869"/>
      <c r="N28" s="2869"/>
      <c r="O28" s="2870"/>
      <c r="P28" s="2869"/>
      <c r="Q28" s="2869"/>
      <c r="R28" s="2871"/>
    </row>
    <row r="29" s="2398" customFormat="1" spans="2:18">
      <c r="B29" s="2869"/>
      <c r="C29" s="2869"/>
      <c r="D29" s="2869"/>
      <c r="H29" s="2869"/>
      <c r="I29" s="2870"/>
      <c r="J29" s="2869"/>
      <c r="K29" s="2869"/>
      <c r="L29" s="2870"/>
      <c r="M29" s="2869"/>
      <c r="N29" s="2869"/>
      <c r="O29" s="2870"/>
      <c r="P29" s="2869"/>
      <c r="Q29" s="2869"/>
      <c r="R29" s="2871"/>
    </row>
    <row r="30" s="2398" customFormat="1" spans="2:18">
      <c r="B30" s="2869"/>
      <c r="C30" s="2869"/>
      <c r="D30" s="2869"/>
      <c r="H30" s="2869"/>
      <c r="I30" s="2870"/>
      <c r="J30" s="2869"/>
      <c r="K30" s="2869"/>
      <c r="L30" s="2870"/>
      <c r="M30" s="2869"/>
      <c r="N30" s="2869"/>
      <c r="O30" s="2870"/>
      <c r="P30" s="2869"/>
      <c r="Q30" s="2869"/>
      <c r="R30" s="2871"/>
    </row>
    <row r="31" s="2398" customFormat="1" spans="2:18">
      <c r="B31" s="2869"/>
      <c r="C31" s="2869"/>
      <c r="D31" s="2869"/>
      <c r="H31" s="2869"/>
      <c r="I31" s="2870"/>
      <c r="J31" s="2869"/>
      <c r="K31" s="2869"/>
      <c r="L31" s="2870"/>
      <c r="M31" s="2869"/>
      <c r="N31" s="2869"/>
      <c r="O31" s="2870"/>
      <c r="P31" s="2869"/>
      <c r="Q31" s="2869"/>
      <c r="R31" s="2871"/>
    </row>
    <row r="32" s="2398" customFormat="1" spans="2:18">
      <c r="B32" s="2869"/>
      <c r="C32" s="2869"/>
      <c r="D32" s="2869"/>
      <c r="H32" s="2869"/>
      <c r="I32" s="2870"/>
      <c r="J32" s="2869"/>
      <c r="K32" s="2869"/>
      <c r="L32" s="2870"/>
      <c r="M32" s="2869"/>
      <c r="N32" s="2869"/>
      <c r="O32" s="2870"/>
      <c r="P32" s="2869"/>
      <c r="Q32" s="2869"/>
      <c r="R32" s="2871"/>
    </row>
    <row r="33" s="2398" customFormat="1" spans="2:18">
      <c r="B33" s="2869"/>
      <c r="C33" s="2869"/>
      <c r="D33" s="2869"/>
      <c r="H33" s="2869"/>
      <c r="I33" s="2870"/>
      <c r="J33" s="2869"/>
      <c r="K33" s="2869"/>
      <c r="L33" s="2870"/>
      <c r="M33" s="2869"/>
      <c r="N33" s="2869"/>
      <c r="O33" s="2870"/>
      <c r="P33" s="2869"/>
      <c r="Q33" s="2869"/>
      <c r="R33" s="2871"/>
    </row>
    <row r="34" s="2398" customFormat="1" spans="2:18">
      <c r="B34" s="2869"/>
      <c r="C34" s="2869"/>
      <c r="D34" s="2869"/>
      <c r="H34" s="2869"/>
      <c r="I34" s="2870"/>
      <c r="J34" s="2869"/>
      <c r="K34" s="2869"/>
      <c r="L34" s="2870"/>
      <c r="M34" s="2869"/>
      <c r="N34" s="2869"/>
      <c r="O34" s="2870"/>
      <c r="P34" s="2869"/>
      <c r="Q34" s="2869"/>
      <c r="R34" s="2871"/>
    </row>
    <row r="35" s="2398" customFormat="1" spans="2:18">
      <c r="B35" s="2869"/>
      <c r="C35" s="2869"/>
      <c r="D35" s="2869"/>
      <c r="H35" s="2869"/>
      <c r="I35" s="2870"/>
      <c r="J35" s="2869"/>
      <c r="K35" s="2869"/>
      <c r="L35" s="2870"/>
      <c r="M35" s="2869"/>
      <c r="N35" s="2869"/>
      <c r="O35" s="2870"/>
      <c r="P35" s="2869"/>
      <c r="Q35" s="2869"/>
      <c r="R35" s="2871"/>
    </row>
    <row r="36" s="2398" customFormat="1" spans="2:18">
      <c r="B36" s="2869"/>
      <c r="C36" s="2869"/>
      <c r="D36" s="2869"/>
      <c r="H36" s="2869"/>
      <c r="I36" s="2870"/>
      <c r="J36" s="2869"/>
      <c r="K36" s="2869"/>
      <c r="L36" s="2870"/>
      <c r="M36" s="2869"/>
      <c r="N36" s="2869"/>
      <c r="O36" s="2870"/>
      <c r="P36" s="2869"/>
      <c r="Q36" s="2869"/>
      <c r="R36" s="2871"/>
    </row>
    <row r="37" s="2398" customFormat="1" spans="2:18">
      <c r="B37" s="2869"/>
      <c r="C37" s="2869"/>
      <c r="D37" s="2869"/>
      <c r="H37" s="2869"/>
      <c r="I37" s="2870"/>
      <c r="J37" s="2869"/>
      <c r="K37" s="2869"/>
      <c r="L37" s="2870"/>
      <c r="M37" s="2869"/>
      <c r="N37" s="2869"/>
      <c r="O37" s="2870"/>
      <c r="P37" s="2869"/>
      <c r="Q37" s="2869"/>
      <c r="R37" s="2871"/>
    </row>
    <row r="38" s="2398" customFormat="1" spans="2:18">
      <c r="B38" s="2869"/>
      <c r="C38" s="2869"/>
      <c r="D38" s="2869"/>
      <c r="E38" s="2869"/>
      <c r="F38" s="2869"/>
      <c r="G38" s="2870"/>
      <c r="H38" s="2869"/>
      <c r="I38" s="2870"/>
      <c r="J38" s="2869"/>
      <c r="K38" s="2869"/>
      <c r="L38" s="2870"/>
      <c r="M38" s="2869"/>
      <c r="N38" s="2869"/>
      <c r="O38" s="2870"/>
      <c r="P38" s="2869"/>
      <c r="Q38" s="2869"/>
      <c r="R38" s="2871"/>
    </row>
    <row r="39" s="2398" customFormat="1" spans="2:18">
      <c r="B39" s="2869"/>
      <c r="C39" s="2869"/>
      <c r="D39" s="2869"/>
      <c r="E39" s="2869"/>
      <c r="F39" s="2869"/>
      <c r="G39" s="2870"/>
      <c r="H39" s="2869"/>
      <c r="I39" s="2870"/>
      <c r="J39" s="2869"/>
      <c r="K39" s="2869"/>
      <c r="L39" s="2870"/>
      <c r="M39" s="2869"/>
      <c r="N39" s="2869"/>
      <c r="O39" s="2870"/>
      <c r="P39" s="2869"/>
      <c r="Q39" s="2869"/>
      <c r="R39" s="2871"/>
    </row>
    <row r="40" s="2398" customFormat="1" spans="2:18">
      <c r="B40" s="2869"/>
      <c r="C40" s="2869"/>
      <c r="D40" s="2869"/>
      <c r="E40" s="2869"/>
      <c r="F40" s="2869"/>
      <c r="G40" s="2870"/>
      <c r="H40" s="2869"/>
      <c r="I40" s="2870"/>
      <c r="J40" s="2869"/>
      <c r="K40" s="2869"/>
      <c r="L40" s="2870"/>
      <c r="M40" s="2869"/>
      <c r="N40" s="2869"/>
      <c r="O40" s="2870"/>
      <c r="P40" s="2869"/>
      <c r="Q40" s="2869"/>
      <c r="R40" s="2871"/>
    </row>
    <row r="41" s="2398" customFormat="1" spans="2:18">
      <c r="B41" s="2869"/>
      <c r="C41" s="2869"/>
      <c r="D41" s="2869"/>
      <c r="E41" s="2869"/>
      <c r="F41" s="2869"/>
      <c r="G41" s="2870"/>
      <c r="H41" s="2869"/>
      <c r="I41" s="2870"/>
      <c r="J41" s="2869"/>
      <c r="K41" s="2869"/>
      <c r="L41" s="2870"/>
      <c r="M41" s="2869"/>
      <c r="N41" s="2869"/>
      <c r="O41" s="2870"/>
      <c r="P41" s="2869"/>
      <c r="Q41" s="2869"/>
      <c r="R41" s="2871"/>
    </row>
    <row r="42" s="2398" customFormat="1" spans="2:18">
      <c r="B42" s="2869"/>
      <c r="C42" s="2869"/>
      <c r="D42" s="2869"/>
      <c r="E42" s="2869"/>
      <c r="F42" s="2869"/>
      <c r="G42" s="2870"/>
      <c r="H42" s="2869"/>
      <c r="I42" s="2870"/>
      <c r="J42" s="2869"/>
      <c r="K42" s="2869"/>
      <c r="L42" s="2870"/>
      <c r="M42" s="2869"/>
      <c r="N42" s="2869"/>
      <c r="O42" s="2870"/>
      <c r="P42" s="2869"/>
      <c r="Q42" s="2869"/>
      <c r="R42" s="2871"/>
    </row>
    <row r="43" s="2398" customFormat="1" spans="2:18">
      <c r="B43" s="2869"/>
      <c r="C43" s="2869"/>
      <c r="D43" s="2869"/>
      <c r="E43" s="2869"/>
      <c r="F43" s="2869"/>
      <c r="G43" s="2870"/>
      <c r="H43" s="2869"/>
      <c r="I43" s="2870"/>
      <c r="J43" s="2869"/>
      <c r="K43" s="2869"/>
      <c r="L43" s="2870"/>
      <c r="M43" s="2869"/>
      <c r="N43" s="2869"/>
      <c r="O43" s="2870"/>
      <c r="P43" s="2869"/>
      <c r="Q43" s="2869"/>
      <c r="R43" s="2871"/>
    </row>
    <row r="44" s="2398" customFormat="1" spans="2:18">
      <c r="B44" s="2869"/>
      <c r="C44" s="2869"/>
      <c r="D44" s="2869"/>
      <c r="E44" s="2869"/>
      <c r="F44" s="2869"/>
      <c r="G44" s="2870"/>
      <c r="H44" s="2869"/>
      <c r="I44" s="2870"/>
      <c r="J44" s="2869"/>
      <c r="K44" s="2869"/>
      <c r="L44" s="2870"/>
      <c r="M44" s="2869"/>
      <c r="N44" s="2869"/>
      <c r="O44" s="2870"/>
      <c r="P44" s="2869"/>
      <c r="Q44" s="2869"/>
      <c r="R44" s="2871"/>
    </row>
    <row r="45" s="2398" customFormat="1" spans="2:18">
      <c r="B45" s="2869"/>
      <c r="C45" s="2869"/>
      <c r="D45" s="2869"/>
      <c r="E45" s="2869"/>
      <c r="F45" s="2869"/>
      <c r="G45" s="2870"/>
      <c r="H45" s="2869"/>
      <c r="I45" s="2870"/>
      <c r="J45" s="2869"/>
      <c r="K45" s="2869"/>
      <c r="L45" s="2870"/>
      <c r="M45" s="2869"/>
      <c r="N45" s="2869"/>
      <c r="O45" s="2870"/>
      <c r="P45" s="2869"/>
      <c r="Q45" s="2869"/>
      <c r="R45" s="2871"/>
    </row>
    <row r="46" s="2398" customFormat="1" spans="2:18">
      <c r="B46" s="2869"/>
      <c r="C46" s="2869"/>
      <c r="D46" s="2869"/>
      <c r="E46" s="2869"/>
      <c r="F46" s="2869"/>
      <c r="G46" s="2870"/>
      <c r="H46" s="2869"/>
      <c r="I46" s="2870"/>
      <c r="J46" s="2869"/>
      <c r="K46" s="2869"/>
      <c r="L46" s="2870"/>
      <c r="M46" s="2869"/>
      <c r="N46" s="2869"/>
      <c r="O46" s="2870"/>
      <c r="P46" s="2869"/>
      <c r="Q46" s="2869"/>
      <c r="R46" s="2871"/>
    </row>
    <row r="47" s="2398" customFormat="1" spans="2:18">
      <c r="B47" s="2869"/>
      <c r="C47" s="2869"/>
      <c r="D47" s="2869"/>
      <c r="E47" s="2869"/>
      <c r="F47" s="2869"/>
      <c r="G47" s="2870"/>
      <c r="H47" s="2869"/>
      <c r="I47" s="2870"/>
      <c r="J47" s="2869"/>
      <c r="K47" s="2869"/>
      <c r="L47" s="2870"/>
      <c r="M47" s="2869"/>
      <c r="N47" s="2869"/>
      <c r="O47" s="2870"/>
      <c r="P47" s="2869"/>
      <c r="Q47" s="2869"/>
      <c r="R47" s="2871"/>
    </row>
    <row r="48" s="2398" customFormat="1" spans="2:18">
      <c r="B48" s="2869"/>
      <c r="C48" s="2869"/>
      <c r="D48" s="2869"/>
      <c r="E48" s="2869"/>
      <c r="F48" s="2869"/>
      <c r="G48" s="2870"/>
      <c r="H48" s="2869"/>
      <c r="I48" s="2870"/>
      <c r="J48" s="2869"/>
      <c r="K48" s="2869"/>
      <c r="L48" s="2870"/>
      <c r="M48" s="2869"/>
      <c r="N48" s="2869"/>
      <c r="O48" s="2870"/>
      <c r="P48" s="2869"/>
      <c r="Q48" s="2869"/>
      <c r="R48" s="2871"/>
    </row>
    <row r="49" s="2398" customFormat="1" spans="2:18">
      <c r="B49" s="2869"/>
      <c r="C49" s="2869"/>
      <c r="D49" s="2869"/>
      <c r="E49" s="2869"/>
      <c r="F49" s="2869"/>
      <c r="G49" s="2870"/>
      <c r="H49" s="2869"/>
      <c r="I49" s="2870"/>
      <c r="J49" s="2869"/>
      <c r="K49" s="2869"/>
      <c r="L49" s="2870"/>
      <c r="M49" s="2869"/>
      <c r="N49" s="2869"/>
      <c r="O49" s="2870"/>
      <c r="P49" s="2869"/>
      <c r="Q49" s="2869"/>
      <c r="R49" s="2871"/>
    </row>
    <row r="50" s="2398" customFormat="1" spans="2:18">
      <c r="B50" s="2869"/>
      <c r="C50" s="2869"/>
      <c r="D50" s="2869"/>
      <c r="E50" s="2869"/>
      <c r="F50" s="2869"/>
      <c r="G50" s="2870"/>
      <c r="H50" s="2869"/>
      <c r="I50" s="2870"/>
      <c r="J50" s="2869"/>
      <c r="K50" s="2869"/>
      <c r="L50" s="2870"/>
      <c r="M50" s="2869"/>
      <c r="N50" s="2869"/>
      <c r="O50" s="2870"/>
      <c r="P50" s="2869"/>
      <c r="Q50" s="2869"/>
      <c r="R50" s="2871"/>
    </row>
    <row r="51" s="2398" customFormat="1" spans="2:18">
      <c r="B51" s="2869"/>
      <c r="C51" s="2869"/>
      <c r="D51" s="2869"/>
      <c r="E51" s="2869"/>
      <c r="F51" s="2869"/>
      <c r="G51" s="2870"/>
      <c r="H51" s="2869"/>
      <c r="I51" s="2870"/>
      <c r="J51" s="2869"/>
      <c r="K51" s="2869"/>
      <c r="L51" s="2870"/>
      <c r="M51" s="2869"/>
      <c r="N51" s="2869"/>
      <c r="O51" s="2870"/>
      <c r="P51" s="2869"/>
      <c r="Q51" s="2869"/>
      <c r="R51" s="2871"/>
    </row>
    <row r="52" s="2398" customFormat="1" spans="2:18">
      <c r="B52" s="2869"/>
      <c r="C52" s="2869"/>
      <c r="D52" s="2869"/>
      <c r="E52" s="2869"/>
      <c r="F52" s="2869"/>
      <c r="G52" s="2870"/>
      <c r="H52" s="2869"/>
      <c r="I52" s="2870"/>
      <c r="J52" s="2869"/>
      <c r="K52" s="2869"/>
      <c r="L52" s="2870"/>
      <c r="M52" s="2869"/>
      <c r="N52" s="2869"/>
      <c r="O52" s="2870"/>
      <c r="P52" s="2869"/>
      <c r="Q52" s="2869"/>
      <c r="R52" s="2871"/>
    </row>
    <row r="53" s="2398" customFormat="1" spans="2:18">
      <c r="B53" s="2869"/>
      <c r="C53" s="2869"/>
      <c r="D53" s="2869"/>
      <c r="E53" s="2869"/>
      <c r="F53" s="2869"/>
      <c r="G53" s="2870"/>
      <c r="H53" s="2869"/>
      <c r="I53" s="2870"/>
      <c r="J53" s="2869"/>
      <c r="K53" s="2869"/>
      <c r="L53" s="2870"/>
      <c r="M53" s="2869"/>
      <c r="N53" s="2869"/>
      <c r="O53" s="2870"/>
      <c r="P53" s="2869"/>
      <c r="Q53" s="2869"/>
      <c r="R53" s="2871"/>
    </row>
    <row r="54" s="2398" customFormat="1" spans="2:18">
      <c r="B54" s="2869"/>
      <c r="C54" s="2869"/>
      <c r="D54" s="2869"/>
      <c r="E54" s="2869"/>
      <c r="F54" s="2869"/>
      <c r="G54" s="2870"/>
      <c r="H54" s="2869"/>
      <c r="I54" s="2870"/>
      <c r="J54" s="2869"/>
      <c r="K54" s="2869"/>
      <c r="L54" s="2870"/>
      <c r="M54" s="2869"/>
      <c r="N54" s="2869"/>
      <c r="O54" s="2870"/>
      <c r="P54" s="2869"/>
      <c r="Q54" s="2869"/>
      <c r="R54" s="2871"/>
    </row>
    <row r="55" s="2398" customFormat="1" spans="2:18">
      <c r="B55" s="2869"/>
      <c r="C55" s="2869"/>
      <c r="D55" s="2869"/>
      <c r="E55" s="2869"/>
      <c r="F55" s="2869"/>
      <c r="G55" s="2870"/>
      <c r="H55" s="2869"/>
      <c r="I55" s="2870"/>
      <c r="J55" s="2869"/>
      <c r="K55" s="2869"/>
      <c r="L55" s="2870"/>
      <c r="M55" s="2869"/>
      <c r="N55" s="2869"/>
      <c r="O55" s="2870"/>
      <c r="P55" s="2869"/>
      <c r="Q55" s="2869"/>
      <c r="R55" s="2871"/>
    </row>
    <row r="56" s="2398" customFormat="1" spans="2:18">
      <c r="B56" s="2869"/>
      <c r="C56" s="2869"/>
      <c r="D56" s="2869"/>
      <c r="E56" s="2869"/>
      <c r="F56" s="2869"/>
      <c r="G56" s="2870"/>
      <c r="H56" s="2869"/>
      <c r="I56" s="2870"/>
      <c r="J56" s="2869"/>
      <c r="K56" s="2869"/>
      <c r="L56" s="2870"/>
      <c r="M56" s="2869"/>
      <c r="N56" s="2869"/>
      <c r="O56" s="2870"/>
      <c r="P56" s="2869"/>
      <c r="Q56" s="2869"/>
      <c r="R56" s="2871"/>
    </row>
    <row r="57" s="2398" customFormat="1" spans="2:18">
      <c r="B57" s="2869"/>
      <c r="C57" s="2869"/>
      <c r="D57" s="2869"/>
      <c r="E57" s="2869"/>
      <c r="F57" s="2869"/>
      <c r="G57" s="2870"/>
      <c r="H57" s="2869"/>
      <c r="I57" s="2870"/>
      <c r="J57" s="2869"/>
      <c r="K57" s="2869"/>
      <c r="L57" s="2870"/>
      <c r="M57" s="2869"/>
      <c r="N57" s="2869"/>
      <c r="O57" s="2870"/>
      <c r="P57" s="2869"/>
      <c r="Q57" s="2869"/>
      <c r="R57" s="2871"/>
    </row>
    <row r="58" s="2398" customFormat="1" spans="2:18">
      <c r="B58" s="2869"/>
      <c r="C58" s="2869"/>
      <c r="D58" s="2869"/>
      <c r="E58" s="2869"/>
      <c r="F58" s="2869"/>
      <c r="G58" s="2870"/>
      <c r="H58" s="2869"/>
      <c r="I58" s="2870"/>
      <c r="J58" s="2869"/>
      <c r="K58" s="2869"/>
      <c r="L58" s="2870"/>
      <c r="M58" s="2869"/>
      <c r="N58" s="2869"/>
      <c r="O58" s="2870"/>
      <c r="P58" s="2869"/>
      <c r="Q58" s="2869"/>
      <c r="R58" s="2871"/>
    </row>
    <row r="59" s="2398" customFormat="1" spans="2:18">
      <c r="B59" s="2869"/>
      <c r="C59" s="2869"/>
      <c r="D59" s="2869"/>
      <c r="E59" s="2869"/>
      <c r="F59" s="2869"/>
      <c r="G59" s="2870"/>
      <c r="H59" s="2869"/>
      <c r="I59" s="2870"/>
      <c r="J59" s="2869"/>
      <c r="K59" s="2869"/>
      <c r="L59" s="2870"/>
      <c r="M59" s="2869"/>
      <c r="N59" s="2869"/>
      <c r="O59" s="2870"/>
      <c r="P59" s="2869"/>
      <c r="Q59" s="2869"/>
      <c r="R59" s="2871"/>
    </row>
    <row r="60" s="2398" customFormat="1" spans="2:18">
      <c r="B60" s="2869"/>
      <c r="C60" s="2869"/>
      <c r="D60" s="2869"/>
      <c r="E60" s="2869"/>
      <c r="F60" s="2869"/>
      <c r="G60" s="2870"/>
      <c r="H60" s="2869"/>
      <c r="I60" s="2870"/>
      <c r="J60" s="2869"/>
      <c r="K60" s="2869"/>
      <c r="L60" s="2870"/>
      <c r="M60" s="2869"/>
      <c r="N60" s="2869"/>
      <c r="O60" s="2870"/>
      <c r="P60" s="2869"/>
      <c r="Q60" s="2869"/>
      <c r="R60" s="2871"/>
    </row>
    <row r="61" s="2398" customFormat="1" spans="2:18">
      <c r="B61" s="2869"/>
      <c r="C61" s="2869"/>
      <c r="D61" s="2869"/>
      <c r="E61" s="2869"/>
      <c r="F61" s="2869"/>
      <c r="G61" s="2870"/>
      <c r="H61" s="2869"/>
      <c r="I61" s="2870"/>
      <c r="J61" s="2869"/>
      <c r="K61" s="2869"/>
      <c r="L61" s="2870"/>
      <c r="M61" s="2869"/>
      <c r="N61" s="2869"/>
      <c r="O61" s="2870"/>
      <c r="P61" s="2869"/>
      <c r="Q61" s="2869"/>
      <c r="R61" s="2871"/>
    </row>
    <row r="62" s="2398" customFormat="1" spans="2:18">
      <c r="B62" s="2869"/>
      <c r="C62" s="2869"/>
      <c r="D62" s="2869"/>
      <c r="E62" s="2869"/>
      <c r="F62" s="2869"/>
      <c r="G62" s="2870"/>
      <c r="H62" s="2869"/>
      <c r="I62" s="2870"/>
      <c r="J62" s="2869"/>
      <c r="K62" s="2869"/>
      <c r="L62" s="2870"/>
      <c r="M62" s="2869"/>
      <c r="N62" s="2869"/>
      <c r="O62" s="2870"/>
      <c r="P62" s="2869"/>
      <c r="Q62" s="2869"/>
      <c r="R62" s="2871"/>
    </row>
    <row r="63" s="2398" customFormat="1" spans="2:18">
      <c r="B63" s="2869"/>
      <c r="C63" s="2869"/>
      <c r="D63" s="2869"/>
      <c r="E63" s="2869"/>
      <c r="F63" s="2869"/>
      <c r="G63" s="2870"/>
      <c r="H63" s="2869"/>
      <c r="I63" s="2870"/>
      <c r="J63" s="2869"/>
      <c r="K63" s="2869"/>
      <c r="L63" s="2870"/>
      <c r="M63" s="2869"/>
      <c r="N63" s="2869"/>
      <c r="O63" s="2870"/>
      <c r="P63" s="2869"/>
      <c r="Q63" s="2869"/>
      <c r="R63" s="2871"/>
    </row>
    <row r="64" s="2398" customFormat="1" spans="2:18">
      <c r="B64" s="2869"/>
      <c r="C64" s="2869"/>
      <c r="D64" s="2869"/>
      <c r="E64" s="2869"/>
      <c r="F64" s="2869"/>
      <c r="G64" s="2870"/>
      <c r="H64" s="2869"/>
      <c r="I64" s="2870"/>
      <c r="J64" s="2869"/>
      <c r="K64" s="2869"/>
      <c r="L64" s="2870"/>
      <c r="M64" s="2869"/>
      <c r="N64" s="2869"/>
      <c r="O64" s="2870"/>
      <c r="P64" s="2869"/>
      <c r="Q64" s="2869"/>
      <c r="R64" s="2871"/>
    </row>
    <row r="65" s="2398" customFormat="1" spans="2:18">
      <c r="B65" s="2869"/>
      <c r="C65" s="2869"/>
      <c r="D65" s="2869"/>
      <c r="E65" s="2869"/>
      <c r="F65" s="2869"/>
      <c r="G65" s="2870"/>
      <c r="H65" s="2869"/>
      <c r="I65" s="2870"/>
      <c r="J65" s="2869"/>
      <c r="K65" s="2869"/>
      <c r="L65" s="2870"/>
      <c r="M65" s="2869"/>
      <c r="N65" s="2869"/>
      <c r="O65" s="2870"/>
      <c r="P65" s="2869"/>
      <c r="Q65" s="2869"/>
      <c r="R65" s="2871"/>
    </row>
    <row r="66" s="2398" customFormat="1" spans="2:18">
      <c r="B66" s="2869"/>
      <c r="C66" s="2869"/>
      <c r="D66" s="2869"/>
      <c r="E66" s="2869"/>
      <c r="F66" s="2869"/>
      <c r="G66" s="2870"/>
      <c r="H66" s="2869"/>
      <c r="I66" s="2870"/>
      <c r="J66" s="2869"/>
      <c r="K66" s="2869"/>
      <c r="L66" s="2870"/>
      <c r="M66" s="2869"/>
      <c r="N66" s="2869"/>
      <c r="O66" s="2870"/>
      <c r="P66" s="2869"/>
      <c r="Q66" s="2869"/>
      <c r="R66" s="2871"/>
    </row>
    <row r="67" s="2398" customFormat="1" spans="2:18">
      <c r="B67" s="2869"/>
      <c r="C67" s="2869"/>
      <c r="D67" s="2869"/>
      <c r="E67" s="2869"/>
      <c r="F67" s="2869"/>
      <c r="G67" s="2870"/>
      <c r="H67" s="2869"/>
      <c r="I67" s="2870"/>
      <c r="J67" s="2869"/>
      <c r="K67" s="2869"/>
      <c r="L67" s="2870"/>
      <c r="M67" s="2869"/>
      <c r="N67" s="2869"/>
      <c r="O67" s="2870"/>
      <c r="P67" s="2869"/>
      <c r="Q67" s="2869"/>
      <c r="R67" s="2871"/>
    </row>
    <row r="68" s="2398" customFormat="1" spans="2:18">
      <c r="B68" s="2869"/>
      <c r="C68" s="2869"/>
      <c r="D68" s="2869"/>
      <c r="E68" s="2869"/>
      <c r="F68" s="2869"/>
      <c r="G68" s="2870"/>
      <c r="H68" s="2869"/>
      <c r="I68" s="2870"/>
      <c r="J68" s="2869"/>
      <c r="K68" s="2869"/>
      <c r="L68" s="2870"/>
      <c r="M68" s="2869"/>
      <c r="N68" s="2869"/>
      <c r="O68" s="2870"/>
      <c r="P68" s="2869"/>
      <c r="Q68" s="2869"/>
      <c r="R68" s="2871"/>
    </row>
    <row r="69" s="2398" customFormat="1" spans="2:18">
      <c r="B69" s="2869"/>
      <c r="C69" s="2869"/>
      <c r="D69" s="2869"/>
      <c r="E69" s="2869"/>
      <c r="F69" s="2869"/>
      <c r="G69" s="2870"/>
      <c r="H69" s="2869"/>
      <c r="I69" s="2870"/>
      <c r="J69" s="2869"/>
      <c r="K69" s="2869"/>
      <c r="L69" s="2870"/>
      <c r="M69" s="2869"/>
      <c r="N69" s="2869"/>
      <c r="O69" s="2870"/>
      <c r="P69" s="2869"/>
      <c r="Q69" s="2869"/>
      <c r="R69" s="2871"/>
    </row>
    <row r="70" s="2398" customFormat="1" spans="2:18">
      <c r="B70" s="2869"/>
      <c r="C70" s="2869"/>
      <c r="D70" s="2869"/>
      <c r="E70" s="2869"/>
      <c r="F70" s="2869"/>
      <c r="G70" s="2870"/>
      <c r="H70" s="2869"/>
      <c r="I70" s="2870"/>
      <c r="J70" s="2869"/>
      <c r="K70" s="2869"/>
      <c r="L70" s="2870"/>
      <c r="M70" s="2869"/>
      <c r="N70" s="2869"/>
      <c r="O70" s="2870"/>
      <c r="P70" s="2869"/>
      <c r="Q70" s="2869"/>
      <c r="R70" s="2871"/>
    </row>
    <row r="71" s="2398" customFormat="1" spans="2:18">
      <c r="B71" s="2869"/>
      <c r="C71" s="2869"/>
      <c r="D71" s="2869"/>
      <c r="E71" s="2869"/>
      <c r="F71" s="2869"/>
      <c r="G71" s="2870"/>
      <c r="H71" s="2869"/>
      <c r="I71" s="2870"/>
      <c r="J71" s="2869"/>
      <c r="K71" s="2869"/>
      <c r="L71" s="2870"/>
      <c r="M71" s="2869"/>
      <c r="N71" s="2869"/>
      <c r="O71" s="2870"/>
      <c r="P71" s="2869"/>
      <c r="Q71" s="2869"/>
      <c r="R71" s="2871"/>
    </row>
    <row r="72" s="2398" customFormat="1" spans="2:18">
      <c r="B72" s="2869"/>
      <c r="C72" s="2869"/>
      <c r="D72" s="2869"/>
      <c r="E72" s="2869"/>
      <c r="F72" s="2869"/>
      <c r="G72" s="2870"/>
      <c r="H72" s="2869"/>
      <c r="I72" s="2870"/>
      <c r="J72" s="2869"/>
      <c r="K72" s="2869"/>
      <c r="L72" s="2870"/>
      <c r="M72" s="2869"/>
      <c r="N72" s="2869"/>
      <c r="O72" s="2870"/>
      <c r="P72" s="2869"/>
      <c r="Q72" s="2869"/>
      <c r="R72" s="2871"/>
    </row>
    <row r="73" s="2398" customFormat="1" spans="2:18">
      <c r="B73" s="2869"/>
      <c r="C73" s="2869"/>
      <c r="D73" s="2869"/>
      <c r="E73" s="2869"/>
      <c r="F73" s="2869"/>
      <c r="G73" s="2870"/>
      <c r="H73" s="2869"/>
      <c r="I73" s="2870"/>
      <c r="J73" s="2869"/>
      <c r="K73" s="2869"/>
      <c r="L73" s="2870"/>
      <c r="M73" s="2869"/>
      <c r="N73" s="2869"/>
      <c r="O73" s="2870"/>
      <c r="P73" s="2869"/>
      <c r="Q73" s="2869"/>
      <c r="R73" s="2871"/>
    </row>
    <row r="74" s="2398" customFormat="1" spans="2:18">
      <c r="B74" s="2869"/>
      <c r="C74" s="2869"/>
      <c r="D74" s="2869"/>
      <c r="E74" s="2869"/>
      <c r="F74" s="2869"/>
      <c r="G74" s="2870"/>
      <c r="H74" s="2869"/>
      <c r="I74" s="2870"/>
      <c r="J74" s="2869"/>
      <c r="K74" s="2869"/>
      <c r="L74" s="2870"/>
      <c r="M74" s="2869"/>
      <c r="N74" s="2869"/>
      <c r="O74" s="2870"/>
      <c r="P74" s="2869"/>
      <c r="Q74" s="2869"/>
      <c r="R74" s="2871"/>
    </row>
    <row r="75" s="2398" customFormat="1" spans="2:18">
      <c r="B75" s="2869"/>
      <c r="C75" s="2869"/>
      <c r="D75" s="2869"/>
      <c r="E75" s="2869"/>
      <c r="F75" s="2869"/>
      <c r="G75" s="2870"/>
      <c r="H75" s="2869"/>
      <c r="I75" s="2870"/>
      <c r="J75" s="2869"/>
      <c r="K75" s="2869"/>
      <c r="L75" s="2870"/>
      <c r="M75" s="2869"/>
      <c r="N75" s="2869"/>
      <c r="O75" s="2870"/>
      <c r="P75" s="2869"/>
      <c r="Q75" s="2869"/>
      <c r="R75" s="2871"/>
    </row>
    <row r="76" s="2398" customFormat="1" spans="2:18">
      <c r="B76" s="2869"/>
      <c r="C76" s="2869"/>
      <c r="D76" s="2869"/>
      <c r="E76" s="2869"/>
      <c r="F76" s="2869"/>
      <c r="G76" s="2870"/>
      <c r="H76" s="2869"/>
      <c r="I76" s="2870"/>
      <c r="J76" s="2869"/>
      <c r="K76" s="2869"/>
      <c r="L76" s="2870"/>
      <c r="M76" s="2869"/>
      <c r="N76" s="2869"/>
      <c r="O76" s="2870"/>
      <c r="P76" s="2869"/>
      <c r="Q76" s="2869"/>
      <c r="R76" s="2871"/>
    </row>
    <row r="77" s="2398" customFormat="1" spans="2:18">
      <c r="B77" s="2869"/>
      <c r="C77" s="2869"/>
      <c r="D77" s="2869"/>
      <c r="E77" s="2869"/>
      <c r="F77" s="2869"/>
      <c r="G77" s="2870"/>
      <c r="H77" s="2869"/>
      <c r="I77" s="2870"/>
      <c r="J77" s="2869"/>
      <c r="K77" s="2869"/>
      <c r="L77" s="2870"/>
      <c r="M77" s="2869"/>
      <c r="N77" s="2869"/>
      <c r="O77" s="2870"/>
      <c r="P77" s="2869"/>
      <c r="Q77" s="2869"/>
      <c r="R77" s="2871"/>
    </row>
    <row r="78" s="2398" customFormat="1" spans="2:18">
      <c r="B78" s="2869"/>
      <c r="C78" s="2869"/>
      <c r="D78" s="2869"/>
      <c r="E78" s="2869"/>
      <c r="F78" s="2869"/>
      <c r="G78" s="2870"/>
      <c r="H78" s="2869"/>
      <c r="I78" s="2870"/>
      <c r="J78" s="2869"/>
      <c r="K78" s="2869"/>
      <c r="L78" s="2870"/>
      <c r="M78" s="2869"/>
      <c r="N78" s="2869"/>
      <c r="O78" s="2870"/>
      <c r="P78" s="2869"/>
      <c r="Q78" s="2869"/>
      <c r="R78" s="2871"/>
    </row>
    <row r="79" s="2398" customFormat="1" spans="2:18">
      <c r="B79" s="2869"/>
      <c r="C79" s="2869"/>
      <c r="D79" s="2869"/>
      <c r="E79" s="2869"/>
      <c r="F79" s="2869"/>
      <c r="G79" s="2870"/>
      <c r="H79" s="2869"/>
      <c r="I79" s="2870"/>
      <c r="J79" s="2869"/>
      <c r="K79" s="2869"/>
      <c r="L79" s="2870"/>
      <c r="M79" s="2869"/>
      <c r="N79" s="2869"/>
      <c r="O79" s="2870"/>
      <c r="P79" s="2869"/>
      <c r="Q79" s="2869"/>
      <c r="R79" s="2871"/>
    </row>
    <row r="80" s="2398" customFormat="1" spans="2:18">
      <c r="B80" s="2869"/>
      <c r="C80" s="2869"/>
      <c r="D80" s="2869"/>
      <c r="E80" s="2869"/>
      <c r="F80" s="2869"/>
      <c r="G80" s="2870"/>
      <c r="H80" s="2869"/>
      <c r="I80" s="2870"/>
      <c r="J80" s="2869"/>
      <c r="K80" s="2869"/>
      <c r="L80" s="2870"/>
      <c r="M80" s="2869"/>
      <c r="N80" s="2869"/>
      <c r="O80" s="2870"/>
      <c r="P80" s="2869"/>
      <c r="Q80" s="2869"/>
      <c r="R80" s="2871"/>
    </row>
    <row r="81" s="2398" customFormat="1" spans="2:18">
      <c r="B81" s="2869"/>
      <c r="C81" s="2869"/>
      <c r="D81" s="2869"/>
      <c r="E81" s="2869"/>
      <c r="F81" s="2869"/>
      <c r="G81" s="2870"/>
      <c r="H81" s="2869"/>
      <c r="I81" s="2870"/>
      <c r="J81" s="2869"/>
      <c r="K81" s="2869"/>
      <c r="L81" s="2870"/>
      <c r="M81" s="2869"/>
      <c r="N81" s="2869"/>
      <c r="O81" s="2870"/>
      <c r="P81" s="2869"/>
      <c r="Q81" s="2869"/>
      <c r="R81" s="2871"/>
    </row>
    <row r="82" s="2398" customFormat="1" spans="2:18">
      <c r="B82" s="2869"/>
      <c r="C82" s="2869"/>
      <c r="D82" s="2869"/>
      <c r="E82" s="2869"/>
      <c r="F82" s="2869"/>
      <c r="G82" s="2870"/>
      <c r="H82" s="2869"/>
      <c r="I82" s="2870"/>
      <c r="J82" s="2869"/>
      <c r="K82" s="2869"/>
      <c r="L82" s="2870"/>
      <c r="M82" s="2869"/>
      <c r="N82" s="2869"/>
      <c r="O82" s="2870"/>
      <c r="P82" s="2869"/>
      <c r="Q82" s="2869"/>
      <c r="R82" s="2871"/>
    </row>
    <row r="83" s="2398" customFormat="1" spans="2:18">
      <c r="B83" s="2869"/>
      <c r="C83" s="2869"/>
      <c r="D83" s="2869"/>
      <c r="E83" s="2869"/>
      <c r="F83" s="2869"/>
      <c r="G83" s="2870"/>
      <c r="H83" s="2869"/>
      <c r="I83" s="2870"/>
      <c r="J83" s="2869"/>
      <c r="K83" s="2869"/>
      <c r="L83" s="2870"/>
      <c r="M83" s="2869"/>
      <c r="N83" s="2869"/>
      <c r="O83" s="2870"/>
      <c r="P83" s="2869"/>
      <c r="Q83" s="2869"/>
      <c r="R83" s="2871"/>
    </row>
    <row r="84" s="2398" customFormat="1" spans="2:18">
      <c r="B84" s="2869"/>
      <c r="C84" s="2869"/>
      <c r="D84" s="2869"/>
      <c r="E84" s="2869"/>
      <c r="F84" s="2869"/>
      <c r="G84" s="2870"/>
      <c r="H84" s="2869"/>
      <c r="I84" s="2870"/>
      <c r="J84" s="2869"/>
      <c r="K84" s="2869"/>
      <c r="L84" s="2870"/>
      <c r="M84" s="2869"/>
      <c r="N84" s="2869"/>
      <c r="O84" s="2870"/>
      <c r="P84" s="2869"/>
      <c r="Q84" s="2869"/>
      <c r="R84" s="2871"/>
    </row>
    <row r="85" s="2398" customFormat="1" spans="2:18">
      <c r="B85" s="2869"/>
      <c r="C85" s="2869"/>
      <c r="D85" s="2869"/>
      <c r="E85" s="2869"/>
      <c r="F85" s="2869"/>
      <c r="G85" s="2870"/>
      <c r="H85" s="2869"/>
      <c r="I85" s="2870"/>
      <c r="J85" s="2869"/>
      <c r="K85" s="2869"/>
      <c r="L85" s="2870"/>
      <c r="M85" s="2869"/>
      <c r="N85" s="2869"/>
      <c r="O85" s="2870"/>
      <c r="P85" s="2869"/>
      <c r="Q85" s="2869"/>
      <c r="R85" s="2871"/>
    </row>
    <row r="86" s="2398" customFormat="1" spans="2:18">
      <c r="B86" s="2869"/>
      <c r="C86" s="2869"/>
      <c r="D86" s="2869"/>
      <c r="E86" s="2869"/>
      <c r="F86" s="2869"/>
      <c r="G86" s="2870"/>
      <c r="H86" s="2869"/>
      <c r="I86" s="2870"/>
      <c r="J86" s="2869"/>
      <c r="K86" s="2869"/>
      <c r="L86" s="2870"/>
      <c r="M86" s="2869"/>
      <c r="N86" s="2869"/>
      <c r="O86" s="2870"/>
      <c r="P86" s="2869"/>
      <c r="Q86" s="2869"/>
      <c r="R86" s="2871"/>
    </row>
    <row r="87" s="2398" customFormat="1" spans="2:18">
      <c r="B87" s="2869"/>
      <c r="C87" s="2869"/>
      <c r="D87" s="2869"/>
      <c r="E87" s="2869"/>
      <c r="F87" s="2869"/>
      <c r="G87" s="2870"/>
      <c r="H87" s="2869"/>
      <c r="I87" s="2870"/>
      <c r="J87" s="2869"/>
      <c r="K87" s="2869"/>
      <c r="L87" s="2870"/>
      <c r="M87" s="2869"/>
      <c r="N87" s="2869"/>
      <c r="O87" s="2870"/>
      <c r="P87" s="2869"/>
      <c r="Q87" s="2869"/>
      <c r="R87" s="2871"/>
    </row>
    <row r="88" s="2398" customFormat="1" spans="2:18">
      <c r="B88" s="2869"/>
      <c r="C88" s="2869"/>
      <c r="D88" s="2869"/>
      <c r="E88" s="2869"/>
      <c r="F88" s="2869"/>
      <c r="G88" s="2870"/>
      <c r="H88" s="2869"/>
      <c r="I88" s="2870"/>
      <c r="J88" s="2869"/>
      <c r="K88" s="2869"/>
      <c r="L88" s="2870"/>
      <c r="M88" s="2869"/>
      <c r="N88" s="2869"/>
      <c r="O88" s="2870"/>
      <c r="P88" s="2869"/>
      <c r="Q88" s="2869"/>
      <c r="R88" s="2871"/>
    </row>
    <row r="89" s="2398" customFormat="1" spans="2:18">
      <c r="B89" s="2869"/>
      <c r="C89" s="2869"/>
      <c r="D89" s="2869"/>
      <c r="E89" s="2869"/>
      <c r="F89" s="2869"/>
      <c r="G89" s="2870"/>
      <c r="H89" s="2869"/>
      <c r="I89" s="2870"/>
      <c r="J89" s="2869"/>
      <c r="K89" s="2869"/>
      <c r="L89" s="2870"/>
      <c r="M89" s="2869"/>
      <c r="N89" s="2869"/>
      <c r="O89" s="2870"/>
      <c r="P89" s="2869"/>
      <c r="Q89" s="2869"/>
      <c r="R89" s="2871"/>
    </row>
    <row r="90" s="2398" customFormat="1" spans="2:18">
      <c r="B90" s="2869"/>
      <c r="C90" s="2869"/>
      <c r="D90" s="2869"/>
      <c r="E90" s="2869"/>
      <c r="F90" s="2869"/>
      <c r="G90" s="2870"/>
      <c r="H90" s="2869"/>
      <c r="I90" s="2870"/>
      <c r="J90" s="2869"/>
      <c r="K90" s="2869"/>
      <c r="L90" s="2870"/>
      <c r="M90" s="2869"/>
      <c r="N90" s="2869"/>
      <c r="O90" s="2870"/>
      <c r="P90" s="2869"/>
      <c r="Q90" s="2869"/>
      <c r="R90" s="2871"/>
    </row>
    <row r="91" s="2398" customFormat="1" spans="2:18">
      <c r="B91" s="2869"/>
      <c r="C91" s="2869"/>
      <c r="D91" s="2869"/>
      <c r="E91" s="2869"/>
      <c r="F91" s="2869"/>
      <c r="G91" s="2870"/>
      <c r="H91" s="2869"/>
      <c r="I91" s="2870"/>
      <c r="J91" s="2869"/>
      <c r="K91" s="2869"/>
      <c r="L91" s="2870"/>
      <c r="M91" s="2869"/>
      <c r="N91" s="2869"/>
      <c r="O91" s="2870"/>
      <c r="P91" s="2869"/>
      <c r="Q91" s="2869"/>
      <c r="R91" s="2871"/>
    </row>
    <row r="92" s="2398" customFormat="1" spans="2:18">
      <c r="B92" s="2869"/>
      <c r="C92" s="2869"/>
      <c r="D92" s="2869"/>
      <c r="E92" s="2869"/>
      <c r="F92" s="2869"/>
      <c r="G92" s="2870"/>
      <c r="H92" s="2869"/>
      <c r="I92" s="2870"/>
      <c r="J92" s="2869"/>
      <c r="K92" s="2869"/>
      <c r="L92" s="2870"/>
      <c r="M92" s="2869"/>
      <c r="N92" s="2869"/>
      <c r="O92" s="2870"/>
      <c r="P92" s="2869"/>
      <c r="Q92" s="2869"/>
      <c r="R92" s="2871"/>
    </row>
    <row r="93" s="2398" customFormat="1" spans="2:18">
      <c r="B93" s="2869"/>
      <c r="C93" s="2869"/>
      <c r="D93" s="2869"/>
      <c r="E93" s="2869"/>
      <c r="F93" s="2869"/>
      <c r="G93" s="2870"/>
      <c r="H93" s="2869"/>
      <c r="I93" s="2870"/>
      <c r="J93" s="2869"/>
      <c r="K93" s="2869"/>
      <c r="L93" s="2870"/>
      <c r="M93" s="2869"/>
      <c r="N93" s="2869"/>
      <c r="O93" s="2870"/>
      <c r="P93" s="2869"/>
      <c r="Q93" s="2869"/>
      <c r="R93" s="2871"/>
    </row>
    <row r="94" s="2398" customFormat="1" spans="2:18">
      <c r="B94" s="2869"/>
      <c r="C94" s="2869"/>
      <c r="D94" s="2869"/>
      <c r="E94" s="2869"/>
      <c r="F94" s="2869"/>
      <c r="G94" s="2870"/>
      <c r="H94" s="2869"/>
      <c r="I94" s="2870"/>
      <c r="J94" s="2869"/>
      <c r="K94" s="2869"/>
      <c r="L94" s="2870"/>
      <c r="M94" s="2869"/>
      <c r="N94" s="2869"/>
      <c r="O94" s="2870"/>
      <c r="P94" s="2869"/>
      <c r="Q94" s="2869"/>
      <c r="R94" s="2871"/>
    </row>
    <row r="95" s="2398" customFormat="1" spans="2:18">
      <c r="B95" s="2869"/>
      <c r="C95" s="2869"/>
      <c r="D95" s="2869"/>
      <c r="E95" s="2869"/>
      <c r="F95" s="2869"/>
      <c r="G95" s="2870"/>
      <c r="H95" s="2869"/>
      <c r="I95" s="2870"/>
      <c r="J95" s="2869"/>
      <c r="K95" s="2869"/>
      <c r="L95" s="2870"/>
      <c r="M95" s="2869"/>
      <c r="N95" s="2869"/>
      <c r="O95" s="2870"/>
      <c r="P95" s="2869"/>
      <c r="Q95" s="2869"/>
      <c r="R95" s="2871"/>
    </row>
    <row r="96" s="2398" customFormat="1" spans="2:18">
      <c r="B96" s="2869"/>
      <c r="C96" s="2869"/>
      <c r="D96" s="2869"/>
      <c r="E96" s="2869"/>
      <c r="F96" s="2869"/>
      <c r="G96" s="2870"/>
      <c r="H96" s="2869"/>
      <c r="I96" s="2870"/>
      <c r="J96" s="2869"/>
      <c r="K96" s="2869"/>
      <c r="L96" s="2870"/>
      <c r="M96" s="2869"/>
      <c r="N96" s="2869"/>
      <c r="O96" s="2870"/>
      <c r="P96" s="2869"/>
      <c r="Q96" s="2869"/>
      <c r="R96" s="2871"/>
    </row>
    <row r="97" s="2398" customFormat="1" spans="2:18">
      <c r="B97" s="2869"/>
      <c r="C97" s="2869"/>
      <c r="D97" s="2869"/>
      <c r="E97" s="2869"/>
      <c r="F97" s="2869"/>
      <c r="G97" s="2870"/>
      <c r="H97" s="2869"/>
      <c r="I97" s="2870"/>
      <c r="J97" s="2869"/>
      <c r="K97" s="2869"/>
      <c r="L97" s="2870"/>
      <c r="M97" s="2869"/>
      <c r="N97" s="2869"/>
      <c r="O97" s="2870"/>
      <c r="P97" s="2869"/>
      <c r="Q97" s="2869"/>
      <c r="R97" s="2871"/>
    </row>
    <row r="98" s="2398" customFormat="1" spans="2:18">
      <c r="B98" s="2869"/>
      <c r="C98" s="2869"/>
      <c r="D98" s="2869"/>
      <c r="E98" s="2869"/>
      <c r="F98" s="2869"/>
      <c r="G98" s="2870"/>
      <c r="H98" s="2869"/>
      <c r="I98" s="2870"/>
      <c r="J98" s="2869"/>
      <c r="K98" s="2869"/>
      <c r="L98" s="2870"/>
      <c r="M98" s="2869"/>
      <c r="N98" s="2869"/>
      <c r="O98" s="2870"/>
      <c r="P98" s="2869"/>
      <c r="Q98" s="2869"/>
      <c r="R98" s="2871"/>
    </row>
    <row r="99" s="2398" customFormat="1" spans="2:18">
      <c r="B99" s="2869"/>
      <c r="C99" s="2869"/>
      <c r="D99" s="2869"/>
      <c r="E99" s="2869"/>
      <c r="F99" s="2869"/>
      <c r="G99" s="2870"/>
      <c r="H99" s="2869"/>
      <c r="I99" s="2870"/>
      <c r="J99" s="2869"/>
      <c r="K99" s="2869"/>
      <c r="L99" s="2870"/>
      <c r="M99" s="2869"/>
      <c r="N99" s="2869"/>
      <c r="O99" s="2870"/>
      <c r="P99" s="2869"/>
      <c r="Q99" s="2869"/>
      <c r="R99" s="2871"/>
    </row>
    <row r="100" s="2398" customFormat="1" spans="2:18">
      <c r="B100" s="2869"/>
      <c r="C100" s="2869"/>
      <c r="D100" s="2869"/>
      <c r="E100" s="2869"/>
      <c r="F100" s="2869"/>
      <c r="G100" s="2870"/>
      <c r="H100" s="2869"/>
      <c r="I100" s="2870"/>
      <c r="J100" s="2869"/>
      <c r="K100" s="2869"/>
      <c r="L100" s="2870"/>
      <c r="M100" s="2869"/>
      <c r="N100" s="2869"/>
      <c r="O100" s="2870"/>
      <c r="P100" s="2869"/>
      <c r="Q100" s="2869"/>
      <c r="R100" s="2871"/>
    </row>
    <row r="101" s="2398" customFormat="1" spans="2:18">
      <c r="B101" s="2869"/>
      <c r="C101" s="2869"/>
      <c r="D101" s="2869"/>
      <c r="E101" s="2869"/>
      <c r="F101" s="2869"/>
      <c r="G101" s="2870"/>
      <c r="H101" s="2869"/>
      <c r="I101" s="2870"/>
      <c r="J101" s="2869"/>
      <c r="K101" s="2869"/>
      <c r="L101" s="2870"/>
      <c r="M101" s="2869"/>
      <c r="N101" s="2869"/>
      <c r="O101" s="2870"/>
      <c r="P101" s="2869"/>
      <c r="Q101" s="2869"/>
      <c r="R101" s="2871"/>
    </row>
    <row r="102" s="2398" customFormat="1" spans="2:18">
      <c r="B102" s="2869"/>
      <c r="C102" s="2869"/>
      <c r="D102" s="2869"/>
      <c r="E102" s="2869"/>
      <c r="F102" s="2869"/>
      <c r="G102" s="2870"/>
      <c r="H102" s="2869"/>
      <c r="I102" s="2870"/>
      <c r="J102" s="2869"/>
      <c r="K102" s="2869"/>
      <c r="L102" s="2870"/>
      <c r="M102" s="2869"/>
      <c r="N102" s="2869"/>
      <c r="O102" s="2870"/>
      <c r="P102" s="2869"/>
      <c r="Q102" s="2869"/>
      <c r="R102" s="2871"/>
    </row>
    <row r="103" s="2398" customFormat="1" spans="2:18">
      <c r="B103" s="2869"/>
      <c r="C103" s="2869"/>
      <c r="D103" s="2869"/>
      <c r="E103" s="2869"/>
      <c r="F103" s="2869"/>
      <c r="G103" s="2870"/>
      <c r="H103" s="2869"/>
      <c r="I103" s="2870"/>
      <c r="J103" s="2869"/>
      <c r="K103" s="2869"/>
      <c r="L103" s="2870"/>
      <c r="M103" s="2869"/>
      <c r="N103" s="2869"/>
      <c r="O103" s="2870"/>
      <c r="P103" s="2869"/>
      <c r="Q103" s="2869"/>
      <c r="R103" s="2871"/>
    </row>
    <row r="104" s="2398" customFormat="1" spans="2:18">
      <c r="B104" s="2869"/>
      <c r="C104" s="2869"/>
      <c r="D104" s="2869"/>
      <c r="E104" s="2869"/>
      <c r="F104" s="2869"/>
      <c r="G104" s="2870"/>
      <c r="H104" s="2869"/>
      <c r="I104" s="2870"/>
      <c r="J104" s="2869"/>
      <c r="K104" s="2869"/>
      <c r="L104" s="2870"/>
      <c r="M104" s="2869"/>
      <c r="N104" s="2869"/>
      <c r="O104" s="2870"/>
      <c r="P104" s="2869"/>
      <c r="Q104" s="2869"/>
      <c r="R104" s="2871"/>
    </row>
    <row r="105" s="2398" customFormat="1" spans="2:18">
      <c r="B105" s="2869"/>
      <c r="C105" s="2869"/>
      <c r="D105" s="2869"/>
      <c r="E105" s="2869"/>
      <c r="F105" s="2869"/>
      <c r="G105" s="2870"/>
      <c r="H105" s="2869"/>
      <c r="I105" s="2870"/>
      <c r="J105" s="2869"/>
      <c r="K105" s="2869"/>
      <c r="L105" s="2870"/>
      <c r="M105" s="2869"/>
      <c r="N105" s="2869"/>
      <c r="O105" s="2870"/>
      <c r="P105" s="2869"/>
      <c r="Q105" s="2869"/>
      <c r="R105" s="2871"/>
    </row>
    <row r="106" s="2398" customFormat="1" spans="2:18">
      <c r="B106" s="2869"/>
      <c r="C106" s="2869"/>
      <c r="D106" s="2869"/>
      <c r="E106" s="2869"/>
      <c r="F106" s="2869"/>
      <c r="G106" s="2870"/>
      <c r="H106" s="2869"/>
      <c r="I106" s="2870"/>
      <c r="J106" s="2869"/>
      <c r="K106" s="2869"/>
      <c r="L106" s="2870"/>
      <c r="M106" s="2869"/>
      <c r="N106" s="2869"/>
      <c r="O106" s="2870"/>
      <c r="P106" s="2869"/>
      <c r="Q106" s="2869"/>
      <c r="R106" s="2871"/>
    </row>
    <row r="107" s="2398" customFormat="1" spans="2:18">
      <c r="B107" s="2869"/>
      <c r="C107" s="2869"/>
      <c r="D107" s="2869"/>
      <c r="E107" s="2869"/>
      <c r="F107" s="2869"/>
      <c r="G107" s="2870"/>
      <c r="H107" s="2869"/>
      <c r="I107" s="2870"/>
      <c r="J107" s="2869"/>
      <c r="K107" s="2869"/>
      <c r="L107" s="2870"/>
      <c r="M107" s="2869"/>
      <c r="N107" s="2869"/>
      <c r="O107" s="2870"/>
      <c r="P107" s="2869"/>
      <c r="Q107" s="2869"/>
      <c r="R107" s="2871"/>
    </row>
    <row r="108" s="2398" customFormat="1" spans="2:18">
      <c r="B108" s="2869"/>
      <c r="C108" s="2869"/>
      <c r="D108" s="2869"/>
      <c r="E108" s="2869"/>
      <c r="F108" s="2869"/>
      <c r="G108" s="2870"/>
      <c r="H108" s="2869"/>
      <c r="I108" s="2870"/>
      <c r="J108" s="2869"/>
      <c r="K108" s="2869"/>
      <c r="L108" s="2870"/>
      <c r="M108" s="2869"/>
      <c r="N108" s="2869"/>
      <c r="O108" s="2870"/>
      <c r="P108" s="2869"/>
      <c r="Q108" s="2869"/>
      <c r="R108" s="2871"/>
    </row>
    <row r="109" s="2398" customFormat="1" spans="2:18">
      <c r="B109" s="2869"/>
      <c r="C109" s="2869"/>
      <c r="D109" s="2869"/>
      <c r="E109" s="2869"/>
      <c r="F109" s="2869"/>
      <c r="G109" s="2870"/>
      <c r="H109" s="2869"/>
      <c r="I109" s="2870"/>
      <c r="J109" s="2869"/>
      <c r="K109" s="2869"/>
      <c r="L109" s="2870"/>
      <c r="M109" s="2869"/>
      <c r="N109" s="2869"/>
      <c r="O109" s="2870"/>
      <c r="P109" s="2869"/>
      <c r="Q109" s="2869"/>
      <c r="R109" s="2871"/>
    </row>
    <row r="110" s="2398" customFormat="1" spans="2:18">
      <c r="B110" s="2869"/>
      <c r="C110" s="2869"/>
      <c r="D110" s="2869"/>
      <c r="E110" s="2869"/>
      <c r="F110" s="2869"/>
      <c r="G110" s="2870"/>
      <c r="H110" s="2869"/>
      <c r="I110" s="2870"/>
      <c r="J110" s="2869"/>
      <c r="K110" s="2869"/>
      <c r="L110" s="2870"/>
      <c r="M110" s="2869"/>
      <c r="N110" s="2869"/>
      <c r="O110" s="2870"/>
      <c r="P110" s="2869"/>
      <c r="Q110" s="2869"/>
      <c r="R110" s="2871"/>
    </row>
    <row r="111" s="2398" customFormat="1" spans="2:18">
      <c r="B111" s="2869"/>
      <c r="C111" s="2869"/>
      <c r="D111" s="2869"/>
      <c r="E111" s="2869"/>
      <c r="F111" s="2869"/>
      <c r="G111" s="2870"/>
      <c r="H111" s="2869"/>
      <c r="I111" s="2870"/>
      <c r="J111" s="2869"/>
      <c r="K111" s="2869"/>
      <c r="L111" s="2870"/>
      <c r="M111" s="2869"/>
      <c r="N111" s="2869"/>
      <c r="O111" s="2870"/>
      <c r="P111" s="2869"/>
      <c r="Q111" s="2869"/>
      <c r="R111" s="2871"/>
    </row>
    <row r="112" s="2398" customFormat="1" spans="2:18">
      <c r="B112" s="2869"/>
      <c r="C112" s="2869"/>
      <c r="D112" s="2869"/>
      <c r="E112" s="2869"/>
      <c r="F112" s="2869"/>
      <c r="G112" s="2870"/>
      <c r="H112" s="2869"/>
      <c r="I112" s="2870"/>
      <c r="J112" s="2869"/>
      <c r="K112" s="2869"/>
      <c r="L112" s="2870"/>
      <c r="M112" s="2869"/>
      <c r="N112" s="2869"/>
      <c r="O112" s="2870"/>
      <c r="P112" s="2869"/>
      <c r="Q112" s="2869"/>
      <c r="R112" s="2871"/>
    </row>
    <row r="113" s="2398" customFormat="1" spans="2:18">
      <c r="B113" s="2869"/>
      <c r="C113" s="2869"/>
      <c r="D113" s="2869"/>
      <c r="E113" s="2869"/>
      <c r="F113" s="2869"/>
      <c r="G113" s="2870"/>
      <c r="H113" s="2869"/>
      <c r="I113" s="2870"/>
      <c r="J113" s="2869"/>
      <c r="K113" s="2869"/>
      <c r="L113" s="2870"/>
      <c r="M113" s="2869"/>
      <c r="N113" s="2869"/>
      <c r="O113" s="2870"/>
      <c r="P113" s="2869"/>
      <c r="Q113" s="2869"/>
      <c r="R113" s="2871"/>
    </row>
    <row r="114" s="2398" customFormat="1" spans="2:18">
      <c r="B114" s="2869"/>
      <c r="C114" s="2869"/>
      <c r="D114" s="2869"/>
      <c r="E114" s="2869"/>
      <c r="F114" s="2869"/>
      <c r="G114" s="2870"/>
      <c r="H114" s="2869"/>
      <c r="I114" s="2870"/>
      <c r="J114" s="2869"/>
      <c r="K114" s="2869"/>
      <c r="L114" s="2870"/>
      <c r="M114" s="2869"/>
      <c r="N114" s="2869"/>
      <c r="O114" s="2870"/>
      <c r="P114" s="2869"/>
      <c r="Q114" s="2869"/>
      <c r="R114" s="2871"/>
    </row>
    <row r="115" s="2398" customFormat="1" spans="2:18">
      <c r="B115" s="2869"/>
      <c r="C115" s="2869"/>
      <c r="D115" s="2869"/>
      <c r="E115" s="2869"/>
      <c r="F115" s="2869"/>
      <c r="G115" s="2870"/>
      <c r="H115" s="2869"/>
      <c r="I115" s="2870"/>
      <c r="J115" s="2869"/>
      <c r="K115" s="2869"/>
      <c r="L115" s="2870"/>
      <c r="M115" s="2869"/>
      <c r="N115" s="2869"/>
      <c r="O115" s="2870"/>
      <c r="P115" s="2869"/>
      <c r="Q115" s="2869"/>
      <c r="R115" s="2871"/>
    </row>
    <row r="116" s="2398" customFormat="1" spans="2:18">
      <c r="B116" s="2869"/>
      <c r="C116" s="2869"/>
      <c r="D116" s="2869"/>
      <c r="E116" s="2869"/>
      <c r="F116" s="2869"/>
      <c r="G116" s="2870"/>
      <c r="H116" s="2869"/>
      <c r="I116" s="2870"/>
      <c r="J116" s="2869"/>
      <c r="K116" s="2869"/>
      <c r="L116" s="2870"/>
      <c r="M116" s="2869"/>
      <c r="N116" s="2869"/>
      <c r="O116" s="2870"/>
      <c r="P116" s="2869"/>
      <c r="Q116" s="2869"/>
      <c r="R116" s="2871"/>
    </row>
    <row r="117" s="2398" customFormat="1" spans="2:18">
      <c r="B117" s="2869"/>
      <c r="C117" s="2869"/>
      <c r="D117" s="2869"/>
      <c r="E117" s="2869"/>
      <c r="F117" s="2869"/>
      <c r="G117" s="2870"/>
      <c r="H117" s="2869"/>
      <c r="I117" s="2870"/>
      <c r="J117" s="2869"/>
      <c r="K117" s="2869"/>
      <c r="L117" s="2870"/>
      <c r="M117" s="2869"/>
      <c r="N117" s="2869"/>
      <c r="O117" s="2870"/>
      <c r="P117" s="2869"/>
      <c r="Q117" s="2869"/>
      <c r="R117" s="2871"/>
    </row>
    <row r="118" s="2398" customFormat="1" spans="2:18">
      <c r="B118" s="2869"/>
      <c r="C118" s="2869"/>
      <c r="D118" s="2869"/>
      <c r="E118" s="2869"/>
      <c r="F118" s="2869"/>
      <c r="G118" s="2870"/>
      <c r="H118" s="2869"/>
      <c r="I118" s="2870"/>
      <c r="J118" s="2869"/>
      <c r="K118" s="2869"/>
      <c r="L118" s="2870"/>
      <c r="M118" s="2869"/>
      <c r="N118" s="2869"/>
      <c r="O118" s="2870"/>
      <c r="P118" s="2869"/>
      <c r="Q118" s="2869"/>
      <c r="R118" s="2871"/>
    </row>
    <row r="119" s="2398" customFormat="1" spans="2:18">
      <c r="B119" s="2869"/>
      <c r="C119" s="2869"/>
      <c r="D119" s="2869"/>
      <c r="E119" s="2869"/>
      <c r="F119" s="2869"/>
      <c r="G119" s="2870"/>
      <c r="H119" s="2869"/>
      <c r="I119" s="2870"/>
      <c r="J119" s="2869"/>
      <c r="K119" s="2869"/>
      <c r="L119" s="2870"/>
      <c r="M119" s="2869"/>
      <c r="N119" s="2869"/>
      <c r="O119" s="2870"/>
      <c r="P119" s="2869"/>
      <c r="Q119" s="2869"/>
      <c r="R119" s="2871"/>
    </row>
    <row r="120" s="2398" customFormat="1" spans="2:18">
      <c r="B120" s="2869"/>
      <c r="C120" s="2869"/>
      <c r="D120" s="2869"/>
      <c r="E120" s="2869"/>
      <c r="F120" s="2869"/>
      <c r="G120" s="2870"/>
      <c r="H120" s="2869"/>
      <c r="I120" s="2870"/>
      <c r="J120" s="2869"/>
      <c r="K120" s="2869"/>
      <c r="L120" s="2870"/>
      <c r="M120" s="2869"/>
      <c r="N120" s="2869"/>
      <c r="O120" s="2870"/>
      <c r="P120" s="2869"/>
      <c r="Q120" s="2869"/>
      <c r="R120" s="2871"/>
    </row>
    <row r="121" s="2398" customFormat="1" spans="2:18">
      <c r="B121" s="2869"/>
      <c r="C121" s="2869"/>
      <c r="D121" s="2869"/>
      <c r="E121" s="2869"/>
      <c r="F121" s="2869"/>
      <c r="G121" s="2870"/>
      <c r="H121" s="2869"/>
      <c r="I121" s="2870"/>
      <c r="J121" s="2869"/>
      <c r="K121" s="2869"/>
      <c r="L121" s="2870"/>
      <c r="M121" s="2869"/>
      <c r="N121" s="2869"/>
      <c r="O121" s="2870"/>
      <c r="P121" s="2869"/>
      <c r="Q121" s="2869"/>
      <c r="R121" s="2871"/>
    </row>
    <row r="122" s="2398" customFormat="1" spans="2:18">
      <c r="B122" s="2869"/>
      <c r="C122" s="2869"/>
      <c r="D122" s="2869"/>
      <c r="E122" s="2869"/>
      <c r="F122" s="2869"/>
      <c r="G122" s="2870"/>
      <c r="H122" s="2869"/>
      <c r="I122" s="2870"/>
      <c r="J122" s="2869"/>
      <c r="K122" s="2869"/>
      <c r="L122" s="2870"/>
      <c r="M122" s="2869"/>
      <c r="N122" s="2869"/>
      <c r="O122" s="2870"/>
      <c r="P122" s="2869"/>
      <c r="Q122" s="2869"/>
      <c r="R122" s="2871"/>
    </row>
    <row r="123" s="2398" customFormat="1" spans="2:18">
      <c r="B123" s="2869"/>
      <c r="C123" s="2869"/>
      <c r="D123" s="2869"/>
      <c r="E123" s="2869"/>
      <c r="F123" s="2869"/>
      <c r="G123" s="2870"/>
      <c r="H123" s="2869"/>
      <c r="I123" s="2870"/>
      <c r="J123" s="2869"/>
      <c r="K123" s="2869"/>
      <c r="L123" s="2870"/>
      <c r="M123" s="2869"/>
      <c r="N123" s="2869"/>
      <c r="O123" s="2870"/>
      <c r="P123" s="2869"/>
      <c r="Q123" s="2869"/>
      <c r="R123" s="2871"/>
    </row>
    <row r="124" s="2398" customFormat="1" spans="2:18">
      <c r="B124" s="2869"/>
      <c r="C124" s="2869"/>
      <c r="D124" s="2869"/>
      <c r="E124" s="2869"/>
      <c r="F124" s="2869"/>
      <c r="G124" s="2870"/>
      <c r="H124" s="2869"/>
      <c r="I124" s="2870"/>
      <c r="J124" s="2869"/>
      <c r="K124" s="2869"/>
      <c r="L124" s="2870"/>
      <c r="M124" s="2869"/>
      <c r="N124" s="2869"/>
      <c r="O124" s="2870"/>
      <c r="P124" s="2869"/>
      <c r="Q124" s="2869"/>
      <c r="R124" s="2871"/>
    </row>
    <row r="125" s="2398" customFormat="1" spans="2:18">
      <c r="B125" s="2869"/>
      <c r="C125" s="2869"/>
      <c r="D125" s="2869"/>
      <c r="E125" s="2869"/>
      <c r="F125" s="2869"/>
      <c r="G125" s="2870"/>
      <c r="H125" s="2869"/>
      <c r="I125" s="2870"/>
      <c r="J125" s="2869"/>
      <c r="K125" s="2869"/>
      <c r="L125" s="2870"/>
      <c r="M125" s="2869"/>
      <c r="N125" s="2869"/>
      <c r="O125" s="2870"/>
      <c r="P125" s="2869"/>
      <c r="Q125" s="2869"/>
      <c r="R125" s="2871"/>
    </row>
    <row r="126" s="2398" customFormat="1" spans="2:18">
      <c r="B126" s="2869"/>
      <c r="C126" s="2869"/>
      <c r="D126" s="2869"/>
      <c r="E126" s="2869"/>
      <c r="F126" s="2869"/>
      <c r="G126" s="2870"/>
      <c r="H126" s="2869"/>
      <c r="I126" s="2870"/>
      <c r="J126" s="2869"/>
      <c r="K126" s="2869"/>
      <c r="L126" s="2870"/>
      <c r="M126" s="2869"/>
      <c r="N126" s="2869"/>
      <c r="O126" s="2870"/>
      <c r="P126" s="2869"/>
      <c r="Q126" s="2869"/>
      <c r="R126" s="2871"/>
    </row>
    <row r="127" s="2398" customFormat="1" spans="2:18">
      <c r="B127" s="2869"/>
      <c r="C127" s="2869"/>
      <c r="D127" s="2869"/>
      <c r="E127" s="2869"/>
      <c r="F127" s="2869"/>
      <c r="G127" s="2870"/>
      <c r="H127" s="2869"/>
      <c r="I127" s="2870"/>
      <c r="J127" s="2869"/>
      <c r="K127" s="2869"/>
      <c r="L127" s="2870"/>
      <c r="M127" s="2869"/>
      <c r="N127" s="2869"/>
      <c r="O127" s="2870"/>
      <c r="P127" s="2869"/>
      <c r="Q127" s="2869"/>
      <c r="R127" s="2871"/>
    </row>
    <row r="128" s="2398" customFormat="1" spans="2:18">
      <c r="B128" s="2869"/>
      <c r="C128" s="2869"/>
      <c r="D128" s="2869"/>
      <c r="E128" s="2869"/>
      <c r="F128" s="2869"/>
      <c r="G128" s="2870"/>
      <c r="H128" s="2869"/>
      <c r="I128" s="2870"/>
      <c r="J128" s="2869"/>
      <c r="K128" s="2869"/>
      <c r="L128" s="2870"/>
      <c r="M128" s="2869"/>
      <c r="N128" s="2869"/>
      <c r="O128" s="2870"/>
      <c r="P128" s="2869"/>
      <c r="Q128" s="2869"/>
      <c r="R128" s="2871"/>
    </row>
    <row r="129" s="2398" customFormat="1" spans="2:18">
      <c r="B129" s="2869"/>
      <c r="C129" s="2869"/>
      <c r="D129" s="2869"/>
      <c r="E129" s="2869"/>
      <c r="F129" s="2869"/>
      <c r="G129" s="2870"/>
      <c r="H129" s="2869"/>
      <c r="I129" s="2870"/>
      <c r="J129" s="2869"/>
      <c r="K129" s="2869"/>
      <c r="L129" s="2870"/>
      <c r="M129" s="2869"/>
      <c r="N129" s="2869"/>
      <c r="O129" s="2870"/>
      <c r="P129" s="2869"/>
      <c r="Q129" s="2869"/>
      <c r="R129" s="2871"/>
    </row>
    <row r="130" s="2398" customFormat="1" spans="2:18">
      <c r="B130" s="2869"/>
      <c r="C130" s="2869"/>
      <c r="D130" s="2869"/>
      <c r="E130" s="2869"/>
      <c r="F130" s="2869"/>
      <c r="G130" s="2870"/>
      <c r="H130" s="2869"/>
      <c r="I130" s="2870"/>
      <c r="J130" s="2869"/>
      <c r="K130" s="2869"/>
      <c r="L130" s="2870"/>
      <c r="M130" s="2869"/>
      <c r="N130" s="2869"/>
      <c r="O130" s="2870"/>
      <c r="P130" s="2869"/>
      <c r="Q130" s="2869"/>
      <c r="R130" s="2871"/>
    </row>
    <row r="131" s="2398" customFormat="1" spans="2:18">
      <c r="B131" s="2869"/>
      <c r="C131" s="2869"/>
      <c r="D131" s="2869"/>
      <c r="E131" s="2869"/>
      <c r="F131" s="2869"/>
      <c r="G131" s="2870"/>
      <c r="H131" s="2869"/>
      <c r="I131" s="2870"/>
      <c r="J131" s="2869"/>
      <c r="K131" s="2869"/>
      <c r="L131" s="2870"/>
      <c r="M131" s="2869"/>
      <c r="N131" s="2869"/>
      <c r="O131" s="2870"/>
      <c r="P131" s="2869"/>
      <c r="Q131" s="2869"/>
      <c r="R131" s="2871"/>
    </row>
    <row r="132" s="2398" customFormat="1" spans="2:18">
      <c r="B132" s="2869"/>
      <c r="C132" s="2869"/>
      <c r="D132" s="2869"/>
      <c r="E132" s="2869"/>
      <c r="F132" s="2869"/>
      <c r="G132" s="2870"/>
      <c r="H132" s="2869"/>
      <c r="I132" s="2870"/>
      <c r="J132" s="2869"/>
      <c r="K132" s="2869"/>
      <c r="L132" s="2870"/>
      <c r="M132" s="2869"/>
      <c r="N132" s="2869"/>
      <c r="O132" s="2870"/>
      <c r="P132" s="2869"/>
      <c r="Q132" s="2869"/>
      <c r="R132" s="2871"/>
    </row>
    <row r="133" s="2398" customFormat="1" spans="2:18">
      <c r="B133" s="2869"/>
      <c r="C133" s="2869"/>
      <c r="D133" s="2869"/>
      <c r="E133" s="2869"/>
      <c r="F133" s="2869"/>
      <c r="G133" s="2870"/>
      <c r="H133" s="2869"/>
      <c r="I133" s="2870"/>
      <c r="J133" s="2869"/>
      <c r="K133" s="2869"/>
      <c r="L133" s="2870"/>
      <c r="M133" s="2869"/>
      <c r="N133" s="2869"/>
      <c r="O133" s="2870"/>
      <c r="P133" s="2869"/>
      <c r="Q133" s="2869"/>
      <c r="R133" s="2871"/>
    </row>
    <row r="134" s="2398" customFormat="1" spans="2:18">
      <c r="B134" s="2869"/>
      <c r="C134" s="2869"/>
      <c r="D134" s="2869"/>
      <c r="E134" s="2869"/>
      <c r="F134" s="2869"/>
      <c r="G134" s="2870"/>
      <c r="H134" s="2869"/>
      <c r="I134" s="2870"/>
      <c r="J134" s="2869"/>
      <c r="K134" s="2869"/>
      <c r="L134" s="2870"/>
      <c r="M134" s="2869"/>
      <c r="N134" s="2869"/>
      <c r="O134" s="2870"/>
      <c r="P134" s="2869"/>
      <c r="Q134" s="2869"/>
      <c r="R134" s="2871"/>
    </row>
    <row r="135" s="2398" customFormat="1" spans="2:18">
      <c r="B135" s="2869"/>
      <c r="C135" s="2869"/>
      <c r="D135" s="2869"/>
      <c r="E135" s="2869"/>
      <c r="F135" s="2869"/>
      <c r="G135" s="2870"/>
      <c r="H135" s="2869"/>
      <c r="I135" s="2870"/>
      <c r="J135" s="2869"/>
      <c r="K135" s="2869"/>
      <c r="L135" s="2870"/>
      <c r="M135" s="2869"/>
      <c r="N135" s="2869"/>
      <c r="O135" s="2870"/>
      <c r="P135" s="2869"/>
      <c r="Q135" s="2869"/>
      <c r="R135" s="2871"/>
    </row>
    <row r="136" s="2398" customFormat="1" spans="2:18">
      <c r="B136" s="2869"/>
      <c r="C136" s="2869"/>
      <c r="D136" s="2869"/>
      <c r="E136" s="2869"/>
      <c r="F136" s="2869"/>
      <c r="G136" s="2870"/>
      <c r="H136" s="2869"/>
      <c r="I136" s="2870"/>
      <c r="J136" s="2869"/>
      <c r="K136" s="2869"/>
      <c r="L136" s="2870"/>
      <c r="M136" s="2869"/>
      <c r="N136" s="2869"/>
      <c r="O136" s="2870"/>
      <c r="P136" s="2869"/>
      <c r="Q136" s="2869"/>
      <c r="R136" s="2871"/>
    </row>
    <row r="137" s="2398" customFormat="1" spans="2:18">
      <c r="B137" s="2869"/>
      <c r="C137" s="2869"/>
      <c r="D137" s="2869"/>
      <c r="E137" s="2869"/>
      <c r="F137" s="2869"/>
      <c r="G137" s="2870"/>
      <c r="H137" s="2869"/>
      <c r="I137" s="2870"/>
      <c r="J137" s="2869"/>
      <c r="K137" s="2869"/>
      <c r="L137" s="2870"/>
      <c r="M137" s="2869"/>
      <c r="N137" s="2869"/>
      <c r="O137" s="2870"/>
      <c r="P137" s="2869"/>
      <c r="Q137" s="2869"/>
      <c r="R137" s="2871"/>
    </row>
    <row r="138" s="2398" customFormat="1" spans="2:18">
      <c r="B138" s="2869"/>
      <c r="C138" s="2869"/>
      <c r="D138" s="2869"/>
      <c r="E138" s="2869"/>
      <c r="F138" s="2869"/>
      <c r="G138" s="2870"/>
      <c r="H138" s="2869"/>
      <c r="I138" s="2870"/>
      <c r="J138" s="2869"/>
      <c r="K138" s="2869"/>
      <c r="L138" s="2870"/>
      <c r="M138" s="2869"/>
      <c r="N138" s="2869"/>
      <c r="O138" s="2870"/>
      <c r="P138" s="2869"/>
      <c r="Q138" s="2869"/>
      <c r="R138" s="2871"/>
    </row>
    <row r="139" s="2398" customFormat="1" spans="2:18">
      <c r="B139" s="2869"/>
      <c r="C139" s="2869"/>
      <c r="D139" s="2869"/>
      <c r="E139" s="2869"/>
      <c r="F139" s="2869"/>
      <c r="G139" s="2870"/>
      <c r="H139" s="2869"/>
      <c r="I139" s="2870"/>
      <c r="J139" s="2869"/>
      <c r="K139" s="2869"/>
      <c r="L139" s="2870"/>
      <c r="M139" s="2869"/>
      <c r="N139" s="2869"/>
      <c r="O139" s="2870"/>
      <c r="P139" s="2869"/>
      <c r="Q139" s="2869"/>
      <c r="R139" s="2871"/>
    </row>
    <row r="140" s="2398" customFormat="1" spans="2:18">
      <c r="B140" s="2869"/>
      <c r="C140" s="2869"/>
      <c r="D140" s="2869"/>
      <c r="E140" s="2869"/>
      <c r="F140" s="2869"/>
      <c r="G140" s="2870"/>
      <c r="H140" s="2869"/>
      <c r="I140" s="2870"/>
      <c r="J140" s="2869"/>
      <c r="K140" s="2869"/>
      <c r="L140" s="2870"/>
      <c r="M140" s="2869"/>
      <c r="N140" s="2869"/>
      <c r="O140" s="2870"/>
      <c r="P140" s="2869"/>
      <c r="Q140" s="2869"/>
      <c r="R140" s="2871"/>
    </row>
    <row r="141" s="2398" customFormat="1" spans="2:18">
      <c r="B141" s="2869"/>
      <c r="C141" s="2869"/>
      <c r="D141" s="2869"/>
      <c r="E141" s="2869"/>
      <c r="F141" s="2869"/>
      <c r="G141" s="2870"/>
      <c r="H141" s="2869"/>
      <c r="I141" s="2870"/>
      <c r="J141" s="2869"/>
      <c r="K141" s="2869"/>
      <c r="L141" s="2870"/>
      <c r="M141" s="2869"/>
      <c r="N141" s="2869"/>
      <c r="O141" s="2870"/>
      <c r="P141" s="2869"/>
      <c r="Q141" s="2869"/>
      <c r="R141" s="2871"/>
    </row>
    <row r="142" s="2398" customFormat="1" spans="2:18">
      <c r="B142" s="2869"/>
      <c r="C142" s="2869"/>
      <c r="D142" s="2869"/>
      <c r="E142" s="2869"/>
      <c r="F142" s="2869"/>
      <c r="G142" s="2870"/>
      <c r="H142" s="2869"/>
      <c r="I142" s="2870"/>
      <c r="J142" s="2869"/>
      <c r="K142" s="2869"/>
      <c r="L142" s="2870"/>
      <c r="M142" s="2869"/>
      <c r="N142" s="2869"/>
      <c r="O142" s="2870"/>
      <c r="P142" s="2869"/>
      <c r="Q142" s="2869"/>
      <c r="R142" s="2871"/>
    </row>
    <row r="143" s="2398" customFormat="1" spans="2:18">
      <c r="B143" s="2869"/>
      <c r="C143" s="2869"/>
      <c r="D143" s="2869"/>
      <c r="E143" s="2869"/>
      <c r="F143" s="2869"/>
      <c r="G143" s="2870"/>
      <c r="H143" s="2869"/>
      <c r="I143" s="2870"/>
      <c r="J143" s="2869"/>
      <c r="K143" s="2869"/>
      <c r="L143" s="2870"/>
      <c r="M143" s="2869"/>
      <c r="N143" s="2869"/>
      <c r="O143" s="2870"/>
      <c r="P143" s="2869"/>
      <c r="Q143" s="2869"/>
      <c r="R143" s="2871"/>
    </row>
    <row r="144" s="2398" customFormat="1" spans="2:18">
      <c r="B144" s="2869"/>
      <c r="C144" s="2869"/>
      <c r="D144" s="2869"/>
      <c r="E144" s="2869"/>
      <c r="F144" s="2869"/>
      <c r="G144" s="2870"/>
      <c r="H144" s="2869"/>
      <c r="I144" s="2870"/>
      <c r="J144" s="2869"/>
      <c r="K144" s="2869"/>
      <c r="L144" s="2870"/>
      <c r="M144" s="2869"/>
      <c r="N144" s="2869"/>
      <c r="O144" s="2870"/>
      <c r="P144" s="2869"/>
      <c r="Q144" s="2869"/>
      <c r="R144" s="2871"/>
    </row>
    <row r="145" s="2398" customFormat="1" spans="2:18">
      <c r="B145" s="2869"/>
      <c r="C145" s="2869"/>
      <c r="D145" s="2869"/>
      <c r="E145" s="2869"/>
      <c r="F145" s="2869"/>
      <c r="G145" s="2870"/>
      <c r="H145" s="2869"/>
      <c r="I145" s="2870"/>
      <c r="J145" s="2869"/>
      <c r="K145" s="2869"/>
      <c r="L145" s="2870"/>
      <c r="M145" s="2869"/>
      <c r="N145" s="2869"/>
      <c r="O145" s="2870"/>
      <c r="P145" s="2869"/>
      <c r="Q145" s="2869"/>
      <c r="R145" s="2871"/>
    </row>
    <row r="146" s="2398" customFormat="1" spans="2:18">
      <c r="B146" s="2869"/>
      <c r="C146" s="2869"/>
      <c r="D146" s="2869"/>
      <c r="E146" s="2869"/>
      <c r="F146" s="2869"/>
      <c r="G146" s="2870"/>
      <c r="H146" s="2869"/>
      <c r="I146" s="2870"/>
      <c r="J146" s="2869"/>
      <c r="K146" s="2869"/>
      <c r="L146" s="2870"/>
      <c r="M146" s="2869"/>
      <c r="N146" s="2869"/>
      <c r="O146" s="2870"/>
      <c r="P146" s="2869"/>
      <c r="Q146" s="2869"/>
      <c r="R146" s="2871"/>
    </row>
    <row r="147" s="2398" customFormat="1" spans="2:18">
      <c r="B147" s="2869"/>
      <c r="C147" s="2869"/>
      <c r="D147" s="2869"/>
      <c r="E147" s="2869"/>
      <c r="F147" s="2869"/>
      <c r="G147" s="2870"/>
      <c r="H147" s="2869"/>
      <c r="I147" s="2870"/>
      <c r="J147" s="2869"/>
      <c r="K147" s="2869"/>
      <c r="L147" s="2870"/>
      <c r="M147" s="2869"/>
      <c r="N147" s="2869"/>
      <c r="O147" s="2870"/>
      <c r="P147" s="2869"/>
      <c r="Q147" s="2869"/>
      <c r="R147" s="2871"/>
    </row>
    <row r="148" s="2398" customFormat="1" spans="2:18">
      <c r="B148" s="2869"/>
      <c r="C148" s="2869"/>
      <c r="D148" s="2869"/>
      <c r="E148" s="2869"/>
      <c r="F148" s="2869"/>
      <c r="G148" s="2870"/>
      <c r="H148" s="2869"/>
      <c r="I148" s="2870"/>
      <c r="J148" s="2869"/>
      <c r="K148" s="2869"/>
      <c r="L148" s="2870"/>
      <c r="M148" s="2869"/>
      <c r="N148" s="2869"/>
      <c r="O148" s="2870"/>
      <c r="P148" s="2869"/>
      <c r="Q148" s="2869"/>
      <c r="R148" s="2871"/>
    </row>
    <row r="149" s="2398" customFormat="1" spans="2:18">
      <c r="B149" s="2869"/>
      <c r="C149" s="2869"/>
      <c r="D149" s="2869"/>
      <c r="E149" s="2869"/>
      <c r="F149" s="2869"/>
      <c r="G149" s="2870"/>
      <c r="H149" s="2869"/>
      <c r="I149" s="2870"/>
      <c r="J149" s="2869"/>
      <c r="K149" s="2869"/>
      <c r="L149" s="2870"/>
      <c r="M149" s="2869"/>
      <c r="N149" s="2869"/>
      <c r="O149" s="2870"/>
      <c r="P149" s="2869"/>
      <c r="Q149" s="2869"/>
      <c r="R149" s="2871"/>
    </row>
    <row r="150" s="2398" customFormat="1" spans="2:18">
      <c r="B150" s="2869"/>
      <c r="C150" s="2869"/>
      <c r="D150" s="2869"/>
      <c r="E150" s="2869"/>
      <c r="F150" s="2869"/>
      <c r="G150" s="2870"/>
      <c r="H150" s="2869"/>
      <c r="I150" s="2870"/>
      <c r="J150" s="2869"/>
      <c r="K150" s="2869"/>
      <c r="L150" s="2870"/>
      <c r="M150" s="2869"/>
      <c r="N150" s="2869"/>
      <c r="O150" s="2870"/>
      <c r="P150" s="2869"/>
      <c r="Q150" s="2869"/>
      <c r="R150" s="2871"/>
    </row>
    <row r="151" s="2398" customFormat="1" spans="2:18">
      <c r="B151" s="2869"/>
      <c r="C151" s="2869"/>
      <c r="D151" s="2869"/>
      <c r="E151" s="2869"/>
      <c r="F151" s="2869"/>
      <c r="G151" s="2870"/>
      <c r="H151" s="2869"/>
      <c r="I151" s="2870"/>
      <c r="J151" s="2869"/>
      <c r="K151" s="2869"/>
      <c r="L151" s="2870"/>
      <c r="M151" s="2869"/>
      <c r="N151" s="2869"/>
      <c r="O151" s="2870"/>
      <c r="P151" s="2869"/>
      <c r="Q151" s="2869"/>
      <c r="R151" s="2871"/>
    </row>
    <row r="152" s="2398" customFormat="1" spans="2:18">
      <c r="B152" s="2869"/>
      <c r="C152" s="2869"/>
      <c r="D152" s="2869"/>
      <c r="E152" s="2869"/>
      <c r="F152" s="2869"/>
      <c r="G152" s="2870"/>
      <c r="H152" s="2869"/>
      <c r="I152" s="2870"/>
      <c r="J152" s="2869"/>
      <c r="K152" s="2869"/>
      <c r="L152" s="2870"/>
      <c r="M152" s="2869"/>
      <c r="N152" s="2869"/>
      <c r="O152" s="2870"/>
      <c r="P152" s="2869"/>
      <c r="Q152" s="2869"/>
      <c r="R152" s="2871"/>
    </row>
    <row r="153" s="2398" customFormat="1" spans="2:18">
      <c r="B153" s="2869"/>
      <c r="C153" s="2869"/>
      <c r="D153" s="2869"/>
      <c r="E153" s="2869"/>
      <c r="F153" s="2869"/>
      <c r="G153" s="2870"/>
      <c r="H153" s="2869"/>
      <c r="I153" s="2870"/>
      <c r="J153" s="2869"/>
      <c r="K153" s="2869"/>
      <c r="L153" s="2870"/>
      <c r="M153" s="2869"/>
      <c r="N153" s="2869"/>
      <c r="O153" s="2870"/>
      <c r="P153" s="2869"/>
      <c r="Q153" s="2869"/>
      <c r="R153" s="2871"/>
    </row>
    <row r="154" s="2398" customFormat="1" spans="2:18">
      <c r="B154" s="2869"/>
      <c r="C154" s="2869"/>
      <c r="D154" s="2869"/>
      <c r="E154" s="2869"/>
      <c r="F154" s="2869"/>
      <c r="G154" s="2870"/>
      <c r="H154" s="2869"/>
      <c r="I154" s="2870"/>
      <c r="J154" s="2869"/>
      <c r="K154" s="2869"/>
      <c r="L154" s="2870"/>
      <c r="M154" s="2869"/>
      <c r="N154" s="2869"/>
      <c r="O154" s="2870"/>
      <c r="P154" s="2869"/>
      <c r="Q154" s="2869"/>
      <c r="R154" s="2871"/>
    </row>
    <row r="155" s="2398" customFormat="1" spans="2:18">
      <c r="B155" s="2869"/>
      <c r="C155" s="2869"/>
      <c r="D155" s="2869"/>
      <c r="E155" s="2869"/>
      <c r="F155" s="2869"/>
      <c r="G155" s="2870"/>
      <c r="H155" s="2869"/>
      <c r="I155" s="2870"/>
      <c r="J155" s="2869"/>
      <c r="K155" s="2869"/>
      <c r="L155" s="2870"/>
      <c r="M155" s="2869"/>
      <c r="N155" s="2869"/>
      <c r="O155" s="2870"/>
      <c r="P155" s="2869"/>
      <c r="Q155" s="2869"/>
      <c r="R155" s="2871"/>
    </row>
    <row r="156" s="2398" customFormat="1" spans="2:18">
      <c r="B156" s="2869"/>
      <c r="C156" s="2869"/>
      <c r="D156" s="2869"/>
      <c r="E156" s="2869"/>
      <c r="F156" s="2869"/>
      <c r="G156" s="2870"/>
      <c r="H156" s="2869"/>
      <c r="I156" s="2870"/>
      <c r="J156" s="2869"/>
      <c r="K156" s="2869"/>
      <c r="L156" s="2870"/>
      <c r="M156" s="2869"/>
      <c r="N156" s="2869"/>
      <c r="O156" s="2870"/>
      <c r="P156" s="2869"/>
      <c r="Q156" s="2869"/>
      <c r="R156" s="2871"/>
    </row>
    <row r="157" s="2398" customFormat="1" spans="2:18">
      <c r="B157" s="2869"/>
      <c r="C157" s="2869"/>
      <c r="D157" s="2869"/>
      <c r="E157" s="2869"/>
      <c r="F157" s="2869"/>
      <c r="G157" s="2870"/>
      <c r="H157" s="2869"/>
      <c r="I157" s="2870"/>
      <c r="J157" s="2869"/>
      <c r="K157" s="2869"/>
      <c r="L157" s="2870"/>
      <c r="M157" s="2869"/>
      <c r="N157" s="2869"/>
      <c r="O157" s="2870"/>
      <c r="P157" s="2869"/>
      <c r="Q157" s="2869"/>
      <c r="R157" s="2871"/>
    </row>
    <row r="158" s="2398" customFormat="1" spans="2:18">
      <c r="B158" s="2869"/>
      <c r="C158" s="2869"/>
      <c r="D158" s="2869"/>
      <c r="E158" s="2869"/>
      <c r="F158" s="2869"/>
      <c r="G158" s="2870"/>
      <c r="H158" s="2869"/>
      <c r="I158" s="2870"/>
      <c r="J158" s="2869"/>
      <c r="K158" s="2869"/>
      <c r="L158" s="2870"/>
      <c r="M158" s="2869"/>
      <c r="N158" s="2869"/>
      <c r="O158" s="2870"/>
      <c r="P158" s="2869"/>
      <c r="Q158" s="2869"/>
      <c r="R158" s="2871"/>
    </row>
    <row r="159" s="2398" customFormat="1" spans="2:18">
      <c r="B159" s="2869"/>
      <c r="C159" s="2869"/>
      <c r="D159" s="2869"/>
      <c r="E159" s="2869"/>
      <c r="F159" s="2869"/>
      <c r="G159" s="2870"/>
      <c r="H159" s="2869"/>
      <c r="I159" s="2870"/>
      <c r="J159" s="2869"/>
      <c r="K159" s="2869"/>
      <c r="L159" s="2870"/>
      <c r="M159" s="2869"/>
      <c r="N159" s="2869"/>
      <c r="O159" s="2870"/>
      <c r="P159" s="2869"/>
      <c r="Q159" s="2869"/>
      <c r="R159" s="2871"/>
    </row>
    <row r="160" s="2398" customFormat="1" spans="2:18">
      <c r="B160" s="2869"/>
      <c r="C160" s="2869"/>
      <c r="D160" s="2869"/>
      <c r="E160" s="2869"/>
      <c r="F160" s="2869"/>
      <c r="G160" s="2870"/>
      <c r="H160" s="2869"/>
      <c r="I160" s="2870"/>
      <c r="J160" s="2869"/>
      <c r="K160" s="2869"/>
      <c r="L160" s="2870"/>
      <c r="M160" s="2869"/>
      <c r="N160" s="2869"/>
      <c r="O160" s="2870"/>
      <c r="P160" s="2869"/>
      <c r="Q160" s="2869"/>
      <c r="R160" s="2871"/>
    </row>
    <row r="161" s="2398" customFormat="1" spans="2:18">
      <c r="B161" s="2869"/>
      <c r="C161" s="2869"/>
      <c r="D161" s="2869"/>
      <c r="E161" s="2869"/>
      <c r="F161" s="2869"/>
      <c r="G161" s="2870"/>
      <c r="H161" s="2869"/>
      <c r="I161" s="2870"/>
      <c r="J161" s="2869"/>
      <c r="K161" s="2869"/>
      <c r="L161" s="2870"/>
      <c r="M161" s="2869"/>
      <c r="N161" s="2869"/>
      <c r="O161" s="2870"/>
      <c r="P161" s="2869"/>
      <c r="Q161" s="2869"/>
      <c r="R161" s="2871"/>
    </row>
    <row r="162" s="2398" customFormat="1" spans="2:18">
      <c r="B162" s="2869"/>
      <c r="C162" s="2869"/>
      <c r="D162" s="2869"/>
      <c r="E162" s="2869"/>
      <c r="F162" s="2869"/>
      <c r="G162" s="2870"/>
      <c r="H162" s="2869"/>
      <c r="I162" s="2870"/>
      <c r="J162" s="2869"/>
      <c r="K162" s="2869"/>
      <c r="L162" s="2870"/>
      <c r="M162" s="2869"/>
      <c r="N162" s="2869"/>
      <c r="O162" s="2870"/>
      <c r="P162" s="2869"/>
      <c r="Q162" s="2869"/>
      <c r="R162" s="2871"/>
    </row>
    <row r="163" s="2398" customFormat="1" spans="2:18">
      <c r="B163" s="2869"/>
      <c r="C163" s="2869"/>
      <c r="D163" s="2869"/>
      <c r="E163" s="2869"/>
      <c r="F163" s="2869"/>
      <c r="G163" s="2870"/>
      <c r="H163" s="2869"/>
      <c r="I163" s="2870"/>
      <c r="J163" s="2869"/>
      <c r="K163" s="2869"/>
      <c r="L163" s="2870"/>
      <c r="M163" s="2869"/>
      <c r="N163" s="2869"/>
      <c r="O163" s="2870"/>
      <c r="P163" s="2869"/>
      <c r="Q163" s="2869"/>
      <c r="R163" s="2871"/>
    </row>
    <row r="164" s="2398" customFormat="1" spans="2:18">
      <c r="B164" s="2869"/>
      <c r="C164" s="2869"/>
      <c r="D164" s="2869"/>
      <c r="E164" s="2869"/>
      <c r="F164" s="2869"/>
      <c r="G164" s="2870"/>
      <c r="H164" s="2869"/>
      <c r="I164" s="2870"/>
      <c r="J164" s="2869"/>
      <c r="K164" s="2869"/>
      <c r="L164" s="2870"/>
      <c r="M164" s="2869"/>
      <c r="N164" s="2869"/>
      <c r="O164" s="2870"/>
      <c r="P164" s="2869"/>
      <c r="Q164" s="2869"/>
      <c r="R164" s="2871"/>
    </row>
    <row r="165" s="2398" customFormat="1" spans="2:18">
      <c r="B165" s="2869"/>
      <c r="C165" s="2869"/>
      <c r="D165" s="2869"/>
      <c r="E165" s="2869"/>
      <c r="F165" s="2869"/>
      <c r="G165" s="2870"/>
      <c r="H165" s="2869"/>
      <c r="I165" s="2870"/>
      <c r="J165" s="2869"/>
      <c r="K165" s="2869"/>
      <c r="L165" s="2870"/>
      <c r="M165" s="2869"/>
      <c r="N165" s="2869"/>
      <c r="O165" s="2870"/>
      <c r="P165" s="2869"/>
      <c r="Q165" s="2869"/>
      <c r="R165" s="2871"/>
    </row>
    <row r="166" s="2398" customFormat="1" spans="2:18">
      <c r="B166" s="2869"/>
      <c r="C166" s="2869"/>
      <c r="D166" s="2869"/>
      <c r="E166" s="2869"/>
      <c r="F166" s="2869"/>
      <c r="G166" s="2870"/>
      <c r="H166" s="2869"/>
      <c r="I166" s="2870"/>
      <c r="J166" s="2869"/>
      <c r="K166" s="2869"/>
      <c r="L166" s="2870"/>
      <c r="M166" s="2869"/>
      <c r="N166" s="2869"/>
      <c r="O166" s="2870"/>
      <c r="P166" s="2869"/>
      <c r="Q166" s="2869"/>
      <c r="R166" s="2871"/>
    </row>
    <row r="167" s="2398" customFormat="1" spans="2:18">
      <c r="B167" s="2869"/>
      <c r="C167" s="2869"/>
      <c r="D167" s="2869"/>
      <c r="E167" s="2869"/>
      <c r="F167" s="2869"/>
      <c r="G167" s="2870"/>
      <c r="H167" s="2869"/>
      <c r="I167" s="2870"/>
      <c r="J167" s="2869"/>
      <c r="K167" s="2869"/>
      <c r="L167" s="2870"/>
      <c r="M167" s="2869"/>
      <c r="N167" s="2869"/>
      <c r="O167" s="2870"/>
      <c r="P167" s="2869"/>
      <c r="Q167" s="2869"/>
      <c r="R167" s="2871"/>
    </row>
    <row r="168" s="2398" customFormat="1" spans="2:18">
      <c r="B168" s="2869"/>
      <c r="C168" s="2869"/>
      <c r="D168" s="2869"/>
      <c r="E168" s="2869"/>
      <c r="F168" s="2869"/>
      <c r="G168" s="2870"/>
      <c r="H168" s="2869"/>
      <c r="I168" s="2870"/>
      <c r="J168" s="2869"/>
      <c r="K168" s="2869"/>
      <c r="L168" s="2870"/>
      <c r="M168" s="2869"/>
      <c r="N168" s="2869"/>
      <c r="O168" s="2870"/>
      <c r="P168" s="2869"/>
      <c r="Q168" s="2869"/>
      <c r="R168" s="2871"/>
    </row>
    <row r="169" s="2398" customFormat="1" spans="2:18">
      <c r="B169" s="2869"/>
      <c r="C169" s="2869"/>
      <c r="D169" s="2869"/>
      <c r="E169" s="2869"/>
      <c r="F169" s="2869"/>
      <c r="G169" s="2870"/>
      <c r="H169" s="2869"/>
      <c r="I169" s="2870"/>
      <c r="J169" s="2869"/>
      <c r="K169" s="2869"/>
      <c r="L169" s="2870"/>
      <c r="M169" s="2869"/>
      <c r="N169" s="2869"/>
      <c r="O169" s="2870"/>
      <c r="P169" s="2869"/>
      <c r="Q169" s="2869"/>
      <c r="R169" s="2871"/>
    </row>
    <row r="170" s="2398" customFormat="1" spans="2:18">
      <c r="B170" s="2869"/>
      <c r="C170" s="2869"/>
      <c r="D170" s="2869"/>
      <c r="E170" s="2869"/>
      <c r="F170" s="2869"/>
      <c r="G170" s="2870"/>
      <c r="H170" s="2869"/>
      <c r="I170" s="2870"/>
      <c r="J170" s="2869"/>
      <c r="K170" s="2869"/>
      <c r="L170" s="2870"/>
      <c r="M170" s="2869"/>
      <c r="N170" s="2869"/>
      <c r="O170" s="2870"/>
      <c r="P170" s="2869"/>
      <c r="Q170" s="2869"/>
      <c r="R170" s="2871"/>
    </row>
    <row r="171" s="2398" customFormat="1" spans="2:18">
      <c r="B171" s="2869"/>
      <c r="C171" s="2869"/>
      <c r="D171" s="2869"/>
      <c r="E171" s="2869"/>
      <c r="F171" s="2869"/>
      <c r="G171" s="2870"/>
      <c r="H171" s="2869"/>
      <c r="I171" s="2870"/>
      <c r="J171" s="2869"/>
      <c r="K171" s="2869"/>
      <c r="L171" s="2870"/>
      <c r="M171" s="2869"/>
      <c r="N171" s="2869"/>
      <c r="O171" s="2870"/>
      <c r="P171" s="2869"/>
      <c r="Q171" s="2869"/>
      <c r="R171" s="2871"/>
    </row>
    <row r="172" s="2398" customFormat="1" spans="2:18">
      <c r="B172" s="2869"/>
      <c r="C172" s="2869"/>
      <c r="D172" s="2869"/>
      <c r="E172" s="2869"/>
      <c r="F172" s="2869"/>
      <c r="G172" s="2870"/>
      <c r="H172" s="2869"/>
      <c r="I172" s="2870"/>
      <c r="J172" s="2869"/>
      <c r="K172" s="2869"/>
      <c r="L172" s="2870"/>
      <c r="M172" s="2869"/>
      <c r="N172" s="2869"/>
      <c r="O172" s="2870"/>
      <c r="P172" s="2869"/>
      <c r="Q172" s="2869"/>
      <c r="R172" s="2871"/>
    </row>
    <row r="173" s="2398" customFormat="1" spans="2:18">
      <c r="B173" s="2869"/>
      <c r="C173" s="2869"/>
      <c r="D173" s="2869"/>
      <c r="E173" s="2869"/>
      <c r="F173" s="2869"/>
      <c r="G173" s="2870"/>
      <c r="H173" s="2869"/>
      <c r="I173" s="2870"/>
      <c r="J173" s="2869"/>
      <c r="K173" s="2869"/>
      <c r="L173" s="2870"/>
      <c r="M173" s="2869"/>
      <c r="N173" s="2869"/>
      <c r="O173" s="2870"/>
      <c r="P173" s="2869"/>
      <c r="Q173" s="2869"/>
      <c r="R173" s="2871"/>
    </row>
    <row r="174" s="2398" customFormat="1" spans="2:18">
      <c r="B174" s="2869"/>
      <c r="C174" s="2869"/>
      <c r="D174" s="2869"/>
      <c r="E174" s="2869"/>
      <c r="F174" s="2869"/>
      <c r="G174" s="2870"/>
      <c r="H174" s="2869"/>
      <c r="I174" s="2870"/>
      <c r="J174" s="2869"/>
      <c r="K174" s="2869"/>
      <c r="L174" s="2870"/>
      <c r="M174" s="2869"/>
      <c r="N174" s="2869"/>
      <c r="O174" s="2870"/>
      <c r="P174" s="2869"/>
      <c r="Q174" s="2869"/>
      <c r="R174" s="2871"/>
    </row>
    <row r="175" s="2398" customFormat="1" spans="2:18">
      <c r="B175" s="2869"/>
      <c r="C175" s="2869"/>
      <c r="D175" s="2869"/>
      <c r="E175" s="2869"/>
      <c r="F175" s="2869"/>
      <c r="G175" s="2870"/>
      <c r="H175" s="2869"/>
      <c r="I175" s="2870"/>
      <c r="J175" s="2869"/>
      <c r="K175" s="2869"/>
      <c r="L175" s="2870"/>
      <c r="M175" s="2869"/>
      <c r="N175" s="2869"/>
      <c r="O175" s="2870"/>
      <c r="P175" s="2869"/>
      <c r="Q175" s="2869"/>
      <c r="R175" s="2871"/>
    </row>
    <row r="176" s="2398" customFormat="1" spans="2:18">
      <c r="B176" s="2869"/>
      <c r="C176" s="2869"/>
      <c r="D176" s="2869"/>
      <c r="E176" s="2869"/>
      <c r="F176" s="2869"/>
      <c r="G176" s="2870"/>
      <c r="H176" s="2869"/>
      <c r="I176" s="2870"/>
      <c r="J176" s="2869"/>
      <c r="K176" s="2869"/>
      <c r="L176" s="2870"/>
      <c r="M176" s="2869"/>
      <c r="N176" s="2869"/>
      <c r="O176" s="2870"/>
      <c r="P176" s="2869"/>
      <c r="Q176" s="2869"/>
      <c r="R176" s="2871"/>
    </row>
    <row r="177" s="2398" customFormat="1" spans="2:18">
      <c r="B177" s="2869"/>
      <c r="C177" s="2869"/>
      <c r="D177" s="2869"/>
      <c r="E177" s="2869"/>
      <c r="F177" s="2869"/>
      <c r="G177" s="2870"/>
      <c r="H177" s="2869"/>
      <c r="I177" s="2870"/>
      <c r="J177" s="2869"/>
      <c r="K177" s="2869"/>
      <c r="L177" s="2870"/>
      <c r="M177" s="2869"/>
      <c r="N177" s="2869"/>
      <c r="O177" s="2870"/>
      <c r="P177" s="2869"/>
      <c r="Q177" s="2869"/>
      <c r="R177" s="2871"/>
    </row>
    <row r="178" s="2398" customFormat="1" spans="2:18">
      <c r="B178" s="2869"/>
      <c r="C178" s="2869"/>
      <c r="D178" s="2869"/>
      <c r="E178" s="2869"/>
      <c r="F178" s="2869"/>
      <c r="G178" s="2870"/>
      <c r="H178" s="2869"/>
      <c r="I178" s="2870"/>
      <c r="J178" s="2869"/>
      <c r="K178" s="2869"/>
      <c r="L178" s="2870"/>
      <c r="M178" s="2869"/>
      <c r="N178" s="2869"/>
      <c r="O178" s="2870"/>
      <c r="P178" s="2869"/>
      <c r="Q178" s="2869"/>
      <c r="R178" s="2871"/>
    </row>
    <row r="179" s="2398" customFormat="1" spans="2:18">
      <c r="B179" s="2869"/>
      <c r="C179" s="2869"/>
      <c r="D179" s="2869"/>
      <c r="E179" s="2869"/>
      <c r="F179" s="2869"/>
      <c r="G179" s="2870"/>
      <c r="H179" s="2869"/>
      <c r="I179" s="2870"/>
      <c r="J179" s="2869"/>
      <c r="K179" s="2869"/>
      <c r="L179" s="2870"/>
      <c r="M179" s="2869"/>
      <c r="N179" s="2869"/>
      <c r="O179" s="2870"/>
      <c r="P179" s="2869"/>
      <c r="Q179" s="2869"/>
      <c r="R179" s="2871"/>
    </row>
    <row r="180" s="2398" customFormat="1" spans="2:18">
      <c r="B180" s="2869"/>
      <c r="C180" s="2869"/>
      <c r="D180" s="2869"/>
      <c r="E180" s="2869"/>
      <c r="F180" s="2869"/>
      <c r="G180" s="2870"/>
      <c r="H180" s="2869"/>
      <c r="I180" s="2870"/>
      <c r="J180" s="2869"/>
      <c r="K180" s="2869"/>
      <c r="L180" s="2870"/>
      <c r="M180" s="2869"/>
      <c r="N180" s="2869"/>
      <c r="O180" s="2870"/>
      <c r="P180" s="2869"/>
      <c r="Q180" s="2869"/>
      <c r="R180" s="2871"/>
    </row>
    <row r="181" s="2398" customFormat="1" spans="2:18">
      <c r="B181" s="2869"/>
      <c r="C181" s="2869"/>
      <c r="D181" s="2869"/>
      <c r="E181" s="2869"/>
      <c r="F181" s="2869"/>
      <c r="G181" s="2870"/>
      <c r="H181" s="2869"/>
      <c r="I181" s="2870"/>
      <c r="J181" s="2869"/>
      <c r="K181" s="2869"/>
      <c r="L181" s="2870"/>
      <c r="M181" s="2869"/>
      <c r="N181" s="2869"/>
      <c r="O181" s="2870"/>
      <c r="P181" s="2869"/>
      <c r="Q181" s="2869"/>
      <c r="R181" s="2871"/>
    </row>
    <row r="182" s="2398" customFormat="1" spans="2:18">
      <c r="B182" s="2869"/>
      <c r="C182" s="2869"/>
      <c r="D182" s="2869"/>
      <c r="E182" s="2869"/>
      <c r="F182" s="2869"/>
      <c r="G182" s="2870"/>
      <c r="H182" s="2869"/>
      <c r="I182" s="2870"/>
      <c r="J182" s="2869"/>
      <c r="K182" s="2869"/>
      <c r="L182" s="2870"/>
      <c r="M182" s="2869"/>
      <c r="N182" s="2869"/>
      <c r="O182" s="2870"/>
      <c r="P182" s="2869"/>
      <c r="Q182" s="2869"/>
      <c r="R182" s="2871"/>
    </row>
    <row r="183" s="2398" customFormat="1" spans="2:18">
      <c r="B183" s="2869"/>
      <c r="C183" s="2869"/>
      <c r="D183" s="2869"/>
      <c r="E183" s="2869"/>
      <c r="F183" s="2869"/>
      <c r="G183" s="2870"/>
      <c r="H183" s="2869"/>
      <c r="I183" s="2870"/>
      <c r="J183" s="2869"/>
      <c r="K183" s="2869"/>
      <c r="L183" s="2870"/>
      <c r="M183" s="2869"/>
      <c r="N183" s="2869"/>
      <c r="O183" s="2870"/>
      <c r="P183" s="2869"/>
      <c r="Q183" s="2869"/>
      <c r="R183" s="2871"/>
    </row>
    <row r="184" s="2398" customFormat="1" spans="2:18">
      <c r="B184" s="2869"/>
      <c r="C184" s="2869"/>
      <c r="D184" s="2869"/>
      <c r="E184" s="2869"/>
      <c r="F184" s="2869"/>
      <c r="G184" s="2870"/>
      <c r="H184" s="2869"/>
      <c r="I184" s="2870"/>
      <c r="J184" s="2869"/>
      <c r="K184" s="2869"/>
      <c r="L184" s="2870"/>
      <c r="M184" s="2869"/>
      <c r="N184" s="2869"/>
      <c r="O184" s="2870"/>
      <c r="P184" s="2869"/>
      <c r="Q184" s="2869"/>
      <c r="R184" s="2871"/>
    </row>
    <row r="185" s="2398"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98"/>
      <c r="B186" s="2869"/>
      <c r="C186" s="2869"/>
      <c r="E186" s="2869"/>
      <c r="F186" s="2869"/>
      <c r="G186" s="2870"/>
    </row>
    <row r="187" spans="1:7">
      <c r="A187" s="2398"/>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5" sqref="K15"/>
    </sheetView>
  </sheetViews>
  <sheetFormatPr defaultColWidth="9" defaultRowHeight="13.5"/>
  <cols>
    <col min="1" max="1" width="25" style="2847" customWidth="1"/>
    <col min="2" max="9" width="15.75" style="2847" customWidth="1"/>
    <col min="10" max="16384" width="9" style="2847"/>
  </cols>
  <sheetData>
    <row r="1" ht="16.5" spans="1:11">
      <c r="A1" s="2848" t="s">
        <v>824</v>
      </c>
      <c r="B1" s="2848">
        <f>SUM(B14:B23)</f>
        <v>695.5</v>
      </c>
      <c r="C1" s="2849"/>
      <c r="D1" s="2849"/>
      <c r="E1" s="2849"/>
      <c r="F1" s="2849"/>
      <c r="G1" s="2850"/>
      <c r="H1" s="2851"/>
      <c r="I1" s="2851"/>
      <c r="J1" s="2851"/>
      <c r="K1" s="2851"/>
    </row>
    <row r="2" ht="16.5" spans="1:11">
      <c r="A2" s="2848" t="s">
        <v>825</v>
      </c>
      <c r="B2" s="2848">
        <f>SUM(C14:C23)</f>
        <v>0</v>
      </c>
      <c r="C2" s="2849"/>
      <c r="D2" s="2849"/>
      <c r="E2" s="2849"/>
      <c r="F2" s="2849"/>
      <c r="G2" s="2850"/>
      <c r="H2" s="2851"/>
      <c r="I2" s="2851"/>
      <c r="J2" s="2851"/>
      <c r="K2" s="2851"/>
    </row>
    <row r="3" ht="16.5" spans="1:11">
      <c r="A3" s="2848" t="s">
        <v>826</v>
      </c>
      <c r="B3" s="2852">
        <f>项目基本情况!D3</f>
        <v>45394</v>
      </c>
      <c r="C3" s="2849"/>
      <c r="D3" s="2849"/>
      <c r="E3" s="2849"/>
      <c r="F3" s="2849"/>
      <c r="G3" s="2850"/>
      <c r="H3" s="2851"/>
      <c r="I3" s="2851"/>
      <c r="J3" s="2851"/>
      <c r="K3" s="2851"/>
    </row>
    <row r="4" ht="33" spans="1:11">
      <c r="A4" s="2848" t="s">
        <v>827</v>
      </c>
      <c r="B4" s="2848" t="s">
        <v>828</v>
      </c>
      <c r="C4" s="2848" t="s">
        <v>829</v>
      </c>
      <c r="D4" s="2848" t="s">
        <v>830</v>
      </c>
      <c r="E4" s="2849"/>
      <c r="F4" s="2850"/>
      <c r="G4" s="2850"/>
      <c r="H4" s="2851"/>
      <c r="I4" s="2851"/>
      <c r="J4" s="2851"/>
      <c r="K4" s="2851"/>
    </row>
    <row r="5" ht="16.5" spans="1:11">
      <c r="A5" s="2848" t="s">
        <v>831</v>
      </c>
      <c r="B5" s="2848">
        <f ca="1">SUM(D14:D23)</f>
        <v>2548</v>
      </c>
      <c r="C5" s="2848">
        <f ca="1">IF(B5=D14,结果表!H102,ROUND(B5*10000/$B$1,0))</f>
        <v>36636</v>
      </c>
      <c r="D5" s="2848" t="e">
        <f ca="1">ROUND(B5*10000/$B$2,0)</f>
        <v>#DIV/0!</v>
      </c>
      <c r="E5" s="2849"/>
      <c r="F5" s="2850"/>
      <c r="G5" s="2850"/>
      <c r="H5" s="2851"/>
      <c r="I5" s="2851"/>
      <c r="J5" s="2851"/>
      <c r="K5" s="2851"/>
    </row>
    <row r="6" ht="16.5" spans="1:11">
      <c r="A6" s="2848" t="s">
        <v>832</v>
      </c>
      <c r="B6" s="2848">
        <f ca="1">SUM(G14:G23)</f>
        <v>2548</v>
      </c>
      <c r="C6" s="2848">
        <f ca="1">IF(B6=G14,结果表!H108,ROUND(B6*10000/$B$1,0))</f>
        <v>36636</v>
      </c>
      <c r="D6" s="2848" t="e">
        <f ca="1">ROUND(B6*10000/$B$2,0)</f>
        <v>#DIV/0!</v>
      </c>
      <c r="E6" s="2849"/>
      <c r="F6" s="2850"/>
      <c r="G6" s="2850"/>
      <c r="H6" s="2851"/>
      <c r="I6" s="2851"/>
      <c r="J6" s="2851"/>
      <c r="K6" s="2851"/>
    </row>
    <row r="7" ht="16.5" spans="1:11">
      <c r="A7" s="2848" t="s">
        <v>833</v>
      </c>
      <c r="B7" s="2848">
        <f>SUM(H14:H23)</f>
        <v>0</v>
      </c>
      <c r="C7" s="2848" t="str">
        <f ca="1">IF(B7=H14,结果表!H110,ROUND(B7*10000/$B$1,0))</f>
        <v>——</v>
      </c>
      <c r="D7" s="2848" t="e">
        <f>ROUND(B7*10000/$B$2,0)</f>
        <v>#DIV/0!</v>
      </c>
      <c r="E7" s="2849"/>
      <c r="F7" s="2850"/>
      <c r="G7" s="2850"/>
      <c r="H7" s="2851"/>
      <c r="I7" s="2851"/>
      <c r="J7" s="2851"/>
      <c r="K7" s="2851"/>
    </row>
    <row r="8" ht="16.5" spans="1:11">
      <c r="A8" s="2848" t="s">
        <v>340</v>
      </c>
      <c r="B8" s="2848">
        <f>SUM(I14:I23)</f>
        <v>0</v>
      </c>
      <c r="C8" s="2848" t="str">
        <f ca="1">IF(B8=I14,结果表!H112,ROUND(B8*10000/$B$1,0))</f>
        <v>——</v>
      </c>
      <c r="D8" s="2848" t="e">
        <f>ROUND(B8*10000/$B$2,0)</f>
        <v>#DIV/0!</v>
      </c>
      <c r="E8" s="2849"/>
      <c r="F8" s="2850"/>
      <c r="G8" s="2850"/>
      <c r="H8" s="2851"/>
      <c r="I8" s="2851"/>
      <c r="J8" s="2851"/>
      <c r="K8" s="2851"/>
    </row>
    <row r="9" ht="16.5" spans="1:11">
      <c r="A9" s="2848" t="s">
        <v>834</v>
      </c>
      <c r="B9" s="2853"/>
      <c r="C9" s="2849"/>
      <c r="D9" s="2849"/>
      <c r="E9" s="2849"/>
      <c r="F9" s="2850"/>
      <c r="G9" s="2850"/>
      <c r="H9" s="2851"/>
      <c r="I9" s="2851"/>
      <c r="J9" s="2851"/>
      <c r="K9" s="2851"/>
    </row>
    <row r="10" ht="16.5" spans="1:11">
      <c r="A10" s="2848" t="s">
        <v>835</v>
      </c>
      <c r="B10" s="2848">
        <f>IF(E10="",0,ROUND(B1*(E10*365/G10)/10000,0))</f>
        <v>0</v>
      </c>
      <c r="C10" s="2848" t="s">
        <v>836</v>
      </c>
      <c r="D10" s="2848" t="s">
        <v>835</v>
      </c>
      <c r="E10" s="2854"/>
      <c r="F10" s="2855" t="s">
        <v>837</v>
      </c>
      <c r="G10" s="2856"/>
      <c r="H10" s="2851"/>
      <c r="I10" s="2851"/>
      <c r="J10" s="2851"/>
      <c r="K10" s="2851"/>
    </row>
    <row r="11" ht="16.5" spans="1:11">
      <c r="A11" s="2848" t="s">
        <v>838</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839</v>
      </c>
      <c r="B13" s="2858" t="s">
        <v>824</v>
      </c>
      <c r="C13" s="2858" t="s">
        <v>825</v>
      </c>
      <c r="D13" s="2858" t="s">
        <v>840</v>
      </c>
      <c r="E13" s="2848" t="s">
        <v>829</v>
      </c>
      <c r="F13" s="2848" t="s">
        <v>830</v>
      </c>
      <c r="G13" s="2858" t="s">
        <v>841</v>
      </c>
      <c r="H13" s="2858" t="s">
        <v>842</v>
      </c>
      <c r="I13" s="2858" t="s">
        <v>843</v>
      </c>
      <c r="J13" s="2850"/>
      <c r="K13" s="2851"/>
    </row>
    <row r="14" ht="16.5" spans="1:11">
      <c r="A14" s="2859" t="s">
        <v>844</v>
      </c>
      <c r="B14" s="2860">
        <f>'数据-基础表'!B3</f>
        <v>695.5</v>
      </c>
      <c r="C14" s="2860"/>
      <c r="D14" s="2860">
        <f ca="1">结果表!M48</f>
        <v>2548</v>
      </c>
      <c r="E14" s="2860">
        <f ca="1">ROUND(D14*10000/B14,0)</f>
        <v>36636</v>
      </c>
      <c r="F14" s="2860" t="e">
        <f ca="1">ROUND(D14*10000/C14,0)</f>
        <v>#DIV/0!</v>
      </c>
      <c r="G14" s="2860">
        <f ca="1">结果表!M49</f>
        <v>2548</v>
      </c>
      <c r="H14" s="2860"/>
      <c r="I14" s="2860"/>
      <c r="J14" s="2850"/>
      <c r="K14" s="2851"/>
    </row>
    <row r="15" ht="16.5" spans="1:11">
      <c r="A15" s="2859" t="s">
        <v>845</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846</v>
      </c>
      <c r="B16" s="2861"/>
      <c r="C16" s="2861"/>
      <c r="D16" s="2861"/>
      <c r="E16" s="2860" t="e">
        <f t="shared" si="0"/>
        <v>#DIV/0!</v>
      </c>
      <c r="F16" s="2860" t="e">
        <f t="shared" si="1"/>
        <v>#DIV/0!</v>
      </c>
      <c r="G16" s="2862"/>
      <c r="H16" s="2862"/>
      <c r="I16" s="2861"/>
      <c r="J16" s="2851"/>
      <c r="K16" s="2851"/>
    </row>
    <row r="17" ht="16.5" spans="1:11">
      <c r="A17" s="2859" t="s">
        <v>847</v>
      </c>
      <c r="B17" s="2861"/>
      <c r="C17" s="2861"/>
      <c r="D17" s="2861"/>
      <c r="E17" s="2860" t="e">
        <f t="shared" si="0"/>
        <v>#DIV/0!</v>
      </c>
      <c r="F17" s="2860" t="e">
        <f t="shared" si="1"/>
        <v>#DIV/0!</v>
      </c>
      <c r="G17" s="2862"/>
      <c r="H17" s="2862"/>
      <c r="I17" s="2861"/>
      <c r="J17" s="2851"/>
      <c r="K17" s="2851"/>
    </row>
    <row r="18" ht="16.5" spans="1:11">
      <c r="A18" s="2859" t="s">
        <v>848</v>
      </c>
      <c r="B18" s="2861"/>
      <c r="C18" s="2861"/>
      <c r="D18" s="2861"/>
      <c r="E18" s="2860" t="e">
        <f t="shared" si="0"/>
        <v>#DIV/0!</v>
      </c>
      <c r="F18" s="2860" t="e">
        <f t="shared" si="1"/>
        <v>#DIV/0!</v>
      </c>
      <c r="G18" s="2861"/>
      <c r="H18" s="2861"/>
      <c r="I18" s="2861"/>
      <c r="J18" s="2851"/>
      <c r="K18" s="2851"/>
    </row>
    <row r="19" ht="16.5" spans="1:11">
      <c r="A19" s="2859" t="s">
        <v>849</v>
      </c>
      <c r="B19" s="2861"/>
      <c r="C19" s="2861"/>
      <c r="D19" s="2861"/>
      <c r="E19" s="2860" t="e">
        <f t="shared" si="0"/>
        <v>#DIV/0!</v>
      </c>
      <c r="F19" s="2860" t="e">
        <f t="shared" si="1"/>
        <v>#DIV/0!</v>
      </c>
      <c r="G19" s="2861"/>
      <c r="H19" s="2861"/>
      <c r="I19" s="2861"/>
      <c r="J19" s="2851"/>
      <c r="K19" s="2851"/>
    </row>
    <row r="20" ht="16.5" spans="1:11">
      <c r="A20" s="2859" t="s">
        <v>850</v>
      </c>
      <c r="B20" s="2861"/>
      <c r="C20" s="2861"/>
      <c r="D20" s="2861"/>
      <c r="E20" s="2860" t="e">
        <f t="shared" si="0"/>
        <v>#DIV/0!</v>
      </c>
      <c r="F20" s="2860" t="e">
        <f t="shared" si="1"/>
        <v>#DIV/0!</v>
      </c>
      <c r="G20" s="2861"/>
      <c r="H20" s="2861"/>
      <c r="I20" s="2861"/>
      <c r="J20" s="2851"/>
      <c r="K20" s="2851"/>
    </row>
    <row r="21" ht="16.5" spans="1:11">
      <c r="A21" s="2859" t="s">
        <v>851</v>
      </c>
      <c r="B21" s="2861"/>
      <c r="C21" s="2861"/>
      <c r="D21" s="2861"/>
      <c r="E21" s="2860" t="e">
        <f t="shared" si="0"/>
        <v>#DIV/0!</v>
      </c>
      <c r="F21" s="2860" t="e">
        <f t="shared" si="1"/>
        <v>#DIV/0!</v>
      </c>
      <c r="G21" s="2861"/>
      <c r="H21" s="2861"/>
      <c r="I21" s="2861"/>
      <c r="J21" s="2851"/>
      <c r="K21" s="2851"/>
    </row>
    <row r="22" ht="16.5" spans="1:11">
      <c r="A22" s="2859" t="s">
        <v>852</v>
      </c>
      <c r="B22" s="2861"/>
      <c r="C22" s="2861"/>
      <c r="D22" s="2861"/>
      <c r="E22" s="2860" t="e">
        <f t="shared" si="0"/>
        <v>#DIV/0!</v>
      </c>
      <c r="F22" s="2860" t="e">
        <f t="shared" si="1"/>
        <v>#DIV/0!</v>
      </c>
      <c r="G22" s="2861"/>
      <c r="H22" s="2861"/>
      <c r="I22" s="2861"/>
      <c r="J22" s="2851"/>
      <c r="K22" s="2851"/>
    </row>
    <row r="23" ht="16.5" spans="1:11">
      <c r="A23" s="2859" t="s">
        <v>853</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北京市东城区（原崇文区）光明西街3号、甲3号3号楼房地产抵押价值预评估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郑燚（注册号：1120070131)、崔锴（注册号：1120100036)</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82" workbookViewId="0">
      <selection activeCell="G26" sqref="G26"/>
    </sheetView>
  </sheetViews>
  <sheetFormatPr defaultColWidth="12.625" defaultRowHeight="21.75" customHeight="1"/>
  <cols>
    <col min="1" max="2" width="12.625" style="2497"/>
    <col min="3" max="4" width="12.625" style="2497" customWidth="1"/>
    <col min="5" max="9" width="12.625" style="2497"/>
    <col min="10" max="11" width="12.625" style="587" customWidth="1"/>
    <col min="12" max="12" width="12.625" style="587"/>
    <col min="13" max="13" width="14.125" style="587" customWidth="1"/>
    <col min="14" max="26" width="12.625" style="587"/>
    <col min="27" max="35" width="12.625" style="2496"/>
    <col min="36" max="16384" width="12.625" style="2497"/>
  </cols>
  <sheetData>
    <row r="1" customHeight="1" spans="1:9">
      <c r="A1" s="2498" t="s">
        <v>854</v>
      </c>
      <c r="B1" s="2499"/>
      <c r="C1" s="2500"/>
      <c r="D1" s="2499"/>
      <c r="E1" s="2499"/>
      <c r="F1" s="2501" t="s">
        <v>855</v>
      </c>
      <c r="G1" s="2502"/>
      <c r="H1" s="2503" t="str">
        <f>IF(G1="现房","——","估价对象范围")</f>
        <v>估价对象范围</v>
      </c>
      <c r="I1" s="2663"/>
    </row>
    <row r="2" customHeight="1" spans="1:9">
      <c r="A2" s="2504" t="str">
        <f>项目基本情况!S2</f>
        <v>北京市东城区（原崇文区）光明西街3号、甲3号3号楼房地产</v>
      </c>
      <c r="B2" s="2505"/>
      <c r="C2" s="2505"/>
      <c r="D2" s="2505"/>
      <c r="E2" s="2505"/>
      <c r="F2" s="2505"/>
      <c r="G2" s="2505"/>
      <c r="H2" s="2505"/>
      <c r="I2" s="2664"/>
    </row>
    <row r="3" ht="13.5" spans="1:9">
      <c r="A3" s="2506" t="s">
        <v>856</v>
      </c>
      <c r="B3" s="1455"/>
      <c r="C3" s="1455"/>
      <c r="D3" s="1455"/>
      <c r="E3" s="1455"/>
      <c r="F3" s="1455"/>
      <c r="G3" s="1455"/>
      <c r="H3" s="1455"/>
      <c r="I3" s="1455"/>
    </row>
    <row r="4" ht="14.25" spans="1:12">
      <c r="A4" s="2507" t="s">
        <v>857</v>
      </c>
      <c r="B4" s="2508" t="s">
        <v>858</v>
      </c>
      <c r="C4" s="2509" t="s">
        <v>318</v>
      </c>
      <c r="D4" s="2509" t="s">
        <v>272</v>
      </c>
      <c r="E4" s="2510" t="s">
        <v>859</v>
      </c>
      <c r="F4" s="2511"/>
      <c r="G4" s="2511"/>
      <c r="H4" s="2511"/>
      <c r="I4" s="266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2" t="s">
        <v>860</v>
      </c>
      <c r="B5" s="963">
        <v>25</v>
      </c>
      <c r="C5" s="2513"/>
      <c r="D5" s="2514"/>
      <c r="E5" s="1444" t="s">
        <v>861</v>
      </c>
      <c r="F5" s="2515"/>
      <c r="G5" s="2515"/>
      <c r="H5" s="2515"/>
      <c r="I5" s="2392"/>
    </row>
    <row r="6" ht="13.5" spans="1:9">
      <c r="A6" s="2512"/>
      <c r="B6" s="963"/>
      <c r="C6" s="2516"/>
      <c r="D6" s="2514"/>
      <c r="E6" s="1444" t="s">
        <v>862</v>
      </c>
      <c r="F6" s="2515"/>
      <c r="G6" s="2515"/>
      <c r="H6" s="2515"/>
      <c r="I6" s="2392"/>
    </row>
    <row r="7" ht="13.5" spans="1:9">
      <c r="A7" s="2512"/>
      <c r="B7" s="963"/>
      <c r="C7" s="2517"/>
      <c r="D7" s="2514"/>
      <c r="E7" s="1444" t="s">
        <v>863</v>
      </c>
      <c r="F7" s="2515"/>
      <c r="G7" s="2515"/>
      <c r="H7" s="2515"/>
      <c r="I7" s="2392"/>
    </row>
    <row r="8" ht="13.5" spans="1:9">
      <c r="A8" s="2512" t="s">
        <v>864</v>
      </c>
      <c r="B8" s="963">
        <v>15</v>
      </c>
      <c r="C8" s="2513"/>
      <c r="D8" s="2514"/>
      <c r="E8" s="1444" t="s">
        <v>865</v>
      </c>
      <c r="F8" s="2515"/>
      <c r="G8" s="2515"/>
      <c r="H8" s="2515"/>
      <c r="I8" s="2392"/>
    </row>
    <row r="9" ht="13.5" spans="1:9">
      <c r="A9" s="2512"/>
      <c r="B9" s="963"/>
      <c r="C9" s="2517"/>
      <c r="D9" s="2514"/>
      <c r="E9" s="1444" t="s">
        <v>866</v>
      </c>
      <c r="F9" s="2515"/>
      <c r="G9" s="2515"/>
      <c r="H9" s="2515"/>
      <c r="I9" s="2392"/>
    </row>
    <row r="10" ht="13.5" spans="1:9">
      <c r="A10" s="2512" t="s">
        <v>867</v>
      </c>
      <c r="B10" s="963">
        <v>15</v>
      </c>
      <c r="C10" s="2513"/>
      <c r="D10" s="2514"/>
      <c r="E10" s="1444" t="s">
        <v>868</v>
      </c>
      <c r="F10" s="2515"/>
      <c r="G10" s="2515"/>
      <c r="H10" s="2515"/>
      <c r="I10" s="2392"/>
    </row>
    <row r="11" ht="13.5" spans="1:9">
      <c r="A11" s="2512"/>
      <c r="B11" s="963"/>
      <c r="C11" s="2517"/>
      <c r="D11" s="2514"/>
      <c r="E11" s="1444" t="s">
        <v>869</v>
      </c>
      <c r="F11" s="2515"/>
      <c r="G11" s="2515"/>
      <c r="H11" s="2515"/>
      <c r="I11" s="2392"/>
    </row>
    <row r="12" ht="13.5" spans="1:9">
      <c r="A12" s="2512" t="s">
        <v>870</v>
      </c>
      <c r="B12" s="963">
        <v>15</v>
      </c>
      <c r="C12" s="2513"/>
      <c r="D12" s="2514"/>
      <c r="E12" s="1444" t="s">
        <v>871</v>
      </c>
      <c r="F12" s="2515"/>
      <c r="G12" s="2515"/>
      <c r="H12" s="2515"/>
      <c r="I12" s="2392"/>
    </row>
    <row r="13" ht="13.5" spans="1:9">
      <c r="A13" s="2512"/>
      <c r="B13" s="963"/>
      <c r="C13" s="2517"/>
      <c r="D13" s="2514"/>
      <c r="E13" s="1444" t="s">
        <v>872</v>
      </c>
      <c r="F13" s="2515"/>
      <c r="G13" s="2515"/>
      <c r="H13" s="2515"/>
      <c r="I13" s="2392"/>
    </row>
    <row r="14" ht="13.5" spans="1:9">
      <c r="A14" s="2512" t="s">
        <v>873</v>
      </c>
      <c r="B14" s="963">
        <v>30</v>
      </c>
      <c r="C14" s="2513">
        <v>5</v>
      </c>
      <c r="D14" s="2514">
        <v>5</v>
      </c>
      <c r="E14" s="1444" t="s">
        <v>874</v>
      </c>
      <c r="F14" s="2515"/>
      <c r="G14" s="2515"/>
      <c r="H14" s="2515"/>
      <c r="I14" s="2392"/>
    </row>
    <row r="15" ht="13.5" spans="1:9">
      <c r="A15" s="2512"/>
      <c r="B15" s="963"/>
      <c r="C15" s="2516"/>
      <c r="D15" s="2514"/>
      <c r="E15" s="1444" t="s">
        <v>875</v>
      </c>
      <c r="F15" s="2515"/>
      <c r="G15" s="2515"/>
      <c r="H15" s="2515"/>
      <c r="I15" s="2392"/>
    </row>
    <row r="16" ht="13.5" spans="1:9">
      <c r="A16" s="2512"/>
      <c r="B16" s="963"/>
      <c r="C16" s="2517"/>
      <c r="D16" s="2514"/>
      <c r="E16" s="1444" t="s">
        <v>876</v>
      </c>
      <c r="F16" s="2515"/>
      <c r="G16" s="2515"/>
      <c r="H16" s="2515"/>
      <c r="I16" s="2392"/>
    </row>
    <row r="17" ht="14.25" spans="1:13">
      <c r="A17" s="2518" t="s">
        <v>877</v>
      </c>
      <c r="B17" s="2519"/>
      <c r="C17" s="2520">
        <f>SUM(C5:C16)</f>
        <v>5</v>
      </c>
      <c r="D17" s="2520">
        <f>SUM(D5:D16)</f>
        <v>5</v>
      </c>
      <c r="E17" s="632"/>
      <c r="F17" s="632"/>
      <c r="G17" s="632"/>
      <c r="H17" s="632"/>
      <c r="I17" s="632"/>
      <c r="K17" s="1402"/>
      <c r="L17" s="1402" t="s">
        <v>878</v>
      </c>
      <c r="M17" s="1402" t="s">
        <v>879</v>
      </c>
    </row>
    <row r="18" ht="31.9" customHeight="1" spans="1:13">
      <c r="A18" s="2521" t="s">
        <v>880</v>
      </c>
      <c r="B18" s="2522"/>
      <c r="C18" s="2523">
        <f>ROUND(C17/SUM(C17:D17),2)</f>
        <v>0.5</v>
      </c>
      <c r="D18" s="2523">
        <f>1-C18</f>
        <v>0.5</v>
      </c>
      <c r="E18" s="2524" t="s">
        <v>881</v>
      </c>
      <c r="F18" s="2525"/>
      <c r="G18" s="2525"/>
      <c r="H18" s="2525"/>
      <c r="I18" s="2525"/>
      <c r="K18" s="1402" t="s">
        <v>461</v>
      </c>
      <c r="L18" s="1402">
        <f>IF(C1="",'数据-汇总表'!E3,SUMIF(项目类型,C1,'数据-汇总表'!E17:E26)+SUMIF(项目类型,C1,'数据-汇总表'!I17:I26))</f>
        <v>695.5</v>
      </c>
      <c r="M18" s="1402">
        <f>IF(C1="",'数据-汇总表'!E3,SUMIF(项目类型,C1,'数据-汇总表'!E17:E26))</f>
        <v>695.5</v>
      </c>
    </row>
    <row r="19" ht="14.25" spans="1:13">
      <c r="A19" s="2526" t="s">
        <v>882</v>
      </c>
      <c r="B19" s="2527" t="s">
        <v>883</v>
      </c>
      <c r="C19" s="2528">
        <f ca="1">成本法3号楼!B2+成本法4号楼!B2</f>
        <v>3208.0493</v>
      </c>
      <c r="D19" s="1122">
        <f ca="1">SUMIF(INDIRECT("'"&amp;D4&amp;"'"&amp;"!A:A"),结果表!B19,INDIRECT("'"&amp;D4&amp;"'"&amp;"!B:B"))</f>
        <v>3074.8665</v>
      </c>
      <c r="E19" s="2526" t="s">
        <v>884</v>
      </c>
      <c r="F19" s="2527" t="s">
        <v>883</v>
      </c>
      <c r="G19" s="2529">
        <f ca="1">ROUND(C19*$C$18+D19*$D$18,0)</f>
        <v>3141</v>
      </c>
      <c r="H19" s="2530" t="s">
        <v>885</v>
      </c>
      <c r="I19" s="632"/>
      <c r="K19" s="1402" t="s">
        <v>465</v>
      </c>
      <c r="L19" s="1402">
        <f>IF(C1="",'数据-汇总表'!D3,SUMIF(项目类型,C1,'数据-汇总表'!D17:D26)+SUMIF(项目类型,C1,'数据-汇总表'!H17:H27))</f>
        <v>0</v>
      </c>
      <c r="M19" s="1402">
        <f>IF(C1="",'数据-汇总表'!D3,SUMIF(项目类型,C1,'数据-汇总表'!D17:D26))</f>
        <v>0</v>
      </c>
    </row>
    <row r="20" ht="15" spans="1:9">
      <c r="A20" s="2531"/>
      <c r="B20" s="2532" t="s">
        <v>886</v>
      </c>
      <c r="C20" s="1730">
        <f ca="1">SUMIF(INDIRECT("'"&amp;C4&amp;"'"&amp;"!A:A"),结果表!B20,INDIRECT("'"&amp;C4&amp;"'"&amp;"!B:B"))</f>
        <v>46142</v>
      </c>
      <c r="D20" s="1733">
        <f ca="1">SUMIF(INDIRECT("'"&amp;D4&amp;"'"&amp;"!A:A"),结果表!B20,INDIRECT("'"&amp;D4&amp;"'"&amp;"!B:B"))</f>
        <v>44211</v>
      </c>
      <c r="E20" s="2531"/>
      <c r="F20" s="2532" t="s">
        <v>886</v>
      </c>
      <c r="G20" s="2533">
        <f ca="1">ROUND(C20*$C$18+D20*$D$18,0)</f>
        <v>45177</v>
      </c>
      <c r="H20" s="1561" t="s">
        <v>887</v>
      </c>
      <c r="I20" s="632"/>
    </row>
    <row r="21" ht="15" customHeight="1" spans="1:9">
      <c r="A21" s="2473"/>
      <c r="B21" s="2534" t="s">
        <v>888</v>
      </c>
      <c r="C21" s="2535" t="e">
        <f ca="1">ROUND(C19*10000/L19,0)</f>
        <v>#DIV/0!</v>
      </c>
      <c r="D21" s="2536" t="e">
        <f ca="1">ROUND(D19*10000/L19,0)</f>
        <v>#DIV/0!</v>
      </c>
      <c r="E21" s="2473"/>
      <c r="F21" s="2534" t="s">
        <v>888</v>
      </c>
      <c r="G21" s="2537" t="e">
        <f ca="1">ROUND(G19*10000/L19,0)</f>
        <v>#DIV/0!</v>
      </c>
      <c r="H21" s="2538" t="s">
        <v>887</v>
      </c>
      <c r="I21" s="632"/>
    </row>
    <row r="22" ht="15" spans="1:9">
      <c r="A22" s="2539" t="s">
        <v>889</v>
      </c>
      <c r="B22" s="2540"/>
      <c r="C22" s="2541"/>
      <c r="D22" s="2542">
        <f ca="1">IF(C19&lt;D19,D19/C19-1,C19/D19-1)</f>
        <v>0.0433133601084794</v>
      </c>
      <c r="E22" s="632"/>
      <c r="F22" s="632"/>
      <c r="G22" s="632"/>
      <c r="H22" s="632"/>
      <c r="I22" s="632"/>
    </row>
    <row r="23" ht="14.25" spans="1:9">
      <c r="A23" s="2499"/>
      <c r="B23" s="2499"/>
      <c r="C23" s="2499"/>
      <c r="D23" s="2499"/>
      <c r="E23" s="632"/>
      <c r="F23" s="632"/>
      <c r="G23" s="632"/>
      <c r="H23" s="632"/>
      <c r="I23" s="632"/>
    </row>
    <row r="24" ht="14.25" spans="1:9">
      <c r="A24" s="2543" t="s">
        <v>890</v>
      </c>
      <c r="B24" s="2527" t="s">
        <v>883</v>
      </c>
      <c r="C24" s="2529">
        <f>IF(B30=0,0,D30)</f>
        <v>593</v>
      </c>
      <c r="D24" s="2544"/>
      <c r="E24" s="632"/>
      <c r="F24" s="632"/>
      <c r="G24" s="632"/>
      <c r="H24" s="632"/>
      <c r="I24" s="632"/>
    </row>
    <row r="25" ht="14.25" spans="1:9">
      <c r="A25" s="2545"/>
      <c r="B25" s="2532" t="s">
        <v>886</v>
      </c>
      <c r="C25" s="2546">
        <f>IF(B30=0,0,C30)</f>
        <v>0</v>
      </c>
      <c r="D25" s="2547"/>
      <c r="E25" s="632"/>
      <c r="F25" s="632"/>
      <c r="G25" s="632"/>
      <c r="H25" s="632"/>
      <c r="I25" s="632"/>
    </row>
    <row r="26" ht="13.5" customHeight="1" spans="1:9">
      <c r="A26" s="2548" t="s">
        <v>891</v>
      </c>
      <c r="B26" s="2549" t="s">
        <v>892</v>
      </c>
      <c r="C26" s="2549" t="s">
        <v>893</v>
      </c>
      <c r="D26" s="2550" t="s">
        <v>894</v>
      </c>
      <c r="E26" s="632"/>
      <c r="F26" s="632"/>
      <c r="G26" s="632"/>
      <c r="H26" s="632"/>
      <c r="I26" s="632"/>
    </row>
    <row r="27" ht="14.25" spans="1:9">
      <c r="A27" s="2551" t="s">
        <v>895</v>
      </c>
      <c r="B27" s="2549">
        <f>'数据-汇总表'!E3</f>
        <v>695.5</v>
      </c>
      <c r="C27" s="2549">
        <v>0</v>
      </c>
      <c r="D27" s="2550">
        <f>基准地价修正!E34</f>
        <v>593</v>
      </c>
      <c r="E27" s="632"/>
      <c r="F27" s="632"/>
      <c r="G27" s="632"/>
      <c r="H27" s="632"/>
      <c r="I27" s="632"/>
    </row>
    <row r="28" ht="14.25" spans="1:9">
      <c r="A28" s="2548"/>
      <c r="B28" s="2549"/>
      <c r="C28" s="2549"/>
      <c r="D28" s="2550"/>
      <c r="E28" s="632"/>
      <c r="F28" s="632"/>
      <c r="G28" s="632"/>
      <c r="H28" s="632"/>
      <c r="I28" s="632"/>
    </row>
    <row r="29" ht="14.25" spans="1:9">
      <c r="A29" s="2548"/>
      <c r="B29" s="2549"/>
      <c r="C29" s="2549"/>
      <c r="D29" s="2550"/>
      <c r="E29" s="632"/>
      <c r="F29" s="632"/>
      <c r="G29" s="632"/>
      <c r="H29" s="632"/>
      <c r="I29" s="632"/>
    </row>
    <row r="30" ht="15" spans="1:9">
      <c r="A30" s="2549" t="s">
        <v>896</v>
      </c>
      <c r="B30" s="2549">
        <f>B27</f>
        <v>695.5</v>
      </c>
      <c r="C30" s="2549"/>
      <c r="D30" s="2549">
        <f>D27</f>
        <v>593</v>
      </c>
      <c r="E30" s="2552" t="s">
        <v>897</v>
      </c>
      <c r="F30" s="632"/>
      <c r="G30" s="632"/>
      <c r="H30" s="632"/>
      <c r="I30" s="632"/>
    </row>
    <row r="31" s="2493" customFormat="1" ht="26.45" customHeight="1" spans="1:36">
      <c r="A31" s="2553"/>
      <c r="B31" s="2554"/>
      <c r="C31" s="2554"/>
      <c r="D31" s="2554"/>
      <c r="E31" s="2554"/>
      <c r="F31" s="2554"/>
      <c r="G31" s="2554"/>
      <c r="H31" s="2554"/>
      <c r="I31" s="2666" t="s">
        <v>898</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899</v>
      </c>
      <c r="B32" s="2556"/>
      <c r="C32" s="2557">
        <f ca="1">IF(D32="总价",G19-C24,G20-C25)</f>
        <v>2548</v>
      </c>
      <c r="D32" s="2558" t="s">
        <v>767</v>
      </c>
      <c r="E32" s="632"/>
      <c r="F32" s="632"/>
      <c r="G32" s="632"/>
      <c r="H32" s="632"/>
      <c r="I32" s="632"/>
    </row>
    <row r="33" ht="15" spans="1:9">
      <c r="A33" s="2414" t="s">
        <v>900</v>
      </c>
      <c r="B33" s="2559"/>
      <c r="C33" s="2560" t="s">
        <v>901</v>
      </c>
      <c r="D33" s="2561" t="s">
        <v>240</v>
      </c>
      <c r="E33" s="2562" t="s">
        <v>902</v>
      </c>
      <c r="F33" s="2563" t="str">
        <f>IF(D32="楼面单价","取值（单价）","取值（总价）")</f>
        <v>取值（总价）</v>
      </c>
      <c r="G33" s="632"/>
      <c r="H33" s="632"/>
      <c r="I33" s="632"/>
    </row>
    <row r="34" ht="15" spans="1:9">
      <c r="A34" s="2564"/>
      <c r="B34" s="2565" t="s">
        <v>903</v>
      </c>
      <c r="C34" s="2566">
        <f ca="1">IF(C33="自定义",F34,C32-C35)</f>
        <v>2418.1448</v>
      </c>
      <c r="D34" s="2567">
        <f ca="1">IF(C33="自定义",ROUND(C34/C32,3),IF(C33="收益比率",SUMIF(INDIRECT("'"&amp;D33&amp;"'"&amp;"!b:b"),"土地收益比率",INDIRECT("'"&amp;D33&amp;"'"&amp;"!c:c")),SUMIF(INDIRECT("'"&amp;D33&amp;"'"&amp;"!b:b"),"土地成本比率",INDIRECT("'"&amp;D33&amp;"'"&amp;"!c:c"))))</f>
        <v>0.949</v>
      </c>
      <c r="E34" s="2568" t="s">
        <v>904</v>
      </c>
      <c r="F34" s="2569">
        <f ca="1">C32-F35</f>
        <v>2418.1448</v>
      </c>
      <c r="G34" s="632"/>
      <c r="H34" s="632"/>
      <c r="I34" s="632"/>
    </row>
    <row r="35" ht="15.75" spans="1:9">
      <c r="A35" s="2570"/>
      <c r="B35" s="2571" t="s">
        <v>905</v>
      </c>
      <c r="C35" s="2572">
        <f ca="1">IF(C33="自定义",F35,ROUND(C32*D35,0))</f>
        <v>129.8552</v>
      </c>
      <c r="D35" s="2573">
        <f ca="1">IF(C33="自定义",ROUND(C35/C32,3),IF(C33="收益比率",SUMIF(INDIRECT("'"&amp;D33&amp;"'"&amp;"!b:b"),"建筑物收益比率",INDIRECT("'"&amp;D33&amp;"'"&amp;"!c:c")),SUMIF(INDIRECT("'"&amp;D33&amp;"'"&amp;"!b:b"),"建筑物成本比率",INDIRECT("'"&amp;D33&amp;"'"&amp;"!c:c"))))</f>
        <v>0.051</v>
      </c>
      <c r="E35" s="2574" t="s">
        <v>906</v>
      </c>
      <c r="F35" s="2575">
        <f ca="1">(成本法3号楼!C51+成本法4号楼!C51)/10000</f>
        <v>129.8552</v>
      </c>
      <c r="G35" s="632"/>
      <c r="H35" s="632"/>
      <c r="I35" s="632"/>
    </row>
    <row r="36" ht="15.75" spans="1:9">
      <c r="A36" s="2576" t="s">
        <v>907</v>
      </c>
      <c r="B36" s="2577" t="s">
        <v>908</v>
      </c>
      <c r="C36" s="2578"/>
      <c r="D36" s="2579"/>
      <c r="E36" s="2580"/>
      <c r="F36" s="2581"/>
      <c r="G36" s="632"/>
      <c r="H36" s="632"/>
      <c r="I36" s="632"/>
    </row>
    <row r="37" ht="15.75" spans="1:9">
      <c r="A37" s="2582"/>
      <c r="B37" s="2583" t="s">
        <v>909</v>
      </c>
      <c r="C37" s="2584"/>
      <c r="D37" s="2585"/>
      <c r="E37" s="2585"/>
      <c r="F37" s="2581"/>
      <c r="G37" s="632"/>
      <c r="H37" s="632"/>
      <c r="I37" s="632"/>
    </row>
    <row r="38" ht="15.75" spans="1:9">
      <c r="A38" s="2586"/>
      <c r="B38" s="2587" t="s">
        <v>910</v>
      </c>
      <c r="C38" s="2588"/>
      <c r="D38" s="2589" t="s">
        <v>911</v>
      </c>
      <c r="E38" s="2585"/>
      <c r="F38" s="2581"/>
      <c r="G38" s="632"/>
      <c r="H38" s="632"/>
      <c r="I38" s="632"/>
    </row>
    <row r="39" ht="14.25" spans="1:9">
      <c r="A39" s="2531" t="s">
        <v>912</v>
      </c>
      <c r="B39" s="2590" t="s">
        <v>892</v>
      </c>
      <c r="C39" s="2591" t="s">
        <v>893</v>
      </c>
      <c r="D39" s="2591" t="s">
        <v>913</v>
      </c>
      <c r="E39" s="2592" t="s">
        <v>894</v>
      </c>
      <c r="F39" s="2581"/>
      <c r="G39" s="632"/>
      <c r="H39" s="632"/>
      <c r="I39" s="632"/>
    </row>
    <row r="40" ht="14.25" spans="1:9">
      <c r="A40" s="2593" t="s">
        <v>914</v>
      </c>
      <c r="B40" s="2594"/>
      <c r="C40" s="650"/>
      <c r="D40" s="650"/>
      <c r="E40" s="2595"/>
      <c r="F40" s="2581"/>
      <c r="G40" s="632"/>
      <c r="H40" s="632"/>
      <c r="I40" s="632"/>
    </row>
    <row r="41" ht="14.25" spans="1:9">
      <c r="A41" s="2593" t="s">
        <v>915</v>
      </c>
      <c r="B41" s="2594"/>
      <c r="C41" s="650"/>
      <c r="D41" s="650"/>
      <c r="E41" s="2595"/>
      <c r="F41" s="2581"/>
      <c r="G41" s="632"/>
      <c r="H41" s="632"/>
      <c r="I41" s="632"/>
    </row>
    <row r="42" ht="15" spans="1:9">
      <c r="A42" s="2596"/>
      <c r="B42" s="2597"/>
      <c r="C42" s="2598"/>
      <c r="D42" s="2598"/>
      <c r="E42" s="2575"/>
      <c r="F42" s="2581"/>
      <c r="G42" s="632"/>
      <c r="H42" s="632"/>
      <c r="I42" s="632"/>
    </row>
    <row r="43" ht="13.5" spans="1:9">
      <c r="A43" s="2599"/>
      <c r="B43" s="2599"/>
      <c r="C43" s="2599"/>
      <c r="D43" s="2599"/>
      <c r="E43" s="2599"/>
      <c r="F43" s="2600"/>
      <c r="G43" s="2600"/>
      <c r="H43" s="2600"/>
      <c r="I43" s="2669"/>
    </row>
    <row r="44" ht="18.75" spans="1:15">
      <c r="A44" s="2601" t="s">
        <v>916</v>
      </c>
      <c r="B44" s="2602"/>
      <c r="C44" s="2602"/>
      <c r="D44" s="2603"/>
      <c r="E44" s="2603"/>
      <c r="F44" s="2604"/>
      <c r="G44" s="2604"/>
      <c r="H44" s="2604"/>
      <c r="I44" s="2604"/>
      <c r="J44" s="2670" t="s">
        <v>917</v>
      </c>
      <c r="K44" s="2671"/>
      <c r="L44" s="2671"/>
      <c r="M44" s="2671"/>
      <c r="N44" s="2671"/>
      <c r="O44" s="2671"/>
    </row>
    <row r="45" ht="14.25" customHeight="1" spans="1:15">
      <c r="A45" s="2605" t="s">
        <v>918</v>
      </c>
      <c r="B45" s="2606"/>
      <c r="C45" s="2607"/>
      <c r="D45" s="1401">
        <f ca="1">ROUND(H101*F45,0)</f>
        <v>2548</v>
      </c>
      <c r="E45" s="2608" t="s">
        <v>919</v>
      </c>
      <c r="F45" s="2609">
        <v>1</v>
      </c>
      <c r="G45" s="2610" t="s">
        <v>920</v>
      </c>
      <c r="H45" s="632"/>
      <c r="I45" s="632"/>
      <c r="J45" s="2672" t="s">
        <v>921</v>
      </c>
      <c r="K45" s="2672"/>
      <c r="L45" s="2672"/>
      <c r="M45" s="2672"/>
      <c r="N45" s="2672"/>
      <c r="O45" s="2672"/>
    </row>
    <row r="46" ht="14.25" customHeight="1" spans="1:15">
      <c r="A46" s="2611" t="s">
        <v>922</v>
      </c>
      <c r="B46" s="2612"/>
      <c r="C46" s="2612"/>
      <c r="D46" s="2612"/>
      <c r="E46" s="2612"/>
      <c r="F46" s="2612"/>
      <c r="G46" s="2613"/>
      <c r="H46" s="2614"/>
      <c r="I46" s="633"/>
      <c r="J46" s="2061">
        <v>1</v>
      </c>
      <c r="K46" s="2673" t="s">
        <v>923</v>
      </c>
      <c r="L46" s="2673"/>
      <c r="M46" s="2674"/>
      <c r="N46" s="2674"/>
      <c r="O46" s="2674"/>
    </row>
    <row r="47" ht="12" customHeight="1" spans="1:15">
      <c r="A47" s="2615" t="s">
        <v>924</v>
      </c>
      <c r="B47" s="2616"/>
      <c r="C47" s="2617"/>
      <c r="D47" s="1454" t="s">
        <v>925</v>
      </c>
      <c r="E47" s="1402" t="s">
        <v>926</v>
      </c>
      <c r="F47" s="2618" t="s">
        <v>927</v>
      </c>
      <c r="G47" s="2619" t="s">
        <v>928</v>
      </c>
      <c r="H47" s="2620"/>
      <c r="I47" s="633"/>
      <c r="J47" s="2061">
        <v>2</v>
      </c>
      <c r="K47" s="2673" t="s">
        <v>929</v>
      </c>
      <c r="L47" s="2673"/>
      <c r="M47" s="2675">
        <f>'数据-取费表'!B2</f>
        <v>45394</v>
      </c>
      <c r="N47" s="2675"/>
      <c r="O47" s="2675"/>
    </row>
    <row r="48" ht="24.75" spans="1:15">
      <c r="A48" s="2621" t="s">
        <v>930</v>
      </c>
      <c r="B48" s="1458"/>
      <c r="C48" s="1458"/>
      <c r="D48" s="1559" t="b">
        <f ca="1">IF(H48="情况1",0,IF(H48="情况2",D52,IF(H48="情况3",D53,IF(H48="情况4",D54))))</f>
        <v>0</v>
      </c>
      <c r="E48" s="1458" t="str">
        <f>IF(H48="情况4","(销售额-原购置价)×税（费）率","销售额×税（费）率")</f>
        <v>销售额×税（费）率</v>
      </c>
      <c r="F48" s="2622">
        <f>IF(H48="情况1","免征",'数据-取费表'!B41)</f>
        <v>0.056</v>
      </c>
      <c r="G48" s="2623" t="s">
        <v>931</v>
      </c>
      <c r="H48" s="2624"/>
      <c r="I48" s="2614"/>
      <c r="J48" s="2061">
        <v>3</v>
      </c>
      <c r="K48" s="2673" t="s">
        <v>932</v>
      </c>
      <c r="L48" s="2673"/>
      <c r="M48" s="2676">
        <f ca="1">H101</f>
        <v>2548</v>
      </c>
      <c r="N48" s="2676"/>
      <c r="O48" s="2676"/>
    </row>
    <row r="49" ht="25.5" customHeight="1" spans="1:15">
      <c r="A49" s="2621" t="s">
        <v>933</v>
      </c>
      <c r="B49" s="1436" t="s">
        <v>934</v>
      </c>
      <c r="C49" s="1436"/>
      <c r="D49" s="2625">
        <v>0</v>
      </c>
      <c r="E49" s="1464" t="s">
        <v>935</v>
      </c>
      <c r="F49" s="2626" t="s">
        <v>124</v>
      </c>
      <c r="G49" s="2627"/>
      <c r="H49" s="2628" t="s">
        <v>936</v>
      </c>
      <c r="I49" s="2677"/>
      <c r="J49" s="2061">
        <v>4</v>
      </c>
      <c r="K49" s="2673" t="str">
        <f>IF(项目基本情况!E8="房地产抵押价值","房地产抵押价值","抵押担保权已注销时的房地产抵押价值")</f>
        <v>房地产抵押价值</v>
      </c>
      <c r="L49" s="2673"/>
      <c r="M49" s="2676">
        <f ca="1">IF(项目基本情况!E8="房地产抵押价值",H107,H109)</f>
        <v>2548</v>
      </c>
      <c r="N49" s="2676"/>
      <c r="O49" s="2676"/>
    </row>
    <row r="50" ht="25.5" customHeight="1" spans="1:15">
      <c r="A50" s="2629"/>
      <c r="B50" s="1436" t="s">
        <v>937</v>
      </c>
      <c r="C50" s="1436"/>
      <c r="D50" s="2630"/>
      <c r="E50" s="1479"/>
      <c r="F50" s="2626"/>
      <c r="G50" s="2631"/>
      <c r="H50" s="2632" t="s">
        <v>938</v>
      </c>
      <c r="I50" s="2677"/>
      <c r="J50" s="2672" t="s">
        <v>939</v>
      </c>
      <c r="K50" s="2672"/>
      <c r="L50" s="2672"/>
      <c r="M50" s="2672"/>
      <c r="N50" s="2672"/>
      <c r="O50" s="2672"/>
    </row>
    <row r="51" ht="20.45" customHeight="1" spans="1:15">
      <c r="A51" s="2633"/>
      <c r="B51" s="1436" t="s">
        <v>940</v>
      </c>
      <c r="C51" s="1436"/>
      <c r="D51" s="1454"/>
      <c r="E51" s="1468"/>
      <c r="F51" s="2626"/>
      <c r="G51" s="2634"/>
      <c r="H51" s="2632" t="s">
        <v>941</v>
      </c>
      <c r="I51" s="2677"/>
      <c r="J51" s="2673" t="s">
        <v>942</v>
      </c>
      <c r="K51" s="2673" t="s">
        <v>943</v>
      </c>
      <c r="L51" s="2673"/>
      <c r="M51" s="2673" t="s">
        <v>944</v>
      </c>
      <c r="N51" s="2673" t="s">
        <v>945</v>
      </c>
      <c r="O51" s="2673" t="s">
        <v>946</v>
      </c>
    </row>
    <row r="52" ht="24" customHeight="1" spans="1:15">
      <c r="A52" s="2635" t="s">
        <v>947</v>
      </c>
      <c r="B52" s="1436" t="s">
        <v>948</v>
      </c>
      <c r="C52" s="1436"/>
      <c r="D52" s="1454">
        <f ca="1">ROUND(D45*'数据-取费表'!B41/(1+'数据-取费表'!C42),0)</f>
        <v>136</v>
      </c>
      <c r="E52" s="1458" t="s">
        <v>949</v>
      </c>
      <c r="F52" s="2636">
        <f>'数据-取费表'!B41</f>
        <v>0.056</v>
      </c>
      <c r="G52" s="2637"/>
      <c r="H52" s="1575"/>
      <c r="I52" s="2678"/>
      <c r="J52" s="2061">
        <v>1</v>
      </c>
      <c r="K52" s="2061" t="s">
        <v>950</v>
      </c>
      <c r="L52" s="2061"/>
      <c r="M52" s="2679" t="b">
        <f ca="1">D48</f>
        <v>0</v>
      </c>
      <c r="N52" s="2061" t="str">
        <f>E48</f>
        <v>销售额×税（费）率</v>
      </c>
      <c r="O52" s="2680">
        <f>F48</f>
        <v>0.056</v>
      </c>
    </row>
    <row r="53" ht="12" customHeight="1" spans="1:15">
      <c r="A53" s="2635" t="s">
        <v>951</v>
      </c>
      <c r="B53" s="1435" t="s">
        <v>952</v>
      </c>
      <c r="C53" s="2638"/>
      <c r="D53" s="1454">
        <f ca="1">ROUND(D45*'数据-取费表'!B41/(1+'数据-取费表'!C42),0)</f>
        <v>136</v>
      </c>
      <c r="E53" s="1458" t="s">
        <v>949</v>
      </c>
      <c r="F53" s="2636">
        <f>'数据-取费表'!B41</f>
        <v>0.056</v>
      </c>
      <c r="G53" s="2637"/>
      <c r="H53" s="1575"/>
      <c r="I53" s="2678"/>
      <c r="J53" s="2061">
        <v>2</v>
      </c>
      <c r="K53" s="2061" t="s">
        <v>953</v>
      </c>
      <c r="L53" s="2061"/>
      <c r="M53" s="2679">
        <f ca="1" t="shared" ref="M53:O54" si="0">D55</f>
        <v>1</v>
      </c>
      <c r="N53" s="2061" t="str">
        <f t="shared" si="0"/>
        <v>销售额×税（费）率</v>
      </c>
      <c r="O53" s="2680" t="str">
        <f t="shared" si="0"/>
        <v>免征</v>
      </c>
    </row>
    <row r="54" ht="12" customHeight="1" spans="1:15">
      <c r="A54" s="2635" t="s">
        <v>954</v>
      </c>
      <c r="B54" s="1435" t="s">
        <v>955</v>
      </c>
      <c r="C54" s="2638"/>
      <c r="D54" s="1454">
        <f ca="1">C68</f>
        <v>136</v>
      </c>
      <c r="E54" s="1468" t="s">
        <v>956</v>
      </c>
      <c r="F54" s="2636">
        <f>'数据-取费表'!B41</f>
        <v>0.056</v>
      </c>
      <c r="G54" s="2637"/>
      <c r="H54" s="2639"/>
      <c r="I54" s="2678"/>
      <c r="J54" s="2061">
        <v>3</v>
      </c>
      <c r="K54" s="2061" t="s">
        <v>957</v>
      </c>
      <c r="L54" s="2061"/>
      <c r="M54" s="2679">
        <f ca="1" t="shared" si="0"/>
        <v>1442</v>
      </c>
      <c r="N54" s="2061" t="str">
        <f t="shared" si="0"/>
        <v>增值额×税（费）率</v>
      </c>
      <c r="O54" s="2681" t="str">
        <f t="shared" si="0"/>
        <v>免征</v>
      </c>
    </row>
    <row r="55" ht="24" customHeight="1" spans="1:15">
      <c r="A55" s="2635" t="s">
        <v>958</v>
      </c>
      <c r="B55" s="1458"/>
      <c r="C55" s="1458"/>
      <c r="D55" s="1559">
        <f ca="1">IF(H55="个人住宅",0,ROUND(D45*I55,0))</f>
        <v>1</v>
      </c>
      <c r="E55" s="1458" t="s">
        <v>959</v>
      </c>
      <c r="F55" s="2636" t="str">
        <f>IF(H55="正常",I55,"免征")</f>
        <v>免征</v>
      </c>
      <c r="G55" s="2637"/>
      <c r="H55" s="2624"/>
      <c r="I55" s="2682">
        <f>'数据-取费表'!B49</f>
        <v>0.0005</v>
      </c>
      <c r="J55" s="2061">
        <f>IF(H59="非个人房产","",4)</f>
        <v>4</v>
      </c>
      <c r="K55" s="2061" t="str">
        <f>IF(H59="非个人房产","——","个人所得税")</f>
        <v>个人所得税</v>
      </c>
      <c r="L55" s="2061"/>
      <c r="M55" s="2683">
        <f ca="1">D59</f>
        <v>24</v>
      </c>
      <c r="N55" s="2042" t="str">
        <f>E59</f>
        <v>差额计税</v>
      </c>
      <c r="O55" s="2684">
        <f>F59</f>
        <v>0.01</v>
      </c>
    </row>
    <row r="56" ht="24.75" spans="1:15">
      <c r="A56" s="2635" t="s">
        <v>960</v>
      </c>
      <c r="B56" s="1458"/>
      <c r="C56" s="1458"/>
      <c r="D56" s="1559">
        <f ca="1">IF(H56="个人住宅",D57,D58)</f>
        <v>1442</v>
      </c>
      <c r="E56" s="1458" t="s">
        <v>961</v>
      </c>
      <c r="F56" s="2636" t="str">
        <f>IF(H56="正常",F58,"免征")</f>
        <v>免征</v>
      </c>
      <c r="G56" s="2640" t="s">
        <v>962</v>
      </c>
      <c r="H56" s="2641"/>
      <c r="I56" s="2652"/>
      <c r="J56" s="2061" t="str">
        <f>IF(项目基本情况!K6="上海银行",IF(J55="",4,J55+1),"")</f>
        <v/>
      </c>
      <c r="K56" s="1559" t="str">
        <f>IF(项目基本情况!K6="上海银行","其他处置费用","")</f>
        <v/>
      </c>
      <c r="L56" s="2441"/>
      <c r="M56" s="2679" t="str">
        <f ca="1">IF(项目基本情况!K6="上海银行",M69,"")</f>
        <v/>
      </c>
      <c r="N56" s="1559" t="str">
        <f>IF(项目基本情况!K6="上海银行","包含处置中涉及的律师、诉讼、拍卖、评估等费用","")</f>
        <v/>
      </c>
      <c r="O56" s="1408"/>
    </row>
    <row r="57" ht="13.5" spans="1:16">
      <c r="A57" s="2635" t="s">
        <v>933</v>
      </c>
      <c r="B57" s="1435" t="s">
        <v>963</v>
      </c>
      <c r="C57" s="2638"/>
      <c r="D57" s="2625">
        <v>0</v>
      </c>
      <c r="E57" s="1464" t="s">
        <v>935</v>
      </c>
      <c r="F57" s="1402"/>
      <c r="G57" s="2637"/>
      <c r="H57" s="2642"/>
      <c r="I57" s="2652"/>
      <c r="J57" s="2061">
        <f>IF(AND(J55="",J56=""),4,IF(项目基本情况!K6="上海银行",结果表!J56+1,结果表!J55+1))</f>
        <v>5</v>
      </c>
      <c r="K57" s="2061" t="s">
        <v>964</v>
      </c>
      <c r="L57" s="2685" t="s">
        <v>965</v>
      </c>
      <c r="M57" s="2686"/>
      <c r="N57" s="2687">
        <f ca="1">SUMIF(M52:M56,"&lt;9e307")</f>
        <v>1467</v>
      </c>
      <c r="O57" s="2688"/>
      <c r="P57" s="2689">
        <f ca="1">N57/M49</f>
        <v>0.57574568288854</v>
      </c>
    </row>
    <row r="58" ht="24.75" spans="1:15">
      <c r="A58" s="2635" t="s">
        <v>947</v>
      </c>
      <c r="B58" s="1435" t="s">
        <v>966</v>
      </c>
      <c r="C58" s="1436"/>
      <c r="D58" s="1559">
        <f ca="1">IF(H58="转让取得",C81,C97)</f>
        <v>1442</v>
      </c>
      <c r="E58" s="1458" t="s">
        <v>961</v>
      </c>
      <c r="F58" s="1402" t="s">
        <v>124</v>
      </c>
      <c r="G58" s="2637"/>
      <c r="H58" s="2641"/>
      <c r="I58" s="2652"/>
      <c r="J58" s="2061"/>
      <c r="K58" s="2061"/>
      <c r="L58" s="2685" t="s">
        <v>967</v>
      </c>
      <c r="M58" s="2690"/>
      <c r="N58" s="2691" t="str">
        <f ca="1">NUMBERSTRING(INT(N57*10000),2)&amp;"元整"</f>
        <v>壹仟肆佰陆拾柒万元整</v>
      </c>
      <c r="O58" s="2692"/>
    </row>
    <row r="59" ht="24.75" spans="1:15">
      <c r="A59" s="2643" t="s">
        <v>968</v>
      </c>
      <c r="B59" s="2644"/>
      <c r="C59" s="2644"/>
      <c r="D59" s="2645">
        <f ca="1">IF(H59="非个人房产","——",IF(H59="个人住宅（满五唯一有凭证）",0,IF(H59="个人其他（无凭证）",ROUND(D45*F59,0),ROUND(C67*F59,0))))</f>
        <v>24</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962</v>
      </c>
      <c r="H59" s="2649"/>
      <c r="I59" s="2693" t="s">
        <v>969</v>
      </c>
      <c r="J59" s="2042">
        <f>J57+1</f>
        <v>6</v>
      </c>
      <c r="K59" s="2061" t="s">
        <v>970</v>
      </c>
      <c r="L59" s="2061" t="s">
        <v>965</v>
      </c>
      <c r="M59" s="2694"/>
      <c r="N59" s="2695">
        <f ca="1">M49-N57</f>
        <v>1081</v>
      </c>
      <c r="O59" s="2696"/>
    </row>
    <row r="60" ht="12" customHeight="1" spans="1:15">
      <c r="A60" s="2650"/>
      <c r="B60" s="2499"/>
      <c r="C60" s="2499"/>
      <c r="D60" s="2499"/>
      <c r="E60" s="2651"/>
      <c r="F60" s="2652"/>
      <c r="G60" s="2652"/>
      <c r="H60" s="2653"/>
      <c r="I60" s="632"/>
      <c r="J60" s="2047"/>
      <c r="K60" s="2061"/>
      <c r="L60" s="2685" t="s">
        <v>967</v>
      </c>
      <c r="M60" s="2690"/>
      <c r="N60" s="2691" t="str">
        <f ca="1">NUMBERSTRING(INT(N59*10000),2)&amp;"元整"</f>
        <v>壹仟零捌拾壹万元整</v>
      </c>
      <c r="O60" s="2692"/>
    </row>
    <row r="61" ht="14.25" spans="1:15">
      <c r="A61" s="2654" t="s">
        <v>971</v>
      </c>
      <c r="B61" s="2654"/>
      <c r="C61" s="2654"/>
      <c r="D61" s="2654"/>
      <c r="E61" s="2654"/>
      <c r="F61" s="2652"/>
      <c r="G61" s="2652"/>
      <c r="H61" s="2653"/>
      <c r="I61" s="632"/>
      <c r="J61" s="2061">
        <f>J59+1</f>
        <v>7</v>
      </c>
      <c r="K61" s="2061" t="s">
        <v>972</v>
      </c>
      <c r="L61" s="2061"/>
      <c r="M61" s="2697"/>
      <c r="N61" s="2698">
        <f ca="1">ROUND(N59*10000/'数据-汇总表'!E3,0)</f>
        <v>15543</v>
      </c>
      <c r="O61" s="2699"/>
    </row>
    <row r="62" ht="13.5" spans="1:9">
      <c r="A62" s="2655" t="s">
        <v>973</v>
      </c>
      <c r="B62" s="2013"/>
      <c r="C62" s="2013"/>
      <c r="D62" s="2013" t="s">
        <v>974</v>
      </c>
      <c r="E62" s="2656" t="s">
        <v>928</v>
      </c>
      <c r="F62" s="2652"/>
      <c r="G62" s="2652"/>
      <c r="H62" s="2653"/>
      <c r="I62" s="632"/>
    </row>
    <row r="63" ht="13.5" spans="1:35">
      <c r="A63" s="2657" t="s">
        <v>975</v>
      </c>
      <c r="B63" s="2072" t="s">
        <v>976</v>
      </c>
      <c r="C63" s="2658">
        <f ca="1">ROUND((C64+C65)/(1+'数据-取费表'!C42),0)</f>
        <v>2427</v>
      </c>
      <c r="D63" s="2072"/>
      <c r="E63" s="2659"/>
      <c r="F63" s="2652"/>
      <c r="G63" s="2652"/>
      <c r="H63" s="2653"/>
      <c r="I63" s="632"/>
      <c r="J63" s="2700" t="s">
        <v>977</v>
      </c>
      <c r="K63" s="2700" t="s">
        <v>978</v>
      </c>
      <c r="L63" s="2700">
        <f ca="1">IF(M49&gt;10000,M49*0.5%,IF(AND(M49&gt;1000,M49&lt;=10000),M49*1%,IF(AND(M49&gt;100,M49&lt;=1000),M49*3%,IF(AND(M49&gt;10,M49&lt;=100),M49*5%,M49*8%))))</f>
        <v>25.48</v>
      </c>
      <c r="M63" s="1402">
        <f ca="1">ROUND(L63,1)</f>
        <v>25.5</v>
      </c>
      <c r="N63" s="2701"/>
      <c r="Z63" s="2496"/>
      <c r="AI63" s="2497"/>
    </row>
    <row r="64" ht="14.25" customHeight="1" spans="1:35">
      <c r="A64" s="2660" t="s">
        <v>979</v>
      </c>
      <c r="B64" s="1996" t="s">
        <v>980</v>
      </c>
      <c r="C64" s="2661">
        <f ca="1">D45</f>
        <v>2548</v>
      </c>
      <c r="D64" s="1996" t="s">
        <v>124</v>
      </c>
      <c r="E64" s="2662"/>
      <c r="F64" s="2652"/>
      <c r="G64" s="2652"/>
      <c r="H64" s="2653"/>
      <c r="I64" s="632"/>
      <c r="J64" s="2700"/>
      <c r="K64" s="2700" t="s">
        <v>981</v>
      </c>
      <c r="L64" s="2700">
        <f ca="1">IF(M49&gt;2000,M49*0.5%,IF(AND(M49&gt;1000,M49&lt;=2000),M49*0.6%,IF(AND(M49&gt;500,M49&lt;=1000),M49*0.7%,IF(AND(M49&gt;200,M49&lt;=500),M49*0.8%,IF(AND(M49&gt;100,M49&lt;=200),M49*0.9%,IF(AND(M49&gt;50,M49&lt;=100),M49*1%,IF(AND(M49&gt;20,M49&lt;=50),M49*1.5%,IF(AND(M49&gt;10,M49&lt;=20),M49*2%,IF(AND(M49&gt;1,M49&lt;=10),M49*2.5%)))))))))</f>
        <v>12.74</v>
      </c>
      <c r="M64" s="1402">
        <f ca="1" t="shared" ref="M64:M65" si="1">ROUND(L64,1)</f>
        <v>12.7</v>
      </c>
      <c r="N64" s="1575" t="s">
        <v>982</v>
      </c>
      <c r="Z64" s="2496"/>
      <c r="AI64" s="2497"/>
    </row>
    <row r="65" ht="14.25" customHeight="1" spans="1:35">
      <c r="A65" s="2660" t="s">
        <v>983</v>
      </c>
      <c r="B65" s="1996" t="s">
        <v>984</v>
      </c>
      <c r="C65" s="2703"/>
      <c r="D65" s="1996"/>
      <c r="E65" s="2662"/>
      <c r="F65" s="2652"/>
      <c r="G65" s="2652"/>
      <c r="H65" s="2653"/>
      <c r="I65" s="632"/>
      <c r="J65" s="2700"/>
      <c r="K65" s="2700" t="s">
        <v>985</v>
      </c>
      <c r="L65" s="2700">
        <f ca="1">IF(M49&gt;1000,M49*0.1%,IF(AND(M49&gt;500,M49&lt;=1000),M49*0.5%,IF(AND(M49&gt;50,M49&lt;=500),M49*1%,IF(AND(M49&gt;1,M49&lt;=50),M49*1.5%))))</f>
        <v>2.548</v>
      </c>
      <c r="M65" s="1402">
        <f ca="1" t="shared" si="1"/>
        <v>2.5</v>
      </c>
      <c r="N65" s="1575" t="s">
        <v>982</v>
      </c>
      <c r="Z65" s="2496"/>
      <c r="AI65" s="2497"/>
    </row>
    <row r="66" ht="14.25" customHeight="1" spans="1:35">
      <c r="A66" s="2657" t="s">
        <v>986</v>
      </c>
      <c r="B66" s="2704" t="s">
        <v>987</v>
      </c>
      <c r="C66" s="2705"/>
      <c r="D66" s="2704" t="s">
        <v>124</v>
      </c>
      <c r="E66" s="2706" t="s">
        <v>988</v>
      </c>
      <c r="F66" s="2652"/>
      <c r="G66" s="2652"/>
      <c r="H66" s="2653"/>
      <c r="I66" s="632"/>
      <c r="J66" s="2700"/>
      <c r="K66" s="2700" t="s">
        <v>989</v>
      </c>
      <c r="L66" s="2700">
        <f ca="1">M49*0.5%</f>
        <v>12.74</v>
      </c>
      <c r="M66" s="1402">
        <f ca="1">IF(L66&gt;0.5,0.5,ROUND(L66,0))</f>
        <v>0.5</v>
      </c>
      <c r="N66" s="1575" t="s">
        <v>990</v>
      </c>
      <c r="Z66" s="2496"/>
      <c r="AI66" s="2497"/>
    </row>
    <row r="67" ht="14.25" customHeight="1" spans="1:35">
      <c r="A67" s="2657" t="s">
        <v>991</v>
      </c>
      <c r="B67" s="2704" t="s">
        <v>992</v>
      </c>
      <c r="C67" s="2707">
        <f ca="1">C63-C66</f>
        <v>2427</v>
      </c>
      <c r="D67" s="1996" t="s">
        <v>124</v>
      </c>
      <c r="E67" s="2662"/>
      <c r="F67" s="2652"/>
      <c r="G67" s="2652"/>
      <c r="H67" s="2653"/>
      <c r="I67" s="632"/>
      <c r="J67" s="2700"/>
      <c r="K67" s="2700" t="s">
        <v>993</v>
      </c>
      <c r="L67" s="2700">
        <f ca="1">IF(M49&gt;=10000,(8.25+(M49-10000)*0.01%),IF(AND(M49&gt;=8000,M49&lt;10000),(7.85+(M49-8000)*0.02%),IF(AND(M49&gt;=5000,M49&lt;8000),(6.65+(M49-5000)*0.04%),IF(AND(M49&gt;=2000,M49&lt;5000),(4.25+(PM49-2000)*0.08%),IF(AND(M49&gt;=1000,M49&lt;2000),(2.75+(M49-1000)*0.15%),IF(AND(M49&gt;=100,M49&lt;1000),(0.5+(M49-100)*0.25%),IF(AND(M49&gt;0,M49&lt;100),M49*0.5%)))))))</f>
        <v>2.65</v>
      </c>
      <c r="M67" s="1402">
        <f ca="1">ROUND(L67*0.9,1)</f>
        <v>2.4</v>
      </c>
      <c r="N67" s="2701"/>
      <c r="Z67" s="2496"/>
      <c r="AI67" s="2497"/>
    </row>
    <row r="68" ht="14.25" customHeight="1" spans="1:35">
      <c r="A68" s="2708" t="s">
        <v>994</v>
      </c>
      <c r="B68" s="2709" t="s">
        <v>995</v>
      </c>
      <c r="C68" s="2710">
        <f ca="1">IF(C67&lt;=0,0,ROUND(C67*D68,0))</f>
        <v>136</v>
      </c>
      <c r="D68" s="2263">
        <f>'数据-取费表'!B41</f>
        <v>0.056</v>
      </c>
      <c r="E68" s="2711"/>
      <c r="F68" s="2652"/>
      <c r="G68" s="2652"/>
      <c r="H68" s="2653"/>
      <c r="I68" s="632"/>
      <c r="J68" s="2700"/>
      <c r="K68" s="2700" t="s">
        <v>996</v>
      </c>
      <c r="L68" s="2700">
        <f ca="1">IF(M49&gt;10000,M49*0.5%,IF(AND(M49&gt;5000,M49&lt;=10000),M49*1%,IF(AND(M49&gt;1000,M49&lt;=5000),M49*2%,IF(AND(M49&gt;200,M49&lt;=1000),M49*3%,M49*5%))))</f>
        <v>50.96</v>
      </c>
      <c r="M68" s="1402">
        <f ca="1">ROUND(L68,1)</f>
        <v>51</v>
      </c>
      <c r="N68" s="2701"/>
      <c r="Z68" s="2496"/>
      <c r="AI68" s="2497"/>
    </row>
    <row r="69" s="2494" customFormat="1" ht="16.5" customHeight="1" spans="1:34">
      <c r="A69" s="2712"/>
      <c r="B69" s="2713"/>
      <c r="C69" s="2714"/>
      <c r="D69" s="2181"/>
      <c r="E69" s="2715"/>
      <c r="F69" s="2651"/>
      <c r="G69" s="2651"/>
      <c r="H69" s="2599"/>
      <c r="I69" s="2499"/>
      <c r="J69" s="2700"/>
      <c r="K69" s="2700" t="s">
        <v>997</v>
      </c>
      <c r="L69" s="2700"/>
      <c r="M69" s="1402">
        <f ca="1">ROUND(SUM(M63:M68),0)</f>
        <v>95</v>
      </c>
      <c r="N69" s="2813">
        <f ca="1">M69/M49</f>
        <v>0.0372841444270016</v>
      </c>
      <c r="O69" s="587"/>
      <c r="P69" s="587"/>
      <c r="Q69" s="587"/>
      <c r="R69" s="587"/>
      <c r="S69" s="587"/>
      <c r="T69" s="587"/>
      <c r="U69" s="587"/>
      <c r="V69" s="587"/>
      <c r="W69" s="587"/>
      <c r="X69" s="587"/>
      <c r="Y69" s="587"/>
      <c r="Z69" s="2496"/>
      <c r="AA69" s="2496"/>
      <c r="AB69" s="2496"/>
      <c r="AC69" s="2496"/>
      <c r="AD69" s="2496"/>
      <c r="AE69" s="2496"/>
      <c r="AF69" s="2496"/>
      <c r="AG69" s="2496"/>
      <c r="AH69" s="2496"/>
    </row>
    <row r="70" s="2495" customFormat="1" ht="15" spans="1:35">
      <c r="A70" s="2716" t="s">
        <v>998</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5" customFormat="1" ht="14.25" spans="1:35">
      <c r="A71" s="2655" t="s">
        <v>973</v>
      </c>
      <c r="B71" s="2013"/>
      <c r="C71" s="2013"/>
      <c r="D71" s="2013" t="s">
        <v>974</v>
      </c>
      <c r="E71" s="2718" t="s">
        <v>928</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5" customFormat="1" ht="14.25" spans="1:35">
      <c r="A72" s="2657" t="s">
        <v>975</v>
      </c>
      <c r="B72" s="2704" t="s">
        <v>999</v>
      </c>
      <c r="C72" s="2707">
        <f ca="1">ROUND(D45/(1+'数据-取费表'!C42),0)</f>
        <v>2427</v>
      </c>
      <c r="D72" s="1996" t="s">
        <v>124</v>
      </c>
      <c r="E72" s="1435"/>
      <c r="F72" s="1436"/>
      <c r="G72" s="1436"/>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5" customFormat="1" ht="14.25" spans="1:35">
      <c r="A73" s="2657" t="s">
        <v>986</v>
      </c>
      <c r="B73" s="2618" t="s">
        <v>1000</v>
      </c>
      <c r="C73" s="2707">
        <f ca="1">C74+C78</f>
        <v>15</v>
      </c>
      <c r="D73" s="1996" t="s">
        <v>124</v>
      </c>
      <c r="E73" s="1435"/>
      <c r="F73" s="1436"/>
      <c r="G73" s="1436"/>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5" customFormat="1" ht="24" spans="1:35">
      <c r="A74" s="2660" t="s">
        <v>979</v>
      </c>
      <c r="B74" s="1996" t="s">
        <v>1001</v>
      </c>
      <c r="C74" s="1996">
        <f>ROUND(IF(G77="2016年5月1日后购买",C75/(1+'数据-取费表'!C42)+C76+C77,C75+C76+C77),0)</f>
        <v>0</v>
      </c>
      <c r="D74" s="1996" t="s">
        <v>124</v>
      </c>
      <c r="E74" s="1435"/>
      <c r="F74" s="1436"/>
      <c r="G74" s="1436"/>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5" customFormat="1" ht="14.25" spans="1:35">
      <c r="A75" s="2660" t="s">
        <v>1002</v>
      </c>
      <c r="B75" s="1996" t="s">
        <v>1003</v>
      </c>
      <c r="C75" s="2722"/>
      <c r="D75" s="1996" t="s">
        <v>124</v>
      </c>
      <c r="E75" s="2723" t="s">
        <v>1004</v>
      </c>
      <c r="F75" s="2724"/>
      <c r="G75" s="2723" t="s">
        <v>1005</v>
      </c>
      <c r="H75" s="2725"/>
      <c r="I75" s="2282"/>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5" customFormat="1" ht="24.75" customHeight="1" spans="1:35">
      <c r="A76" s="2660" t="s">
        <v>1006</v>
      </c>
      <c r="B76" s="2726" t="s">
        <v>1007</v>
      </c>
      <c r="C76" s="1996">
        <f>IF(F75="购房发票",ROUND(C75*H75*D76,0),0)</f>
        <v>0</v>
      </c>
      <c r="D76" s="2727">
        <v>0.05</v>
      </c>
      <c r="E76" s="1435" t="s">
        <v>1008</v>
      </c>
      <c r="F76" s="1436"/>
      <c r="G76" s="1436"/>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5" customFormat="1" ht="24.75" customHeight="1" spans="1:35">
      <c r="A77" s="2660" t="s">
        <v>1009</v>
      </c>
      <c r="B77" s="1996" t="s">
        <v>1010</v>
      </c>
      <c r="C77" s="1996">
        <f>ROUND(IF(G77="个人住宅",0,IF(G77="2016年5月1日前购买",C75*D77,C75*D77/(1+'数据-取费表'!C42))),0)</f>
        <v>0</v>
      </c>
      <c r="D77" s="2729">
        <f>'数据-取费表'!B48+'数据-取费表'!B49</f>
        <v>0.0305</v>
      </c>
      <c r="E77" s="1559" t="s">
        <v>1011</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5" customFormat="1" ht="24.75" customHeight="1" spans="1:35">
      <c r="A78" s="2660" t="s">
        <v>983</v>
      </c>
      <c r="B78" s="1996" t="s">
        <v>1012</v>
      </c>
      <c r="C78" s="2732">
        <f ca="1">ROUND(D45*D78/(1+'数据-取费表'!C42),0)</f>
        <v>15</v>
      </c>
      <c r="D78" s="2733">
        <f>'数据-取费表'!B43</f>
        <v>0.006</v>
      </c>
      <c r="E78" s="2734" t="s">
        <v>1013</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5" customFormat="1" ht="14.25" spans="1:35">
      <c r="A79" s="2657" t="s">
        <v>991</v>
      </c>
      <c r="B79" s="2704" t="s">
        <v>1014</v>
      </c>
      <c r="C79" s="2707">
        <f ca="1">C72-C73</f>
        <v>2412</v>
      </c>
      <c r="D79" s="1996" t="s">
        <v>124</v>
      </c>
      <c r="E79" s="1435"/>
      <c r="F79" s="1436"/>
      <c r="G79" s="1436"/>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5" customFormat="1" ht="24" spans="1:35">
      <c r="A80" s="2657" t="s">
        <v>994</v>
      </c>
      <c r="B80" s="2704" t="s">
        <v>1015</v>
      </c>
      <c r="C80" s="2737">
        <f ca="1">IF(C79&lt;=0,0,C79/C73)</f>
        <v>160.8</v>
      </c>
      <c r="D80" s="1996" t="s">
        <v>124</v>
      </c>
      <c r="E80" s="1559" t="str">
        <f ca="1">IF(C80&gt;=200%,"增值额超过扣除项目金额200%",IF(C80&gt;=100%,"增值额超过扣除项目金额100%，未超过200%",IF(C80&gt;=50%,"增值额超过扣除项目金额50%，未超过100%",IF(C80&lt;50%,"增值额未超过扣除项目金额50%"))))</f>
        <v>增值额超过扣除项目金额200%</v>
      </c>
      <c r="F80" s="1436"/>
      <c r="G80" s="1436"/>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5" customFormat="1" ht="24.75" spans="1:35">
      <c r="A81" s="2708" t="s">
        <v>1016</v>
      </c>
      <c r="B81" s="2709" t="s">
        <v>1017</v>
      </c>
      <c r="C81" s="2738">
        <f ca="1">ROUND(IF(C79&lt;=0,0,IF(C80&gt;=200%,C79*60%-C73*35%,IF(C80&gt;=100%,C79*50%-C73*15%,IF(C80&gt;=50%,C79*40%-C73*5%,IF(C80&lt;50%,C79*30%,0))))),0)</f>
        <v>1442</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5" customFormat="1" ht="7.5" customHeight="1" spans="1:35">
      <c r="A82" s="2743"/>
      <c r="B82" s="2744"/>
      <c r="C82" s="2165"/>
      <c r="D82" s="2165"/>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5" customFormat="1" ht="15" spans="1:35">
      <c r="A83" s="2716" t="s">
        <v>1018</v>
      </c>
      <c r="B83" s="2717"/>
      <c r="C83" s="2717"/>
      <c r="D83" s="2717"/>
      <c r="E83" s="2717"/>
      <c r="F83" s="2717"/>
      <c r="G83" s="2717"/>
      <c r="H83" s="2717"/>
      <c r="I83" s="2282"/>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5" customFormat="1" ht="14.25" spans="1:35">
      <c r="A84" s="2655" t="s">
        <v>973</v>
      </c>
      <c r="B84" s="2013"/>
      <c r="C84" s="2013"/>
      <c r="D84" s="2013" t="s">
        <v>974</v>
      </c>
      <c r="E84" s="2718" t="s">
        <v>928</v>
      </c>
      <c r="F84" s="2719"/>
      <c r="G84" s="2719"/>
      <c r="H84" s="2746"/>
      <c r="I84" s="2282"/>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5" customFormat="1" ht="14.25" spans="1:35">
      <c r="A85" s="2657" t="s">
        <v>975</v>
      </c>
      <c r="B85" s="2704" t="s">
        <v>999</v>
      </c>
      <c r="C85" s="2707">
        <f ca="1">ROUND(D45/(1+'数据-取费表'!C42),0)</f>
        <v>2427</v>
      </c>
      <c r="D85" s="1996" t="s">
        <v>124</v>
      </c>
      <c r="E85" s="1435"/>
      <c r="F85" s="1436"/>
      <c r="G85" s="1436"/>
      <c r="H85" s="2747"/>
      <c r="I85" s="2282"/>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5" customFormat="1" ht="14.25" spans="1:35">
      <c r="A86" s="2657" t="s">
        <v>986</v>
      </c>
      <c r="B86" s="2618" t="s">
        <v>1000</v>
      </c>
      <c r="C86" s="2707">
        <f ca="1">IF(H88="仅含出让金",C87+C90+C91+C92+C93+C94,C87+C91+C92+C93+C94)</f>
        <v>15</v>
      </c>
      <c r="D86" s="2748"/>
      <c r="E86" s="1435"/>
      <c r="F86" s="1436"/>
      <c r="G86" s="1436"/>
      <c r="H86" s="2747"/>
      <c r="I86" s="2282"/>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5" customFormat="1" ht="14.25" spans="1:35">
      <c r="A87" s="2660" t="s">
        <v>979</v>
      </c>
      <c r="B87" s="1996" t="s">
        <v>1019</v>
      </c>
      <c r="C87" s="2732">
        <f>C88+C89</f>
        <v>0</v>
      </c>
      <c r="D87" s="2733"/>
      <c r="E87" s="2734"/>
      <c r="F87" s="2735"/>
      <c r="G87" s="2735"/>
      <c r="H87" s="2736"/>
      <c r="I87" s="2282"/>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5" customFormat="1" ht="14.25" spans="1:35">
      <c r="A88" s="2660" t="s">
        <v>1002</v>
      </c>
      <c r="B88" s="1996" t="s">
        <v>1020</v>
      </c>
      <c r="C88" s="2749"/>
      <c r="D88" s="2733"/>
      <c r="E88" s="2750" t="s">
        <v>1021</v>
      </c>
      <c r="F88" s="2735"/>
      <c r="G88" s="2751" t="s">
        <v>1022</v>
      </c>
      <c r="H88" s="2752"/>
      <c r="I88" s="2282"/>
      <c r="J88" s="2819" t="s">
        <v>1023</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5" customFormat="1" ht="14.25" spans="1:35">
      <c r="A89" s="2660" t="s">
        <v>1006</v>
      </c>
      <c r="B89" s="1996" t="s">
        <v>1010</v>
      </c>
      <c r="C89" s="2732">
        <f>ROUND(C88*D89,0)</f>
        <v>0</v>
      </c>
      <c r="D89" s="2733">
        <f>'数据-取费表'!B48+'数据-取费表'!B49</f>
        <v>0.0305</v>
      </c>
      <c r="E89" s="2750" t="s">
        <v>1024</v>
      </c>
      <c r="F89" s="2735"/>
      <c r="G89" s="2735"/>
      <c r="H89" s="2736"/>
      <c r="I89" s="2282"/>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5" customFormat="1" ht="14.25" spans="1:35">
      <c r="A90" s="2660" t="s">
        <v>983</v>
      </c>
      <c r="B90" s="1996" t="s">
        <v>1025</v>
      </c>
      <c r="C90" s="2749"/>
      <c r="D90" s="2733"/>
      <c r="E90" s="2750" t="str">
        <f>IF(H88="-","土地取得成本中已包含该笔费用"," ")</f>
        <v> </v>
      </c>
      <c r="F90" s="2735"/>
      <c r="G90" s="2753" t="s">
        <v>1026</v>
      </c>
      <c r="H90" s="2754"/>
      <c r="I90" s="2282"/>
      <c r="J90" s="2819" t="s">
        <v>1027</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5" customFormat="1" ht="27.75" customHeight="1" spans="1:35">
      <c r="A91" s="2660" t="s">
        <v>1028</v>
      </c>
      <c r="B91" s="1996" t="s">
        <v>1029</v>
      </c>
      <c r="C91" s="2732">
        <f ca="1">IF(H91="——",成本法!C33,I91)</f>
        <v>0</v>
      </c>
      <c r="D91" s="2733"/>
      <c r="E91" s="2734" t="s">
        <v>1030</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5" customFormat="1" ht="25.5" customHeight="1" spans="1:35">
      <c r="A92" s="2660" t="s">
        <v>1031</v>
      </c>
      <c r="B92" s="1996" t="s">
        <v>1032</v>
      </c>
      <c r="C92" s="2732">
        <f ca="1">ROUND((C87+C90+C91)*D92,0)</f>
        <v>0</v>
      </c>
      <c r="D92" s="2756"/>
      <c r="E92" s="2734" t="s">
        <v>1033</v>
      </c>
      <c r="F92" s="2735"/>
      <c r="G92" s="2735"/>
      <c r="H92" s="2736"/>
      <c r="I92" s="2282"/>
      <c r="J92" s="2821" t="s">
        <v>1034</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5" customFormat="1" ht="25.5" customHeight="1" spans="1:35">
      <c r="A93" s="2660" t="s">
        <v>1035</v>
      </c>
      <c r="B93" s="1996" t="s">
        <v>1012</v>
      </c>
      <c r="C93" s="2732">
        <f ca="1">ROUND(D45*D93/(1+'数据-取费表'!C42),0)</f>
        <v>15</v>
      </c>
      <c r="D93" s="2733">
        <f>'数据-取费表'!B43</f>
        <v>0.006</v>
      </c>
      <c r="E93" s="2734" t="s">
        <v>1013</v>
      </c>
      <c r="F93" s="2735"/>
      <c r="G93" s="2735"/>
      <c r="H93" s="2736"/>
      <c r="I93" s="2282"/>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5" customFormat="1" ht="36.75" customHeight="1" spans="1:35">
      <c r="A94" s="2660" t="s">
        <v>1036</v>
      </c>
      <c r="B94" s="1996" t="s">
        <v>1037</v>
      </c>
      <c r="C94" s="2749">
        <f ca="1">ROUND((C87+C90+C91)*D94,0)</f>
        <v>0</v>
      </c>
      <c r="D94" s="2733">
        <v>0.2</v>
      </c>
      <c r="E94" s="2757" t="s">
        <v>1038</v>
      </c>
      <c r="F94" s="2758"/>
      <c r="G94" s="2758"/>
      <c r="H94" s="2759"/>
      <c r="I94" s="2282"/>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5" customFormat="1" ht="14.25" spans="1:35">
      <c r="A95" s="2657" t="s">
        <v>991</v>
      </c>
      <c r="B95" s="2704" t="s">
        <v>1014</v>
      </c>
      <c r="C95" s="2707">
        <f ca="1">ROUND(C85-C86,0)</f>
        <v>2412</v>
      </c>
      <c r="D95" s="1996" t="s">
        <v>124</v>
      </c>
      <c r="E95" s="1435"/>
      <c r="F95" s="1436"/>
      <c r="G95" s="1436"/>
      <c r="H95" s="2747"/>
      <c r="I95" s="2282"/>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5" customFormat="1" ht="24" spans="1:35">
      <c r="A96" s="2657" t="s">
        <v>994</v>
      </c>
      <c r="B96" s="2704" t="s">
        <v>1015</v>
      </c>
      <c r="C96" s="2737">
        <f ca="1">IF(C95&lt;=0,0,C95/C86)</f>
        <v>160.8</v>
      </c>
      <c r="D96" s="1996" t="s">
        <v>124</v>
      </c>
      <c r="E96" s="1559" t="str">
        <f ca="1">IF(C96&gt;=200%,"增值额超过扣除项目金额200%",IF(C96&gt;=100%,"增值额超过扣除项目金额100%，未超过200%",IF(C96&gt;=50%,"增值额超过扣除项目金额50%，未超过100%",IF(C96&lt;50%,"增值额未超过扣除项目金额50%"))))</f>
        <v>增值额超过扣除项目金额200%</v>
      </c>
      <c r="F96" s="1436"/>
      <c r="G96" s="1436"/>
      <c r="H96" s="2747"/>
      <c r="I96" s="2282"/>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5" customFormat="1" ht="24.75" spans="1:35">
      <c r="A97" s="2708" t="s">
        <v>1016</v>
      </c>
      <c r="B97" s="2709" t="s">
        <v>1017</v>
      </c>
      <c r="C97" s="2738">
        <f ca="1">ROUND(IF(C95&lt;=0,0,IF(C96&gt;=200%,C95*60%-C86*35%,IF(C96&gt;=100%,C95*50%-C86*15%,IF(C96&gt;=50%,C95*40%-C86*5%,IF(C96&lt;50%,C95*30%,0))))),0)</f>
        <v>1442</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2282"/>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499"/>
      <c r="C98" s="2499"/>
      <c r="D98" s="2499"/>
      <c r="E98" s="2651"/>
      <c r="F98" s="2651"/>
      <c r="G98" s="2651"/>
      <c r="H98" s="2599"/>
      <c r="I98" s="632"/>
    </row>
    <row r="99" customHeight="1" spans="1:9">
      <c r="A99" s="2601" t="s">
        <v>1039</v>
      </c>
      <c r="B99" s="2499"/>
      <c r="C99" s="2499"/>
      <c r="D99" s="2499"/>
      <c r="E99" s="2651"/>
      <c r="F99" s="2651"/>
      <c r="G99" s="2651"/>
      <c r="H99" s="2599"/>
      <c r="I99" s="632"/>
    </row>
    <row r="100" ht="18.75" customHeight="1" spans="1:9">
      <c r="A100" s="2761" t="s">
        <v>1040</v>
      </c>
      <c r="B100" s="2762"/>
      <c r="C100" s="2762"/>
      <c r="D100" s="2763"/>
      <c r="E100" s="2762" t="s">
        <v>1041</v>
      </c>
      <c r="F100" s="2762"/>
      <c r="G100" s="2762"/>
      <c r="H100" s="2763"/>
      <c r="I100" s="632"/>
    </row>
    <row r="101" ht="18.75" customHeight="1" spans="1:9">
      <c r="A101" s="2764" t="s">
        <v>1042</v>
      </c>
      <c r="B101" s="2765"/>
      <c r="C101" s="2766" t="str">
        <f>C4</f>
        <v>成本法3号楼</v>
      </c>
      <c r="D101" s="2767" t="str">
        <f>D4</f>
        <v>收益法（汇总）</v>
      </c>
      <c r="E101" s="2768" t="s">
        <v>1043</v>
      </c>
      <c r="F101" s="2769"/>
      <c r="G101" s="2770" t="s">
        <v>1044</v>
      </c>
      <c r="H101" s="2771">
        <f ca="1">H118</f>
        <v>2548</v>
      </c>
      <c r="I101" s="632"/>
    </row>
    <row r="102" ht="18.75" customHeight="1" spans="1:9">
      <c r="A102" s="2772" t="s">
        <v>1045</v>
      </c>
      <c r="B102" s="2773" t="s">
        <v>1044</v>
      </c>
      <c r="C102" s="2766">
        <f ca="1">IF(D32="楼面单价",ROUND(C19,0),C19)</f>
        <v>3208.0493</v>
      </c>
      <c r="D102" s="2767">
        <f ca="1">IF(D32="楼面单价",ROUND(D19,0),D19)</f>
        <v>3074.8665</v>
      </c>
      <c r="E102" s="2768"/>
      <c r="F102" s="2769"/>
      <c r="G102" s="2770" t="s">
        <v>99</v>
      </c>
      <c r="H102" s="2637">
        <f ca="1">I118</f>
        <v>36636</v>
      </c>
      <c r="I102" s="632"/>
    </row>
    <row r="103" ht="42.75" customHeight="1" spans="1:9">
      <c r="A103" s="2772"/>
      <c r="B103" s="2773" t="s">
        <v>99</v>
      </c>
      <c r="C103" s="2774">
        <f ca="1">C20</f>
        <v>46142</v>
      </c>
      <c r="D103" s="2775">
        <f ca="1">D20</f>
        <v>44211</v>
      </c>
      <c r="E103" s="2776" t="s">
        <v>1046</v>
      </c>
      <c r="F103" s="2777"/>
      <c r="G103" s="2778" t="s">
        <v>102</v>
      </c>
      <c r="H103" s="2771">
        <f>IF(D36="正常操作",H104+H105+H106,H105+H106)</f>
        <v>0</v>
      </c>
      <c r="I103" s="632"/>
    </row>
    <row r="104" ht="18.75" customHeight="1" spans="1:9">
      <c r="A104" s="2772" t="s">
        <v>1047</v>
      </c>
      <c r="B104" s="2779" t="s">
        <v>1044</v>
      </c>
      <c r="C104" s="2780">
        <f ca="1">H118</f>
        <v>2548</v>
      </c>
      <c r="D104" s="2781"/>
      <c r="E104" s="2583" t="s">
        <v>1048</v>
      </c>
      <c r="F104" s="2782"/>
      <c r="G104" s="2778" t="s">
        <v>102</v>
      </c>
      <c r="H104" s="2783">
        <f>IF(D36="同一抵押权人同一抵押物续贷",C36&amp;"（续贷，未扣减，详见特别提示）",C36)</f>
        <v>0</v>
      </c>
      <c r="I104" s="632"/>
    </row>
    <row r="105" ht="18.75" customHeight="1" spans="1:9">
      <c r="A105" s="2784"/>
      <c r="B105" s="2785" t="s">
        <v>99</v>
      </c>
      <c r="C105" s="2786">
        <f ca="1">I118</f>
        <v>36636</v>
      </c>
      <c r="D105" s="2787"/>
      <c r="E105" s="2583" t="s">
        <v>1049</v>
      </c>
      <c r="F105" s="2782"/>
      <c r="G105" s="2778" t="s">
        <v>102</v>
      </c>
      <c r="H105" s="2788">
        <f>C37</f>
        <v>0</v>
      </c>
      <c r="I105" s="632"/>
    </row>
    <row r="106" ht="18.75" customHeight="1" spans="1:9">
      <c r="A106" s="2499" t="s">
        <v>1050</v>
      </c>
      <c r="B106" s="2499"/>
      <c r="C106" s="2499"/>
      <c r="D106" s="2499"/>
      <c r="E106" s="2789" t="s">
        <v>1051</v>
      </c>
      <c r="F106" s="2782"/>
      <c r="G106" s="2778" t="s">
        <v>102</v>
      </c>
      <c r="H106" s="2788">
        <f>C38</f>
        <v>0</v>
      </c>
      <c r="I106" s="632"/>
    </row>
    <row r="107" ht="18.75" customHeight="1" spans="1:9">
      <c r="A107" s="632"/>
      <c r="B107" s="632"/>
      <c r="C107" s="632"/>
      <c r="D107" s="632"/>
      <c r="E107" s="2790" t="str">
        <f>IF(项目基本情况!E8="已注销","——","3.房地产抵押价值")</f>
        <v>3.房地产抵押价值</v>
      </c>
      <c r="F107" s="2769"/>
      <c r="G107" s="2770" t="s">
        <v>1044</v>
      </c>
      <c r="H107" s="2771">
        <f ca="1">IF(E107="——","——",H101-H103)</f>
        <v>2548</v>
      </c>
      <c r="I107" s="632"/>
    </row>
    <row r="108" ht="18.75" customHeight="1" spans="1:9">
      <c r="A108" s="632"/>
      <c r="B108" s="632"/>
      <c r="C108" s="632"/>
      <c r="D108" s="632"/>
      <c r="E108" s="2790"/>
      <c r="F108" s="2769"/>
      <c r="G108" s="2770" t="s">
        <v>99</v>
      </c>
      <c r="H108" s="2637">
        <f ca="1">IF(H107=H101,H102,ROUND(H107*10000/'数据-汇总表'!E3,0))</f>
        <v>36636</v>
      </c>
      <c r="I108" s="632"/>
    </row>
    <row r="109" ht="18.75" customHeight="1" spans="1:9">
      <c r="A109" s="632"/>
      <c r="B109" s="632"/>
      <c r="C109" s="632"/>
      <c r="D109" s="632"/>
      <c r="E109" s="2790" t="str">
        <f>IF(项目基本情况!E8="已注销及未注销","4.抵押担保权已注销时的房地产抵押价值",IF(项目基本情况!E8="已注销","3.抵押担保权已注销时的房地产抵押价值","——"))</f>
        <v>——</v>
      </c>
      <c r="F109" s="2769"/>
      <c r="G109" s="2770" t="s">
        <v>1044</v>
      </c>
      <c r="H109" s="2791" t="str">
        <f ca="1">IF(E109="——","——",H101-H105-H106)</f>
        <v>——</v>
      </c>
      <c r="I109" s="632"/>
    </row>
    <row r="110" ht="18.75" customHeight="1" spans="1:9">
      <c r="A110" s="632"/>
      <c r="B110" s="632"/>
      <c r="C110" s="632"/>
      <c r="D110" s="632"/>
      <c r="E110" s="2790"/>
      <c r="F110" s="2769"/>
      <c r="G110" s="2770" t="s">
        <v>99</v>
      </c>
      <c r="H110" s="2637" t="str">
        <f ca="1">IF(H109="——","——",ROUND(H109*10000/'数据-汇总表'!E3,0))</f>
        <v>——</v>
      </c>
      <c r="I110" s="632"/>
    </row>
    <row r="111" ht="18.75" customHeight="1" spans="1:9">
      <c r="A111" s="632"/>
      <c r="B111" s="632"/>
      <c r="C111" s="632"/>
      <c r="D111" s="632"/>
      <c r="E111" s="2792" t="str">
        <f>IF(项目基本情况!E9="抵押净值",IF(OR(项目基本情况!E8="已注销",项目基本情况!E8="房地产抵押价值"),"4.抵押净值","5.抵押净值"),"——")</f>
        <v>——</v>
      </c>
      <c r="F111" s="2793"/>
      <c r="G111" s="2770" t="s">
        <v>1044</v>
      </c>
      <c r="H111" s="2771" t="str">
        <f ca="1">IF(E111="——","——",N59)</f>
        <v>——</v>
      </c>
      <c r="I111" s="632"/>
    </row>
    <row r="112" ht="18.75" customHeight="1" spans="1:9">
      <c r="A112" s="632"/>
      <c r="B112" s="632"/>
      <c r="C112" s="632"/>
      <c r="D112" s="632"/>
      <c r="E112" s="2794"/>
      <c r="F112" s="2795"/>
      <c r="G112" s="2796" t="s">
        <v>99</v>
      </c>
      <c r="H112" s="2797" t="str">
        <f ca="1">IF(E111="——","——",N61)</f>
        <v>——</v>
      </c>
      <c r="I112" s="632"/>
    </row>
    <row r="113" ht="18.75" customHeight="1" spans="1:9">
      <c r="A113" s="632"/>
      <c r="B113" s="632"/>
      <c r="C113" s="632"/>
      <c r="D113" s="632"/>
      <c r="E113" s="2798" t="s">
        <v>1050</v>
      </c>
      <c r="F113" s="2798"/>
      <c r="G113" s="2798"/>
      <c r="H113" s="2798"/>
      <c r="I113" s="632"/>
    </row>
    <row r="114" ht="3.75" customHeight="1" spans="1:9">
      <c r="A114" s="2499"/>
      <c r="B114" s="2499"/>
      <c r="C114" s="2499"/>
      <c r="D114" s="2499"/>
      <c r="E114" s="2650"/>
      <c r="F114" s="2650"/>
      <c r="G114" s="2650"/>
      <c r="H114" s="2650"/>
      <c r="I114" s="2499"/>
    </row>
    <row r="115" ht="18.75" customHeight="1" spans="1:9">
      <c r="A115" s="2799" t="s">
        <v>1052</v>
      </c>
      <c r="B115" s="2800"/>
      <c r="C115" s="2800"/>
      <c r="D115" s="2800"/>
      <c r="E115" s="2800"/>
      <c r="F115" s="2800"/>
      <c r="G115" s="2800"/>
      <c r="H115" s="2800"/>
      <c r="I115" s="2822"/>
    </row>
    <row r="116" ht="27" customHeight="1" spans="1:9">
      <c r="A116" s="2512" t="s">
        <v>1053</v>
      </c>
      <c r="B116" s="2801" t="s">
        <v>1054</v>
      </c>
      <c r="C116" s="2801" t="s">
        <v>1055</v>
      </c>
      <c r="D116" s="2802" t="s">
        <v>1056</v>
      </c>
      <c r="E116" s="2803"/>
      <c r="F116" s="2804" t="s">
        <v>1057</v>
      </c>
      <c r="G116" s="2804"/>
      <c r="H116" s="2512" t="s">
        <v>1058</v>
      </c>
      <c r="I116" s="2512"/>
    </row>
    <row r="117" ht="18.75" customHeight="1" spans="1:9">
      <c r="A117" s="2512"/>
      <c r="B117" s="2805"/>
      <c r="C117" s="2805"/>
      <c r="D117" s="2512" t="s">
        <v>1059</v>
      </c>
      <c r="E117" s="2512" t="s">
        <v>886</v>
      </c>
      <c r="F117" s="2512" t="s">
        <v>1059</v>
      </c>
      <c r="G117" s="2512" t="s">
        <v>886</v>
      </c>
      <c r="H117" s="2512" t="s">
        <v>1059</v>
      </c>
      <c r="I117" s="2512" t="s">
        <v>886</v>
      </c>
    </row>
    <row r="118" ht="24.75" customHeight="1" spans="1:9">
      <c r="A118" s="2806" t="str">
        <f>项目基本情况!S2</f>
        <v>北京市东城区（原崇文区）光明西街3号、甲3号3号楼房地产</v>
      </c>
      <c r="B118" s="2512">
        <f>M18</f>
        <v>695.5</v>
      </c>
      <c r="C118" s="2512">
        <f>M19</f>
        <v>0</v>
      </c>
      <c r="D118" s="2512">
        <f ca="1">ROUND(IF(D32="总价",C34,E118*B118/10000),0)</f>
        <v>2418</v>
      </c>
      <c r="E118" s="2512">
        <f ca="1">ROUND(IF(C33="自定义",IF(D32="楼面单价",C34,D118*10000/B118),I118-G118),0)</f>
        <v>34766</v>
      </c>
      <c r="F118" s="2512">
        <f ca="1">ROUND(IF(D32="总价",C35,G118*B118/10000),0)</f>
        <v>130</v>
      </c>
      <c r="G118" s="2512">
        <f ca="1">ROUND(IF(D32="楼面单价",C35,F118*10000/B118),0)</f>
        <v>1869</v>
      </c>
      <c r="H118" s="2512">
        <f ca="1">ROUND(IF(D32="总价",C32,I118*B118/10000),0)</f>
        <v>2548</v>
      </c>
      <c r="I118" s="2512">
        <f ca="1">ROUND(IF(D32="楼面单价",C32,H118*10000/B118),0)</f>
        <v>36636</v>
      </c>
    </row>
    <row r="119" ht="18.75" customHeight="1" spans="1:9">
      <c r="A119" s="2512" t="s">
        <v>1060</v>
      </c>
      <c r="B119" s="2512"/>
      <c r="C119" s="2512"/>
      <c r="D119" s="2807" t="str">
        <f ca="1">NUMBERSTRING(INT(D118*10000),2)&amp;"元整"</f>
        <v>贰仟肆佰壹拾捌万元整</v>
      </c>
      <c r="E119" s="2808"/>
      <c r="F119" s="2807" t="str">
        <f ca="1">NUMBERSTRING(INT(F118*10000),2)&amp;"元整"</f>
        <v>壹佰叁拾万元整</v>
      </c>
      <c r="G119" s="2808"/>
      <c r="H119" s="2807" t="str">
        <f ca="1">NUMBERSTRING(INT(H118*10000),2)&amp;"元整"</f>
        <v>贰仟伍佰肆拾捌万元整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7" t="s">
        <v>1060</v>
      </c>
      <c r="B121" s="2812"/>
      <c r="C121" s="2808"/>
      <c r="D121" s="2807" t="str">
        <f>IF(D120=0,"零元整",NUMBERSTRING(INT(D120*10000),2)&amp;"元整")</f>
        <v>零元整</v>
      </c>
      <c r="E121" s="2812"/>
      <c r="F121" s="2812"/>
      <c r="G121" s="2812"/>
      <c r="H121" s="2812"/>
      <c r="I121" s="2808"/>
      <c r="AA121" s="587"/>
    </row>
    <row r="122" ht="18.75" customHeight="1" spans="1:27">
      <c r="A122" s="2793" t="str">
        <f>IF(项目基本情况!B9="房地产市场价值","",MID(E107,3,LEN(E107)-2))</f>
        <v>房地产抵押价值</v>
      </c>
      <c r="B122" s="2793"/>
      <c r="C122" s="2793"/>
      <c r="D122" s="2809">
        <f ca="1">H107</f>
        <v>2548</v>
      </c>
      <c r="E122" s="2810"/>
      <c r="F122" s="2810"/>
      <c r="G122" s="2810"/>
      <c r="H122" s="2810"/>
      <c r="I122" s="2811"/>
      <c r="AA122" s="587"/>
    </row>
    <row r="123" ht="18.75" customHeight="1" spans="1:27">
      <c r="A123" s="2512" t="s">
        <v>1060</v>
      </c>
      <c r="B123" s="2512"/>
      <c r="C123" s="2512"/>
      <c r="D123" s="2807" t="str">
        <f ca="1">NUMBERSTRING(INT(D122*10000),2)&amp;"元整"</f>
        <v>贰仟伍佰肆拾捌万元整</v>
      </c>
      <c r="E123" s="2812"/>
      <c r="F123" s="2812"/>
      <c r="G123" s="2812"/>
      <c r="H123" s="2812"/>
      <c r="I123" s="2808"/>
      <c r="AA123" s="587"/>
    </row>
    <row r="124" ht="18.75" customHeight="1" spans="1:27">
      <c r="A124" s="2793" t="str">
        <f>IF(项目基本情况!B9="房地产市场价值","",MID(E109,3,LEN(E109)-2))</f>
        <v/>
      </c>
      <c r="B124" s="2793"/>
      <c r="C124" s="2793"/>
      <c r="D124" s="2809" t="str">
        <f ca="1">H109</f>
        <v>——</v>
      </c>
      <c r="E124" s="2810"/>
      <c r="F124" s="2810"/>
      <c r="G124" s="2810"/>
      <c r="H124" s="2810"/>
      <c r="I124" s="2811"/>
      <c r="AA124" s="587"/>
    </row>
    <row r="125" ht="18.75" customHeight="1" spans="1:27">
      <c r="A125" s="2512" t="s">
        <v>1060</v>
      </c>
      <c r="B125" s="2512"/>
      <c r="C125" s="2512"/>
      <c r="D125" s="2807" t="e">
        <f ca="1">NUMBERSTRING(INT(D124*10000),2)&amp;"元整"</f>
        <v>#VALUE!</v>
      </c>
      <c r="E125" s="2812"/>
      <c r="F125" s="2812"/>
      <c r="G125" s="2812"/>
      <c r="H125" s="2812"/>
      <c r="I125" s="2808"/>
      <c r="AA125" s="587"/>
    </row>
    <row r="126" ht="18.75" customHeight="1" spans="1:27">
      <c r="A126" s="2793" t="str">
        <f>IF(项目基本情况!B9="房地产市场价值","",MID(E111,3,LEN(E111)-2))</f>
        <v/>
      </c>
      <c r="B126" s="2793"/>
      <c r="C126" s="2793"/>
      <c r="D126" s="2809" t="str">
        <f ca="1">H111</f>
        <v>——</v>
      </c>
      <c r="E126" s="2810"/>
      <c r="F126" s="2810"/>
      <c r="G126" s="2810"/>
      <c r="H126" s="2810"/>
      <c r="I126" s="2811"/>
      <c r="AA126" s="587"/>
    </row>
    <row r="127" ht="18.75" customHeight="1" spans="1:27">
      <c r="A127" s="2512" t="s">
        <v>1060</v>
      </c>
      <c r="B127" s="2512"/>
      <c r="C127" s="2512"/>
      <c r="D127" s="2807" t="e">
        <f ca="1">NUMBERSTRING(INT(D126*10000),2)&amp;"元整"</f>
        <v>#VALUE!</v>
      </c>
      <c r="E127" s="2812"/>
      <c r="F127" s="2812"/>
      <c r="G127" s="2812"/>
      <c r="H127" s="2812"/>
      <c r="I127" s="2808"/>
      <c r="AA127" s="587"/>
    </row>
    <row r="128" customHeight="1" spans="1:27">
      <c r="A128" s="1523" t="s">
        <v>113</v>
      </c>
      <c r="B128" s="1523"/>
      <c r="C128" s="1523"/>
      <c r="D128" s="1523"/>
      <c r="E128" s="1523"/>
      <c r="F128" s="1523"/>
      <c r="G128" s="1523"/>
      <c r="H128" s="1523"/>
      <c r="I128" s="1523"/>
      <c r="AA128" s="587"/>
    </row>
    <row r="129" customHeight="1" spans="1:27">
      <c r="A129" s="2824" t="s">
        <v>1061</v>
      </c>
      <c r="B129" s="2825"/>
      <c r="C129" s="2826" t="s">
        <v>1062</v>
      </c>
      <c r="D129" s="2827"/>
      <c r="E129" s="2827"/>
      <c r="F129" s="2827"/>
      <c r="G129" s="2827"/>
      <c r="H129" s="2828"/>
      <c r="I129" s="2843"/>
      <c r="AA129" s="587"/>
    </row>
    <row r="130" customHeight="1" spans="1:27">
      <c r="A130" s="2829">
        <v>1</v>
      </c>
      <c r="B130" s="2830"/>
      <c r="C130" s="2830"/>
      <c r="D130" s="2831"/>
      <c r="E130" s="2831"/>
      <c r="F130" s="2831"/>
      <c r="G130" s="2831"/>
      <c r="H130" s="2832"/>
      <c r="I130" s="2844"/>
      <c r="AA130" s="587"/>
    </row>
    <row r="131" customHeight="1" spans="1:27">
      <c r="A131" s="2829">
        <v>2</v>
      </c>
      <c r="B131" s="2830"/>
      <c r="C131" s="2830"/>
      <c r="D131" s="2831"/>
      <c r="E131" s="2831"/>
      <c r="F131" s="2831"/>
      <c r="G131" s="2831"/>
      <c r="H131" s="2832"/>
      <c r="I131" s="2844"/>
      <c r="AA131" s="587"/>
    </row>
    <row r="132" customHeight="1" spans="1:27">
      <c r="A132" s="2829">
        <v>3</v>
      </c>
      <c r="B132" s="2830"/>
      <c r="C132" s="2830"/>
      <c r="D132" s="2831"/>
      <c r="E132" s="2831"/>
      <c r="F132" s="2831"/>
      <c r="G132" s="2831"/>
      <c r="H132" s="2832"/>
      <c r="I132" s="2844"/>
      <c r="AA132" s="587"/>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587"/>
    </row>
    <row r="135" customHeight="1" spans="1:9">
      <c r="A135" s="587"/>
      <c r="B135" s="587"/>
      <c r="C135" s="587"/>
      <c r="D135" s="587"/>
      <c r="E135" s="587"/>
      <c r="F135" s="2837" t="s">
        <v>1063</v>
      </c>
      <c r="G135" s="2838"/>
      <c r="H135" s="2838"/>
      <c r="I135" s="2846" t="s">
        <v>1064</v>
      </c>
    </row>
    <row r="136" customHeight="1" spans="1:9">
      <c r="A136" s="587"/>
      <c r="B136" s="2839" t="s">
        <v>1065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8"/>
      <c r="C138" s="2838"/>
      <c r="D138" s="2838"/>
      <c r="E138" s="2838"/>
      <c r="F138" s="2838"/>
      <c r="G138" s="2838"/>
      <c r="H138" s="2838"/>
      <c r="I138" s="2846" t="s">
        <v>1066</v>
      </c>
    </row>
    <row r="139" customHeight="1" spans="1:9">
      <c r="A139" s="587"/>
      <c r="B139" s="2839" t="s">
        <v>1067</v>
      </c>
      <c r="C139" s="587"/>
      <c r="D139" s="587"/>
      <c r="E139" s="587"/>
      <c r="F139" s="587"/>
      <c r="G139" s="587"/>
      <c r="H139" s="587"/>
      <c r="I139" s="587"/>
    </row>
    <row r="140" customHeight="1" spans="1:9">
      <c r="A140" s="587"/>
      <c r="B140" s="2839"/>
      <c r="C140" s="587"/>
      <c r="D140" s="587"/>
      <c r="E140" s="587"/>
      <c r="F140" s="587"/>
      <c r="G140" s="587"/>
      <c r="H140" s="587"/>
      <c r="I140" s="587"/>
    </row>
    <row r="141" customHeight="1" spans="1:9">
      <c r="A141" s="587"/>
      <c r="B141" s="2838"/>
      <c r="C141" s="2838"/>
      <c r="D141" s="2838"/>
      <c r="E141" s="2838"/>
      <c r="F141" s="2838"/>
      <c r="G141" s="2838"/>
      <c r="H141" s="2838"/>
      <c r="I141" s="2846" t="s">
        <v>1066</v>
      </c>
    </row>
    <row r="142" customHeight="1" spans="1:9">
      <c r="A142" s="587"/>
      <c r="B142" s="2839"/>
      <c r="C142" s="2840"/>
      <c r="D142" s="2841"/>
      <c r="E142" s="2841"/>
      <c r="F142" s="2842"/>
      <c r="G142" s="587"/>
      <c r="H142" s="587"/>
      <c r="I142" s="587"/>
    </row>
    <row r="143" s="584" customFormat="1" customHeight="1" spans="1:35">
      <c r="A143" s="587"/>
      <c r="B143" s="2839"/>
      <c r="C143" s="2840"/>
      <c r="D143" s="2841"/>
      <c r="E143" s="2841"/>
      <c r="F143" s="284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6" customFormat="1" customHeight="1" spans="10:26">
      <c r="J409" s="587"/>
      <c r="K409" s="587"/>
      <c r="L409" s="587"/>
      <c r="M409" s="587"/>
      <c r="N409" s="587"/>
      <c r="O409" s="587"/>
      <c r="P409" s="587"/>
      <c r="Q409" s="587"/>
      <c r="R409" s="587"/>
      <c r="S409" s="587"/>
      <c r="T409" s="587"/>
      <c r="U409" s="587"/>
      <c r="V409" s="587"/>
      <c r="W409" s="587"/>
      <c r="X409" s="587"/>
      <c r="Y409" s="587"/>
      <c r="Z409" s="587"/>
    </row>
    <row r="410" s="2496" customFormat="1" customHeight="1" spans="10:26">
      <c r="J410" s="587"/>
      <c r="K410" s="587"/>
      <c r="L410" s="587"/>
      <c r="M410" s="587"/>
      <c r="N410" s="587"/>
      <c r="O410" s="587"/>
      <c r="P410" s="587"/>
      <c r="Q410" s="587"/>
      <c r="R410" s="587"/>
      <c r="S410" s="587"/>
      <c r="T410" s="587"/>
      <c r="U410" s="587"/>
      <c r="V410" s="587"/>
      <c r="W410" s="587"/>
      <c r="X410" s="587"/>
      <c r="Y410" s="587"/>
      <c r="Z410" s="587"/>
    </row>
    <row r="411" s="2496" customFormat="1" customHeight="1" spans="10:26">
      <c r="J411" s="587"/>
      <c r="K411" s="587"/>
      <c r="L411" s="587"/>
      <c r="M411" s="587"/>
      <c r="N411" s="587"/>
      <c r="O411" s="587"/>
      <c r="P411" s="587"/>
      <c r="Q411" s="587"/>
      <c r="R411" s="587"/>
      <c r="S411" s="587"/>
      <c r="T411" s="587"/>
      <c r="U411" s="587"/>
      <c r="V411" s="587"/>
      <c r="W411" s="587"/>
      <c r="X411" s="587"/>
      <c r="Y411" s="587"/>
      <c r="Z411" s="587"/>
    </row>
    <row r="412" s="2496" customFormat="1" customHeight="1" spans="10:26">
      <c r="J412" s="587"/>
      <c r="K412" s="587"/>
      <c r="L412" s="587"/>
      <c r="M412" s="587"/>
      <c r="N412" s="587"/>
      <c r="O412" s="587"/>
      <c r="P412" s="587"/>
      <c r="Q412" s="587"/>
      <c r="R412" s="587"/>
      <c r="S412" s="587"/>
      <c r="T412" s="587"/>
      <c r="U412" s="587"/>
      <c r="V412" s="587"/>
      <c r="W412" s="587"/>
      <c r="X412" s="587"/>
      <c r="Y412" s="587"/>
      <c r="Z412" s="587"/>
    </row>
    <row r="413" s="2496" customFormat="1" customHeight="1" spans="10:26">
      <c r="J413" s="587"/>
      <c r="K413" s="587"/>
      <c r="L413" s="587"/>
      <c r="M413" s="587"/>
      <c r="N413" s="587"/>
      <c r="O413" s="587"/>
      <c r="P413" s="587"/>
      <c r="Q413" s="587"/>
      <c r="R413" s="587"/>
      <c r="S413" s="587"/>
      <c r="T413" s="587"/>
      <c r="U413" s="587"/>
      <c r="V413" s="587"/>
      <c r="W413" s="587"/>
      <c r="X413" s="587"/>
      <c r="Y413" s="587"/>
      <c r="Z413" s="587"/>
    </row>
    <row r="414" s="2496" customFormat="1" customHeight="1" spans="10:26">
      <c r="J414" s="587"/>
      <c r="K414" s="587"/>
      <c r="L414" s="587"/>
      <c r="M414" s="587"/>
      <c r="N414" s="587"/>
      <c r="O414" s="587"/>
      <c r="P414" s="587"/>
      <c r="Q414" s="587"/>
      <c r="R414" s="587"/>
      <c r="S414" s="587"/>
      <c r="T414" s="587"/>
      <c r="U414" s="587"/>
      <c r="V414" s="587"/>
      <c r="W414" s="587"/>
      <c r="X414" s="587"/>
      <c r="Y414" s="587"/>
      <c r="Z414" s="587"/>
    </row>
    <row r="415" s="2496" customFormat="1" customHeight="1" spans="10:26">
      <c r="J415" s="587"/>
      <c r="K415" s="587"/>
      <c r="L415" s="587"/>
      <c r="M415" s="587"/>
      <c r="N415" s="587"/>
      <c r="O415" s="587"/>
      <c r="P415" s="587"/>
      <c r="Q415" s="587"/>
      <c r="R415" s="587"/>
      <c r="S415" s="587"/>
      <c r="T415" s="587"/>
      <c r="U415" s="587"/>
      <c r="V415" s="587"/>
      <c r="W415" s="587"/>
      <c r="X415" s="587"/>
      <c r="Y415" s="587"/>
      <c r="Z415" s="587"/>
    </row>
    <row r="416" s="2496" customFormat="1" customHeight="1" spans="10:26">
      <c r="J416" s="587"/>
      <c r="K416" s="587"/>
      <c r="L416" s="587"/>
      <c r="M416" s="587"/>
      <c r="N416" s="587"/>
      <c r="O416" s="587"/>
      <c r="P416" s="587"/>
      <c r="Q416" s="587"/>
      <c r="R416" s="587"/>
      <c r="S416" s="587"/>
      <c r="T416" s="587"/>
      <c r="U416" s="587"/>
      <c r="V416" s="587"/>
      <c r="W416" s="587"/>
      <c r="X416" s="587"/>
      <c r="Y416" s="587"/>
      <c r="Z416" s="587"/>
    </row>
    <row r="417" s="2496" customFormat="1" customHeight="1" spans="10:26">
      <c r="J417" s="587"/>
      <c r="K417" s="587"/>
      <c r="L417" s="587"/>
      <c r="M417" s="587"/>
      <c r="N417" s="587"/>
      <c r="O417" s="587"/>
      <c r="P417" s="587"/>
      <c r="Q417" s="587"/>
      <c r="R417" s="587"/>
      <c r="S417" s="587"/>
      <c r="T417" s="587"/>
      <c r="U417" s="587"/>
      <c r="V417" s="587"/>
      <c r="W417" s="587"/>
      <c r="X417" s="587"/>
      <c r="Y417" s="587"/>
      <c r="Z417" s="587"/>
    </row>
    <row r="418" s="2496" customFormat="1" customHeight="1" spans="10:26">
      <c r="J418" s="587"/>
      <c r="K418" s="587"/>
      <c r="L418" s="587"/>
      <c r="M418" s="587"/>
      <c r="N418" s="587"/>
      <c r="O418" s="587"/>
      <c r="P418" s="587"/>
      <c r="Q418" s="587"/>
      <c r="R418" s="587"/>
      <c r="S418" s="587"/>
      <c r="T418" s="587"/>
      <c r="U418" s="587"/>
      <c r="V418" s="587"/>
      <c r="W418" s="587"/>
      <c r="X418" s="587"/>
      <c r="Y418" s="587"/>
      <c r="Z418" s="587"/>
    </row>
    <row r="419" s="2496" customFormat="1" customHeight="1" spans="10:26">
      <c r="J419" s="587"/>
      <c r="K419" s="587"/>
      <c r="L419" s="587"/>
      <c r="M419" s="587"/>
      <c r="N419" s="587"/>
      <c r="O419" s="587"/>
      <c r="P419" s="587"/>
      <c r="Q419" s="587"/>
      <c r="R419" s="587"/>
      <c r="S419" s="587"/>
      <c r="T419" s="587"/>
      <c r="U419" s="587"/>
      <c r="V419" s="587"/>
      <c r="W419" s="587"/>
      <c r="X419" s="587"/>
      <c r="Y419" s="587"/>
      <c r="Z419" s="587"/>
    </row>
    <row r="420" s="2496" customFormat="1" customHeight="1" spans="10:26">
      <c r="J420" s="587"/>
      <c r="K420" s="587"/>
      <c r="L420" s="587"/>
      <c r="M420" s="587"/>
      <c r="N420" s="587"/>
      <c r="O420" s="587"/>
      <c r="P420" s="587"/>
      <c r="Q420" s="587"/>
      <c r="R420" s="587"/>
      <c r="S420" s="587"/>
      <c r="T420" s="587"/>
      <c r="U420" s="587"/>
      <c r="V420" s="587"/>
      <c r="W420" s="587"/>
      <c r="X420" s="587"/>
      <c r="Y420" s="587"/>
      <c r="Z420" s="587"/>
    </row>
    <row r="421" s="2496" customFormat="1" customHeight="1" spans="10:26">
      <c r="J421" s="587"/>
      <c r="K421" s="587"/>
      <c r="L421" s="587"/>
      <c r="M421" s="587"/>
      <c r="N421" s="587"/>
      <c r="O421" s="587"/>
      <c r="P421" s="587"/>
      <c r="Q421" s="587"/>
      <c r="R421" s="587"/>
      <c r="S421" s="587"/>
      <c r="T421" s="587"/>
      <c r="U421" s="587"/>
      <c r="V421" s="587"/>
      <c r="W421" s="587"/>
      <c r="X421" s="587"/>
      <c r="Y421" s="587"/>
      <c r="Z421" s="587"/>
    </row>
    <row r="422" s="2496" customFormat="1" customHeight="1" spans="10:26">
      <c r="J422" s="587"/>
      <c r="K422" s="587"/>
      <c r="L422" s="587"/>
      <c r="M422" s="587"/>
      <c r="N422" s="587"/>
      <c r="O422" s="587"/>
      <c r="P422" s="587"/>
      <c r="Q422" s="587"/>
      <c r="R422" s="587"/>
      <c r="S422" s="587"/>
      <c r="T422" s="587"/>
      <c r="U422" s="587"/>
      <c r="V422" s="587"/>
      <c r="W422" s="587"/>
      <c r="X422" s="587"/>
      <c r="Y422" s="587"/>
      <c r="Z422" s="587"/>
    </row>
    <row r="423" s="2496" customFormat="1" customHeight="1" spans="10:26">
      <c r="J423" s="587"/>
      <c r="K423" s="587"/>
      <c r="L423" s="587"/>
      <c r="M423" s="587"/>
      <c r="N423" s="587"/>
      <c r="O423" s="587"/>
      <c r="P423" s="587"/>
      <c r="Q423" s="587"/>
      <c r="R423" s="587"/>
      <c r="S423" s="587"/>
      <c r="T423" s="587"/>
      <c r="U423" s="587"/>
      <c r="V423" s="587"/>
      <c r="W423" s="587"/>
      <c r="X423" s="587"/>
      <c r="Y423" s="587"/>
      <c r="Z423" s="587"/>
    </row>
    <row r="424" s="2496" customFormat="1" customHeight="1" spans="10:26">
      <c r="J424" s="587"/>
      <c r="K424" s="587"/>
      <c r="L424" s="587"/>
      <c r="M424" s="587"/>
      <c r="N424" s="587"/>
      <c r="O424" s="587"/>
      <c r="P424" s="587"/>
      <c r="Q424" s="587"/>
      <c r="R424" s="587"/>
      <c r="S424" s="587"/>
      <c r="T424" s="587"/>
      <c r="U424" s="587"/>
      <c r="V424" s="587"/>
      <c r="W424" s="587"/>
      <c r="X424" s="587"/>
      <c r="Y424" s="587"/>
      <c r="Z424" s="587"/>
    </row>
    <row r="425" s="2496" customFormat="1" customHeight="1" spans="10:26">
      <c r="J425" s="587"/>
      <c r="K425" s="587"/>
      <c r="L425" s="587"/>
      <c r="M425" s="587"/>
      <c r="N425" s="587"/>
      <c r="O425" s="587"/>
      <c r="P425" s="587"/>
      <c r="Q425" s="587"/>
      <c r="R425" s="587"/>
      <c r="S425" s="587"/>
      <c r="T425" s="587"/>
      <c r="U425" s="587"/>
      <c r="V425" s="587"/>
      <c r="W425" s="587"/>
      <c r="X425" s="587"/>
      <c r="Y425" s="587"/>
      <c r="Z425" s="587"/>
    </row>
    <row r="426" s="2496" customFormat="1" customHeight="1" spans="10:26">
      <c r="J426" s="587"/>
      <c r="K426" s="587"/>
      <c r="L426" s="587"/>
      <c r="M426" s="587"/>
      <c r="N426" s="587"/>
      <c r="O426" s="587"/>
      <c r="P426" s="587"/>
      <c r="Q426" s="587"/>
      <c r="R426" s="587"/>
      <c r="S426" s="587"/>
      <c r="T426" s="587"/>
      <c r="U426" s="587"/>
      <c r="V426" s="587"/>
      <c r="W426" s="587"/>
      <c r="X426" s="587"/>
      <c r="Y426" s="587"/>
      <c r="Z426" s="587"/>
    </row>
    <row r="427" s="2496" customFormat="1" customHeight="1" spans="10:26">
      <c r="J427" s="587"/>
      <c r="K427" s="587"/>
      <c r="L427" s="587"/>
      <c r="M427" s="587"/>
      <c r="N427" s="587"/>
      <c r="O427" s="587"/>
      <c r="P427" s="587"/>
      <c r="Q427" s="587"/>
      <c r="R427" s="587"/>
      <c r="S427" s="587"/>
      <c r="T427" s="587"/>
      <c r="U427" s="587"/>
      <c r="V427" s="587"/>
      <c r="W427" s="587"/>
      <c r="X427" s="587"/>
      <c r="Y427" s="587"/>
      <c r="Z427" s="587"/>
    </row>
    <row r="428" s="2496" customFormat="1" customHeight="1" spans="10:26">
      <c r="J428" s="587"/>
      <c r="K428" s="587"/>
      <c r="L428" s="587"/>
      <c r="M428" s="587"/>
      <c r="N428" s="587"/>
      <c r="O428" s="587"/>
      <c r="P428" s="587"/>
      <c r="Q428" s="587"/>
      <c r="R428" s="587"/>
      <c r="S428" s="587"/>
      <c r="T428" s="587"/>
      <c r="U428" s="587"/>
      <c r="V428" s="587"/>
      <c r="W428" s="587"/>
      <c r="X428" s="587"/>
      <c r="Y428" s="587"/>
      <c r="Z428" s="587"/>
    </row>
    <row r="429" s="2496" customFormat="1" customHeight="1" spans="10:26">
      <c r="J429" s="587"/>
      <c r="K429" s="587"/>
      <c r="L429" s="587"/>
      <c r="M429" s="587"/>
      <c r="N429" s="587"/>
      <c r="O429" s="587"/>
      <c r="P429" s="587"/>
      <c r="Q429" s="587"/>
      <c r="R429" s="587"/>
      <c r="S429" s="587"/>
      <c r="T429" s="587"/>
      <c r="U429" s="587"/>
      <c r="V429" s="587"/>
      <c r="W429" s="587"/>
      <c r="X429" s="587"/>
      <c r="Y429" s="587"/>
      <c r="Z429" s="587"/>
    </row>
    <row r="430" s="2496" customFormat="1" customHeight="1" spans="10:26">
      <c r="J430" s="587"/>
      <c r="K430" s="587"/>
      <c r="L430" s="587"/>
      <c r="M430" s="587"/>
      <c r="N430" s="587"/>
      <c r="O430" s="587"/>
      <c r="P430" s="587"/>
      <c r="Q430" s="587"/>
      <c r="R430" s="587"/>
      <c r="S430" s="587"/>
      <c r="T430" s="587"/>
      <c r="U430" s="587"/>
      <c r="V430" s="587"/>
      <c r="W430" s="587"/>
      <c r="X430" s="587"/>
      <c r="Y430" s="587"/>
      <c r="Z430" s="587"/>
    </row>
    <row r="431" s="2496" customFormat="1" customHeight="1" spans="10:26">
      <c r="J431" s="587"/>
      <c r="K431" s="587"/>
      <c r="L431" s="587"/>
      <c r="M431" s="587"/>
      <c r="N431" s="587"/>
      <c r="O431" s="587"/>
      <c r="P431" s="587"/>
      <c r="Q431" s="587"/>
      <c r="R431" s="587"/>
      <c r="S431" s="587"/>
      <c r="T431" s="587"/>
      <c r="U431" s="587"/>
      <c r="V431" s="587"/>
      <c r="W431" s="587"/>
      <c r="X431" s="587"/>
      <c r="Y431" s="587"/>
      <c r="Z431" s="587"/>
    </row>
    <row r="432" s="2496" customFormat="1" customHeight="1" spans="10:26">
      <c r="J432" s="587"/>
      <c r="K432" s="587"/>
      <c r="L432" s="587"/>
      <c r="M432" s="587"/>
      <c r="N432" s="587"/>
      <c r="O432" s="587"/>
      <c r="P432" s="587"/>
      <c r="Q432" s="587"/>
      <c r="R432" s="587"/>
      <c r="S432" s="587"/>
      <c r="T432" s="587"/>
      <c r="U432" s="587"/>
      <c r="V432" s="587"/>
      <c r="W432" s="587"/>
      <c r="X432" s="587"/>
      <c r="Y432" s="587"/>
      <c r="Z432" s="587"/>
    </row>
    <row r="433" s="2496" customFormat="1" customHeight="1" spans="10:26">
      <c r="J433" s="587"/>
      <c r="K433" s="587"/>
      <c r="L433" s="587"/>
      <c r="M433" s="587"/>
      <c r="N433" s="587"/>
      <c r="O433" s="587"/>
      <c r="P433" s="587"/>
      <c r="Q433" s="587"/>
      <c r="R433" s="587"/>
      <c r="S433" s="587"/>
      <c r="T433" s="587"/>
      <c r="U433" s="587"/>
      <c r="V433" s="587"/>
      <c r="W433" s="587"/>
      <c r="X433" s="587"/>
      <c r="Y433" s="587"/>
      <c r="Z433" s="587"/>
    </row>
    <row r="434" s="2496" customFormat="1" customHeight="1" spans="10:26">
      <c r="J434" s="587"/>
      <c r="K434" s="587"/>
      <c r="L434" s="587"/>
      <c r="M434" s="587"/>
      <c r="N434" s="587"/>
      <c r="O434" s="587"/>
      <c r="P434" s="587"/>
      <c r="Q434" s="587"/>
      <c r="R434" s="587"/>
      <c r="S434" s="587"/>
      <c r="T434" s="587"/>
      <c r="U434" s="587"/>
      <c r="V434" s="587"/>
      <c r="W434" s="587"/>
      <c r="X434" s="587"/>
      <c r="Y434" s="587"/>
      <c r="Z434" s="587"/>
    </row>
    <row r="435" s="2496" customFormat="1" customHeight="1" spans="10:26">
      <c r="J435" s="587"/>
      <c r="K435" s="587"/>
      <c r="L435" s="587"/>
      <c r="M435" s="587"/>
      <c r="N435" s="587"/>
      <c r="O435" s="587"/>
      <c r="P435" s="587"/>
      <c r="Q435" s="587"/>
      <c r="R435" s="587"/>
      <c r="S435" s="587"/>
      <c r="T435" s="587"/>
      <c r="U435" s="587"/>
      <c r="V435" s="587"/>
      <c r="W435" s="587"/>
      <c r="X435" s="587"/>
      <c r="Y435" s="587"/>
      <c r="Z435" s="587"/>
    </row>
    <row r="436" s="2496" customFormat="1" customHeight="1" spans="10:26">
      <c r="J436" s="587"/>
      <c r="K436" s="587"/>
      <c r="L436" s="587"/>
      <c r="M436" s="587"/>
      <c r="N436" s="587"/>
      <c r="O436" s="587"/>
      <c r="P436" s="587"/>
      <c r="Q436" s="587"/>
      <c r="R436" s="587"/>
      <c r="S436" s="587"/>
      <c r="T436" s="587"/>
      <c r="U436" s="587"/>
      <c r="V436" s="587"/>
      <c r="W436" s="587"/>
      <c r="X436" s="587"/>
      <c r="Y436" s="587"/>
      <c r="Z436" s="587"/>
    </row>
    <row r="437" s="2496" customFormat="1" customHeight="1" spans="10:26">
      <c r="J437" s="587"/>
      <c r="K437" s="587"/>
      <c r="L437" s="587"/>
      <c r="M437" s="587"/>
      <c r="N437" s="587"/>
      <c r="O437" s="587"/>
      <c r="P437" s="587"/>
      <c r="Q437" s="587"/>
      <c r="R437" s="587"/>
      <c r="S437" s="587"/>
      <c r="T437" s="587"/>
      <c r="U437" s="587"/>
      <c r="V437" s="587"/>
      <c r="W437" s="587"/>
      <c r="X437" s="587"/>
      <c r="Y437" s="587"/>
      <c r="Z437" s="587"/>
    </row>
    <row r="438" s="2496" customFormat="1" customHeight="1" spans="10:26">
      <c r="J438" s="587"/>
      <c r="K438" s="587"/>
      <c r="L438" s="587"/>
      <c r="M438" s="587"/>
      <c r="N438" s="587"/>
      <c r="O438" s="587"/>
      <c r="P438" s="587"/>
      <c r="Q438" s="587"/>
      <c r="R438" s="587"/>
      <c r="S438" s="587"/>
      <c r="T438" s="587"/>
      <c r="U438" s="587"/>
      <c r="V438" s="587"/>
      <c r="W438" s="587"/>
      <c r="X438" s="587"/>
      <c r="Y438" s="587"/>
      <c r="Z438" s="587"/>
    </row>
    <row r="439" s="2496" customFormat="1" customHeight="1" spans="10:26">
      <c r="J439" s="587"/>
      <c r="K439" s="587"/>
      <c r="L439" s="587"/>
      <c r="M439" s="587"/>
      <c r="N439" s="587"/>
      <c r="O439" s="587"/>
      <c r="P439" s="587"/>
      <c r="Q439" s="587"/>
      <c r="R439" s="587"/>
      <c r="S439" s="587"/>
      <c r="T439" s="587"/>
      <c r="U439" s="587"/>
      <c r="V439" s="587"/>
      <c r="W439" s="587"/>
      <c r="X439" s="587"/>
      <c r="Y439" s="587"/>
      <c r="Z439" s="587"/>
    </row>
    <row r="440" s="2496" customFormat="1" customHeight="1" spans="10:26">
      <c r="J440" s="587"/>
      <c r="K440" s="587"/>
      <c r="L440" s="587"/>
      <c r="M440" s="587"/>
      <c r="N440" s="587"/>
      <c r="O440" s="587"/>
      <c r="P440" s="587"/>
      <c r="Q440" s="587"/>
      <c r="R440" s="587"/>
      <c r="S440" s="587"/>
      <c r="T440" s="587"/>
      <c r="U440" s="587"/>
      <c r="V440" s="587"/>
      <c r="W440" s="587"/>
      <c r="X440" s="587"/>
      <c r="Y440" s="587"/>
      <c r="Z440" s="587"/>
    </row>
    <row r="441" s="2496" customFormat="1" customHeight="1" spans="10:26">
      <c r="J441" s="587"/>
      <c r="K441" s="587"/>
      <c r="L441" s="587"/>
      <c r="M441" s="587"/>
      <c r="N441" s="587"/>
      <c r="O441" s="587"/>
      <c r="P441" s="587"/>
      <c r="Q441" s="587"/>
      <c r="R441" s="587"/>
      <c r="S441" s="587"/>
      <c r="T441" s="587"/>
      <c r="U441" s="587"/>
      <c r="V441" s="587"/>
      <c r="W441" s="587"/>
      <c r="X441" s="587"/>
      <c r="Y441" s="587"/>
      <c r="Z441" s="587"/>
    </row>
    <row r="442" s="2496" customFormat="1" customHeight="1" spans="10:26">
      <c r="J442" s="587"/>
      <c r="K442" s="587"/>
      <c r="L442" s="587"/>
      <c r="M442" s="587"/>
      <c r="N442" s="587"/>
      <c r="O442" s="587"/>
      <c r="P442" s="587"/>
      <c r="Q442" s="587"/>
      <c r="R442" s="587"/>
      <c r="S442" s="587"/>
      <c r="T442" s="587"/>
      <c r="U442" s="587"/>
      <c r="V442" s="587"/>
      <c r="W442" s="587"/>
      <c r="X442" s="587"/>
      <c r="Y442" s="587"/>
      <c r="Z442" s="587"/>
    </row>
    <row r="443" s="2496" customFormat="1" customHeight="1" spans="10:26">
      <c r="J443" s="587"/>
      <c r="K443" s="587"/>
      <c r="L443" s="587"/>
      <c r="M443" s="587"/>
      <c r="N443" s="587"/>
      <c r="O443" s="587"/>
      <c r="P443" s="587"/>
      <c r="Q443" s="587"/>
      <c r="R443" s="587"/>
      <c r="S443" s="587"/>
      <c r="T443" s="587"/>
      <c r="U443" s="587"/>
      <c r="V443" s="587"/>
      <c r="W443" s="587"/>
      <c r="X443" s="587"/>
      <c r="Y443" s="587"/>
      <c r="Z443" s="587"/>
    </row>
    <row r="444" s="2496" customFormat="1" customHeight="1" spans="10:26">
      <c r="J444" s="587"/>
      <c r="K444" s="587"/>
      <c r="L444" s="587"/>
      <c r="M444" s="587"/>
      <c r="N444" s="587"/>
      <c r="O444" s="587"/>
      <c r="P444" s="587"/>
      <c r="Q444" s="587"/>
      <c r="R444" s="587"/>
      <c r="S444" s="587"/>
      <c r="T444" s="587"/>
      <c r="U444" s="587"/>
      <c r="V444" s="587"/>
      <c r="W444" s="587"/>
      <c r="X444" s="587"/>
      <c r="Y444" s="587"/>
      <c r="Z444" s="587"/>
    </row>
    <row r="445" s="2496" customFormat="1" customHeight="1" spans="10:26">
      <c r="J445" s="587"/>
      <c r="K445" s="587"/>
      <c r="L445" s="587"/>
      <c r="M445" s="587"/>
      <c r="N445" s="587"/>
      <c r="O445" s="587"/>
      <c r="P445" s="587"/>
      <c r="Q445" s="587"/>
      <c r="R445" s="587"/>
      <c r="S445" s="587"/>
      <c r="T445" s="587"/>
      <c r="U445" s="587"/>
      <c r="V445" s="587"/>
      <c r="W445" s="587"/>
      <c r="X445" s="587"/>
      <c r="Y445" s="587"/>
      <c r="Z445" s="587"/>
    </row>
    <row r="446" s="2496" customFormat="1" customHeight="1" spans="10:26">
      <c r="J446" s="587"/>
      <c r="K446" s="587"/>
      <c r="L446" s="587"/>
      <c r="M446" s="587"/>
      <c r="N446" s="587"/>
      <c r="O446" s="587"/>
      <c r="P446" s="587"/>
      <c r="Q446" s="587"/>
      <c r="R446" s="587"/>
      <c r="S446" s="587"/>
      <c r="T446" s="587"/>
      <c r="U446" s="587"/>
      <c r="V446" s="587"/>
      <c r="W446" s="587"/>
      <c r="X446" s="587"/>
      <c r="Y446" s="587"/>
      <c r="Z446" s="587"/>
    </row>
    <row r="447" s="2496" customFormat="1" customHeight="1" spans="10:26">
      <c r="J447" s="587"/>
      <c r="K447" s="587"/>
      <c r="L447" s="587"/>
      <c r="M447" s="587"/>
      <c r="N447" s="587"/>
      <c r="O447" s="587"/>
      <c r="P447" s="587"/>
      <c r="Q447" s="587"/>
      <c r="R447" s="587"/>
      <c r="S447" s="587"/>
      <c r="T447" s="587"/>
      <c r="U447" s="587"/>
      <c r="V447" s="587"/>
      <c r="W447" s="587"/>
      <c r="X447" s="587"/>
      <c r="Y447" s="587"/>
      <c r="Z447" s="587"/>
    </row>
    <row r="448" s="2496" customFormat="1" customHeight="1" spans="10:26">
      <c r="J448" s="587"/>
      <c r="K448" s="587"/>
      <c r="L448" s="587"/>
      <c r="M448" s="587"/>
      <c r="N448" s="587"/>
      <c r="O448" s="587"/>
      <c r="P448" s="587"/>
      <c r="Q448" s="587"/>
      <c r="R448" s="587"/>
      <c r="S448" s="587"/>
      <c r="T448" s="587"/>
      <c r="U448" s="587"/>
      <c r="V448" s="587"/>
      <c r="W448" s="587"/>
      <c r="X448" s="587"/>
      <c r="Y448" s="587"/>
      <c r="Z448" s="587"/>
    </row>
    <row r="449" s="2496" customFormat="1" customHeight="1" spans="10:26">
      <c r="J449" s="587"/>
      <c r="K449" s="587"/>
      <c r="L449" s="587"/>
      <c r="M449" s="587"/>
      <c r="N449" s="587"/>
      <c r="O449" s="587"/>
      <c r="P449" s="587"/>
      <c r="Q449" s="587"/>
      <c r="R449" s="587"/>
      <c r="S449" s="587"/>
      <c r="T449" s="587"/>
      <c r="U449" s="587"/>
      <c r="V449" s="587"/>
      <c r="W449" s="587"/>
      <c r="X449" s="587"/>
      <c r="Y449" s="587"/>
      <c r="Z449" s="587"/>
    </row>
    <row r="450" s="2496" customFormat="1" customHeight="1" spans="10:26">
      <c r="J450" s="587"/>
      <c r="K450" s="587"/>
      <c r="L450" s="587"/>
      <c r="M450" s="587"/>
      <c r="N450" s="587"/>
      <c r="O450" s="587"/>
      <c r="P450" s="587"/>
      <c r="Q450" s="587"/>
      <c r="R450" s="587"/>
      <c r="S450" s="587"/>
      <c r="T450" s="587"/>
      <c r="U450" s="587"/>
      <c r="V450" s="587"/>
      <c r="W450" s="587"/>
      <c r="X450" s="587"/>
      <c r="Y450" s="587"/>
      <c r="Z450" s="587"/>
    </row>
    <row r="451" s="2496" customFormat="1" customHeight="1" spans="10:26">
      <c r="J451" s="587"/>
      <c r="K451" s="587"/>
      <c r="L451" s="587"/>
      <c r="M451" s="587"/>
      <c r="N451" s="587"/>
      <c r="O451" s="587"/>
      <c r="P451" s="587"/>
      <c r="Q451" s="587"/>
      <c r="R451" s="587"/>
      <c r="S451" s="587"/>
      <c r="T451" s="587"/>
      <c r="U451" s="587"/>
      <c r="V451" s="587"/>
      <c r="W451" s="587"/>
      <c r="X451" s="587"/>
      <c r="Y451" s="587"/>
      <c r="Z451" s="587"/>
    </row>
    <row r="452" s="2496" customFormat="1" customHeight="1" spans="10:26">
      <c r="J452" s="587"/>
      <c r="K452" s="587"/>
      <c r="L452" s="587"/>
      <c r="M452" s="587"/>
      <c r="N452" s="587"/>
      <c r="O452" s="587"/>
      <c r="P452" s="587"/>
      <c r="Q452" s="587"/>
      <c r="R452" s="587"/>
      <c r="S452" s="587"/>
      <c r="T452" s="587"/>
      <c r="U452" s="587"/>
      <c r="V452" s="587"/>
      <c r="W452" s="587"/>
      <c r="X452" s="587"/>
      <c r="Y452" s="587"/>
      <c r="Z452" s="587"/>
    </row>
    <row r="453" s="2496" customFormat="1" customHeight="1" spans="10:26">
      <c r="J453" s="587"/>
      <c r="K453" s="587"/>
      <c r="L453" s="587"/>
      <c r="M453" s="587"/>
      <c r="N453" s="587"/>
      <c r="O453" s="587"/>
      <c r="P453" s="587"/>
      <c r="Q453" s="587"/>
      <c r="R453" s="587"/>
      <c r="S453" s="587"/>
      <c r="T453" s="587"/>
      <c r="U453" s="587"/>
      <c r="V453" s="587"/>
      <c r="W453" s="587"/>
      <c r="X453" s="587"/>
      <c r="Y453" s="587"/>
      <c r="Z453" s="587"/>
    </row>
    <row r="454" s="2496" customFormat="1" customHeight="1" spans="10:26">
      <c r="J454" s="587"/>
      <c r="K454" s="587"/>
      <c r="L454" s="587"/>
      <c r="M454" s="587"/>
      <c r="N454" s="587"/>
      <c r="O454" s="587"/>
      <c r="P454" s="587"/>
      <c r="Q454" s="587"/>
      <c r="R454" s="587"/>
      <c r="S454" s="587"/>
      <c r="T454" s="587"/>
      <c r="U454" s="587"/>
      <c r="V454" s="587"/>
      <c r="W454" s="587"/>
      <c r="X454" s="587"/>
      <c r="Y454" s="587"/>
      <c r="Z454" s="587"/>
    </row>
    <row r="455" s="2496" customFormat="1" customHeight="1" spans="10:26">
      <c r="J455" s="587"/>
      <c r="K455" s="587"/>
      <c r="L455" s="587"/>
      <c r="M455" s="587"/>
      <c r="N455" s="587"/>
      <c r="O455" s="587"/>
      <c r="P455" s="587"/>
      <c r="Q455" s="587"/>
      <c r="R455" s="587"/>
      <c r="S455" s="587"/>
      <c r="T455" s="587"/>
      <c r="U455" s="587"/>
      <c r="V455" s="587"/>
      <c r="W455" s="587"/>
      <c r="X455" s="587"/>
      <c r="Y455" s="587"/>
      <c r="Z455" s="587"/>
    </row>
    <row r="456" s="2496" customFormat="1" customHeight="1" spans="10:26">
      <c r="J456" s="587"/>
      <c r="K456" s="587"/>
      <c r="L456" s="587"/>
      <c r="M456" s="587"/>
      <c r="N456" s="587"/>
      <c r="O456" s="587"/>
      <c r="P456" s="587"/>
      <c r="Q456" s="587"/>
      <c r="R456" s="587"/>
      <c r="S456" s="587"/>
      <c r="T456" s="587"/>
      <c r="U456" s="587"/>
      <c r="V456" s="587"/>
      <c r="W456" s="587"/>
      <c r="X456" s="587"/>
      <c r="Y456" s="587"/>
      <c r="Z456" s="587"/>
    </row>
    <row r="457" s="2496" customFormat="1" customHeight="1" spans="10:26">
      <c r="J457" s="587"/>
      <c r="K457" s="587"/>
      <c r="L457" s="587"/>
      <c r="M457" s="587"/>
      <c r="N457" s="587"/>
      <c r="O457" s="587"/>
      <c r="P457" s="587"/>
      <c r="Q457" s="587"/>
      <c r="R457" s="587"/>
      <c r="S457" s="587"/>
      <c r="T457" s="587"/>
      <c r="U457" s="587"/>
      <c r="V457" s="587"/>
      <c r="W457" s="587"/>
      <c r="X457" s="587"/>
      <c r="Y457" s="587"/>
      <c r="Z457" s="587"/>
    </row>
    <row r="458" s="2496" customFormat="1" customHeight="1" spans="10:26">
      <c r="J458" s="587"/>
      <c r="K458" s="587"/>
      <c r="L458" s="587"/>
      <c r="M458" s="587"/>
      <c r="N458" s="587"/>
      <c r="O458" s="587"/>
      <c r="P458" s="587"/>
      <c r="Q458" s="587"/>
      <c r="R458" s="587"/>
      <c r="S458" s="587"/>
      <c r="T458" s="587"/>
      <c r="U458" s="587"/>
      <c r="V458" s="587"/>
      <c r="W458" s="587"/>
      <c r="X458" s="587"/>
      <c r="Y458" s="587"/>
      <c r="Z458" s="587"/>
    </row>
    <row r="459" s="2496" customFormat="1" customHeight="1" spans="10:26">
      <c r="J459" s="587"/>
      <c r="K459" s="587"/>
      <c r="L459" s="587"/>
      <c r="M459" s="587"/>
      <c r="N459" s="587"/>
      <c r="O459" s="587"/>
      <c r="P459" s="587"/>
      <c r="Q459" s="587"/>
      <c r="R459" s="587"/>
      <c r="S459" s="587"/>
      <c r="T459" s="587"/>
      <c r="U459" s="587"/>
      <c r="V459" s="587"/>
      <c r="W459" s="587"/>
      <c r="X459" s="587"/>
      <c r="Y459" s="587"/>
      <c r="Z459" s="587"/>
    </row>
    <row r="460" s="2496" customFormat="1" customHeight="1" spans="10:26">
      <c r="J460" s="587"/>
      <c r="K460" s="587"/>
      <c r="L460" s="587"/>
      <c r="M460" s="587"/>
      <c r="N460" s="587"/>
      <c r="O460" s="587"/>
      <c r="P460" s="587"/>
      <c r="Q460" s="587"/>
      <c r="R460" s="587"/>
      <c r="S460" s="587"/>
      <c r="T460" s="587"/>
      <c r="U460" s="587"/>
      <c r="V460" s="587"/>
      <c r="W460" s="587"/>
      <c r="X460" s="587"/>
      <c r="Y460" s="587"/>
      <c r="Z460" s="587"/>
    </row>
    <row r="461" s="2496" customFormat="1" customHeight="1" spans="10:26">
      <c r="J461" s="587"/>
      <c r="K461" s="587"/>
      <c r="L461" s="587"/>
      <c r="M461" s="587"/>
      <c r="N461" s="587"/>
      <c r="O461" s="587"/>
      <c r="P461" s="587"/>
      <c r="Q461" s="587"/>
      <c r="R461" s="587"/>
      <c r="S461" s="587"/>
      <c r="T461" s="587"/>
      <c r="U461" s="587"/>
      <c r="V461" s="587"/>
      <c r="W461" s="587"/>
      <c r="X461" s="587"/>
      <c r="Y461" s="587"/>
      <c r="Z461" s="587"/>
    </row>
    <row r="462" s="2496" customFormat="1" customHeight="1" spans="10:26">
      <c r="J462" s="587"/>
      <c r="K462" s="587"/>
      <c r="L462" s="587"/>
      <c r="M462" s="587"/>
      <c r="N462" s="587"/>
      <c r="O462" s="587"/>
      <c r="P462" s="587"/>
      <c r="Q462" s="587"/>
      <c r="R462" s="587"/>
      <c r="S462" s="587"/>
      <c r="T462" s="587"/>
      <c r="U462" s="587"/>
      <c r="V462" s="587"/>
      <c r="W462" s="587"/>
      <c r="X462" s="587"/>
      <c r="Y462" s="587"/>
      <c r="Z462" s="587"/>
    </row>
    <row r="463" s="2496" customFormat="1" customHeight="1" spans="10:26">
      <c r="J463" s="587"/>
      <c r="K463" s="587"/>
      <c r="L463" s="587"/>
      <c r="M463" s="587"/>
      <c r="N463" s="587"/>
      <c r="O463" s="587"/>
      <c r="P463" s="587"/>
      <c r="Q463" s="587"/>
      <c r="R463" s="587"/>
      <c r="S463" s="587"/>
      <c r="T463" s="587"/>
      <c r="U463" s="587"/>
      <c r="V463" s="587"/>
      <c r="W463" s="587"/>
      <c r="X463" s="587"/>
      <c r="Y463" s="587"/>
      <c r="Z463" s="587"/>
    </row>
    <row r="464" s="2496" customFormat="1" customHeight="1" spans="10:26">
      <c r="J464" s="587"/>
      <c r="K464" s="587"/>
      <c r="L464" s="587"/>
      <c r="M464" s="587"/>
      <c r="N464" s="587"/>
      <c r="O464" s="587"/>
      <c r="P464" s="587"/>
      <c r="Q464" s="587"/>
      <c r="R464" s="587"/>
      <c r="S464" s="587"/>
      <c r="T464" s="587"/>
      <c r="U464" s="587"/>
      <c r="V464" s="587"/>
      <c r="W464" s="587"/>
      <c r="X464" s="587"/>
      <c r="Y464" s="587"/>
      <c r="Z464" s="587"/>
    </row>
    <row r="465" s="2496" customFormat="1" customHeight="1" spans="10:26">
      <c r="J465" s="587"/>
      <c r="K465" s="587"/>
      <c r="L465" s="587"/>
      <c r="M465" s="587"/>
      <c r="N465" s="587"/>
      <c r="O465" s="587"/>
      <c r="P465" s="587"/>
      <c r="Q465" s="587"/>
      <c r="R465" s="587"/>
      <c r="S465" s="587"/>
      <c r="T465" s="587"/>
      <c r="U465" s="587"/>
      <c r="V465" s="587"/>
      <c r="W465" s="587"/>
      <c r="X465" s="587"/>
      <c r="Y465" s="587"/>
      <c r="Z465" s="587"/>
    </row>
    <row r="466" s="2496" customFormat="1" customHeight="1" spans="10:26">
      <c r="J466" s="587"/>
      <c r="K466" s="587"/>
      <c r="L466" s="587"/>
      <c r="M466" s="587"/>
      <c r="N466" s="587"/>
      <c r="O466" s="587"/>
      <c r="P466" s="587"/>
      <c r="Q466" s="587"/>
      <c r="R466" s="587"/>
      <c r="S466" s="587"/>
      <c r="T466" s="587"/>
      <c r="U466" s="587"/>
      <c r="V466" s="587"/>
      <c r="W466" s="587"/>
      <c r="X466" s="587"/>
      <c r="Y466" s="587"/>
      <c r="Z466" s="587"/>
    </row>
    <row r="467" s="2496" customFormat="1" customHeight="1" spans="10:26">
      <c r="J467" s="587"/>
      <c r="K467" s="587"/>
      <c r="L467" s="587"/>
      <c r="M467" s="587"/>
      <c r="N467" s="587"/>
      <c r="O467" s="587"/>
      <c r="P467" s="587"/>
      <c r="Q467" s="587"/>
      <c r="R467" s="587"/>
      <c r="S467" s="587"/>
      <c r="T467" s="587"/>
      <c r="U467" s="587"/>
      <c r="V467" s="587"/>
      <c r="W467" s="587"/>
      <c r="X467" s="587"/>
      <c r="Y467" s="587"/>
      <c r="Z467" s="587"/>
    </row>
    <row r="468" s="2496" customFormat="1" customHeight="1" spans="10:26">
      <c r="J468" s="587"/>
      <c r="K468" s="587"/>
      <c r="L468" s="587"/>
      <c r="M468" s="587"/>
      <c r="N468" s="587"/>
      <c r="O468" s="587"/>
      <c r="P468" s="587"/>
      <c r="Q468" s="587"/>
      <c r="R468" s="587"/>
      <c r="S468" s="587"/>
      <c r="T468" s="587"/>
      <c r="U468" s="587"/>
      <c r="V468" s="587"/>
      <c r="W468" s="587"/>
      <c r="X468" s="587"/>
      <c r="Y468" s="587"/>
      <c r="Z468" s="587"/>
    </row>
    <row r="469" s="2496" customFormat="1" customHeight="1" spans="10:26">
      <c r="J469" s="587"/>
      <c r="K469" s="587"/>
      <c r="L469" s="587"/>
      <c r="M469" s="587"/>
      <c r="N469" s="587"/>
      <c r="O469" s="587"/>
      <c r="P469" s="587"/>
      <c r="Q469" s="587"/>
      <c r="R469" s="587"/>
      <c r="S469" s="587"/>
      <c r="T469" s="587"/>
      <c r="U469" s="587"/>
      <c r="V469" s="587"/>
      <c r="W469" s="587"/>
      <c r="X469" s="587"/>
      <c r="Y469" s="587"/>
      <c r="Z469" s="587"/>
    </row>
    <row r="470" s="2496" customFormat="1" customHeight="1" spans="10:26">
      <c r="J470" s="587"/>
      <c r="K470" s="587"/>
      <c r="L470" s="587"/>
      <c r="M470" s="587"/>
      <c r="N470" s="587"/>
      <c r="O470" s="587"/>
      <c r="P470" s="587"/>
      <c r="Q470" s="587"/>
      <c r="R470" s="587"/>
      <c r="S470" s="587"/>
      <c r="T470" s="587"/>
      <c r="U470" s="587"/>
      <c r="V470" s="587"/>
      <c r="W470" s="587"/>
      <c r="X470" s="587"/>
      <c r="Y470" s="587"/>
      <c r="Z470" s="587"/>
    </row>
    <row r="471" s="2496" customFormat="1" customHeight="1" spans="10:26">
      <c r="J471" s="587"/>
      <c r="K471" s="587"/>
      <c r="L471" s="587"/>
      <c r="M471" s="587"/>
      <c r="N471" s="587"/>
      <c r="O471" s="587"/>
      <c r="P471" s="587"/>
      <c r="Q471" s="587"/>
      <c r="R471" s="587"/>
      <c r="S471" s="587"/>
      <c r="T471" s="587"/>
      <c r="U471" s="587"/>
      <c r="V471" s="587"/>
      <c r="W471" s="587"/>
      <c r="X471" s="587"/>
      <c r="Y471" s="587"/>
      <c r="Z471" s="587"/>
    </row>
    <row r="472" s="2496" customFormat="1" customHeight="1" spans="10:26">
      <c r="J472" s="587"/>
      <c r="K472" s="587"/>
      <c r="L472" s="587"/>
      <c r="M472" s="587"/>
      <c r="N472" s="587"/>
      <c r="O472" s="587"/>
      <c r="P472" s="587"/>
      <c r="Q472" s="587"/>
      <c r="R472" s="587"/>
      <c r="S472" s="587"/>
      <c r="T472" s="587"/>
      <c r="U472" s="587"/>
      <c r="V472" s="587"/>
      <c r="W472" s="587"/>
      <c r="X472" s="587"/>
      <c r="Y472" s="587"/>
      <c r="Z472" s="587"/>
    </row>
    <row r="473" s="2496" customFormat="1" customHeight="1" spans="10:26">
      <c r="J473" s="587"/>
      <c r="K473" s="587"/>
      <c r="L473" s="587"/>
      <c r="M473" s="587"/>
      <c r="N473" s="587"/>
      <c r="O473" s="587"/>
      <c r="P473" s="587"/>
      <c r="Q473" s="587"/>
      <c r="R473" s="587"/>
      <c r="S473" s="587"/>
      <c r="T473" s="587"/>
      <c r="U473" s="587"/>
      <c r="V473" s="587"/>
      <c r="W473" s="587"/>
      <c r="X473" s="587"/>
      <c r="Y473" s="587"/>
      <c r="Z473" s="587"/>
    </row>
    <row r="474" s="2496" customFormat="1" customHeight="1" spans="10:26">
      <c r="J474" s="587"/>
      <c r="K474" s="587"/>
      <c r="L474" s="587"/>
      <c r="M474" s="587"/>
      <c r="N474" s="587"/>
      <c r="O474" s="587"/>
      <c r="P474" s="587"/>
      <c r="Q474" s="587"/>
      <c r="R474" s="587"/>
      <c r="S474" s="587"/>
      <c r="T474" s="587"/>
      <c r="U474" s="587"/>
      <c r="V474" s="587"/>
      <c r="W474" s="587"/>
      <c r="X474" s="587"/>
      <c r="Y474" s="587"/>
      <c r="Z474" s="587"/>
    </row>
    <row r="475" s="2496" customFormat="1" customHeight="1" spans="10:26">
      <c r="J475" s="587"/>
      <c r="K475" s="587"/>
      <c r="L475" s="587"/>
      <c r="M475" s="587"/>
      <c r="N475" s="587"/>
      <c r="O475" s="587"/>
      <c r="P475" s="587"/>
      <c r="Q475" s="587"/>
      <c r="R475" s="587"/>
      <c r="S475" s="587"/>
      <c r="T475" s="587"/>
      <c r="U475" s="587"/>
      <c r="V475" s="587"/>
      <c r="W475" s="587"/>
      <c r="X475" s="587"/>
      <c r="Y475" s="587"/>
      <c r="Z475" s="587"/>
    </row>
    <row r="476" s="2496" customFormat="1" customHeight="1" spans="10:26">
      <c r="J476" s="587"/>
      <c r="K476" s="587"/>
      <c r="L476" s="587"/>
      <c r="M476" s="587"/>
      <c r="N476" s="587"/>
      <c r="O476" s="587"/>
      <c r="P476" s="587"/>
      <c r="Q476" s="587"/>
      <c r="R476" s="587"/>
      <c r="S476" s="587"/>
      <c r="T476" s="587"/>
      <c r="U476" s="587"/>
      <c r="V476" s="587"/>
      <c r="W476" s="587"/>
      <c r="X476" s="587"/>
      <c r="Y476" s="587"/>
      <c r="Z476" s="587"/>
    </row>
    <row r="477" s="2496" customFormat="1" customHeight="1" spans="10:26">
      <c r="J477" s="587"/>
      <c r="K477" s="587"/>
      <c r="L477" s="587"/>
      <c r="M477" s="587"/>
      <c r="N477" s="587"/>
      <c r="O477" s="587"/>
      <c r="P477" s="587"/>
      <c r="Q477" s="587"/>
      <c r="R477" s="587"/>
      <c r="S477" s="587"/>
      <c r="T477" s="587"/>
      <c r="U477" s="587"/>
      <c r="V477" s="587"/>
      <c r="W477" s="587"/>
      <c r="X477" s="587"/>
      <c r="Y477" s="587"/>
      <c r="Z477" s="587"/>
    </row>
    <row r="478" s="2496" customFormat="1" customHeight="1" spans="10:26">
      <c r="J478" s="587"/>
      <c r="K478" s="587"/>
      <c r="L478" s="587"/>
      <c r="M478" s="587"/>
      <c r="N478" s="587"/>
      <c r="O478" s="587"/>
      <c r="P478" s="587"/>
      <c r="Q478" s="587"/>
      <c r="R478" s="587"/>
      <c r="S478" s="587"/>
      <c r="T478" s="587"/>
      <c r="U478" s="587"/>
      <c r="V478" s="587"/>
      <c r="W478" s="587"/>
      <c r="X478" s="587"/>
      <c r="Y478" s="587"/>
      <c r="Z478" s="587"/>
    </row>
    <row r="479" s="2496" customFormat="1" customHeight="1" spans="10:26">
      <c r="J479" s="587"/>
      <c r="K479" s="587"/>
      <c r="L479" s="587"/>
      <c r="M479" s="587"/>
      <c r="N479" s="587"/>
      <c r="O479" s="587"/>
      <c r="P479" s="587"/>
      <c r="Q479" s="587"/>
      <c r="R479" s="587"/>
      <c r="S479" s="587"/>
      <c r="T479" s="587"/>
      <c r="U479" s="587"/>
      <c r="V479" s="587"/>
      <c r="W479" s="587"/>
      <c r="X479" s="587"/>
      <c r="Y479" s="587"/>
      <c r="Z479" s="587"/>
    </row>
    <row r="480" s="2496" customFormat="1" customHeight="1" spans="10:26">
      <c r="J480" s="587"/>
      <c r="K480" s="587"/>
      <c r="L480" s="587"/>
      <c r="M480" s="587"/>
      <c r="N480" s="587"/>
      <c r="O480" s="587"/>
      <c r="P480" s="587"/>
      <c r="Q480" s="587"/>
      <c r="R480" s="587"/>
      <c r="S480" s="587"/>
      <c r="T480" s="587"/>
      <c r="U480" s="587"/>
      <c r="V480" s="587"/>
      <c r="W480" s="587"/>
      <c r="X480" s="587"/>
      <c r="Y480" s="587"/>
      <c r="Z480" s="587"/>
    </row>
    <row r="481" s="2496" customFormat="1" customHeight="1" spans="10:26">
      <c r="J481" s="587"/>
      <c r="K481" s="587"/>
      <c r="L481" s="587"/>
      <c r="M481" s="587"/>
      <c r="N481" s="587"/>
      <c r="O481" s="587"/>
      <c r="P481" s="587"/>
      <c r="Q481" s="587"/>
      <c r="R481" s="587"/>
      <c r="S481" s="587"/>
      <c r="T481" s="587"/>
      <c r="U481" s="587"/>
      <c r="V481" s="587"/>
      <c r="W481" s="587"/>
      <c r="X481" s="587"/>
      <c r="Y481" s="587"/>
      <c r="Z481" s="587"/>
    </row>
    <row r="482" s="2496" customFormat="1" customHeight="1" spans="10:26">
      <c r="J482" s="587"/>
      <c r="K482" s="587"/>
      <c r="L482" s="587"/>
      <c r="M482" s="587"/>
      <c r="N482" s="587"/>
      <c r="O482" s="587"/>
      <c r="P482" s="587"/>
      <c r="Q482" s="587"/>
      <c r="R482" s="587"/>
      <c r="S482" s="587"/>
      <c r="T482" s="587"/>
      <c r="U482" s="587"/>
      <c r="V482" s="587"/>
      <c r="W482" s="587"/>
      <c r="X482" s="587"/>
      <c r="Y482" s="587"/>
      <c r="Z482" s="587"/>
    </row>
    <row r="483" s="2496" customFormat="1" customHeight="1" spans="10:26">
      <c r="J483" s="587"/>
      <c r="K483" s="587"/>
      <c r="L483" s="587"/>
      <c r="M483" s="587"/>
      <c r="N483" s="587"/>
      <c r="O483" s="587"/>
      <c r="P483" s="587"/>
      <c r="Q483" s="587"/>
      <c r="R483" s="587"/>
      <c r="S483" s="587"/>
      <c r="T483" s="587"/>
      <c r="U483" s="587"/>
      <c r="V483" s="587"/>
      <c r="W483" s="587"/>
      <c r="X483" s="587"/>
      <c r="Y483" s="587"/>
      <c r="Z483" s="587"/>
    </row>
    <row r="484" s="2496" customFormat="1" customHeight="1" spans="10:26">
      <c r="J484" s="587"/>
      <c r="K484" s="587"/>
      <c r="L484" s="587"/>
      <c r="M484" s="587"/>
      <c r="N484" s="587"/>
      <c r="O484" s="587"/>
      <c r="P484" s="587"/>
      <c r="Q484" s="587"/>
      <c r="R484" s="587"/>
      <c r="S484" s="587"/>
      <c r="T484" s="587"/>
      <c r="U484" s="587"/>
      <c r="V484" s="587"/>
      <c r="W484" s="587"/>
      <c r="X484" s="587"/>
      <c r="Y484" s="587"/>
      <c r="Z484" s="587"/>
    </row>
    <row r="485" s="2496" customFormat="1" customHeight="1" spans="10:26">
      <c r="J485" s="587"/>
      <c r="K485" s="587"/>
      <c r="L485" s="587"/>
      <c r="M485" s="587"/>
      <c r="N485" s="587"/>
      <c r="O485" s="587"/>
      <c r="P485" s="587"/>
      <c r="Q485" s="587"/>
      <c r="R485" s="587"/>
      <c r="S485" s="587"/>
      <c r="T485" s="587"/>
      <c r="U485" s="587"/>
      <c r="V485" s="587"/>
      <c r="W485" s="587"/>
      <c r="X485" s="587"/>
      <c r="Y485" s="587"/>
      <c r="Z485" s="587"/>
    </row>
    <row r="486" s="2496" customFormat="1" customHeight="1" spans="10:26">
      <c r="J486" s="587"/>
      <c r="K486" s="587"/>
      <c r="L486" s="587"/>
      <c r="M486" s="587"/>
      <c r="N486" s="587"/>
      <c r="O486" s="587"/>
      <c r="P486" s="587"/>
      <c r="Q486" s="587"/>
      <c r="R486" s="587"/>
      <c r="S486" s="587"/>
      <c r="T486" s="587"/>
      <c r="U486" s="587"/>
      <c r="V486" s="587"/>
      <c r="W486" s="587"/>
      <c r="X486" s="587"/>
      <c r="Y486" s="587"/>
      <c r="Z486" s="587"/>
    </row>
    <row r="487" s="2496" customFormat="1" customHeight="1" spans="10:26">
      <c r="J487" s="587"/>
      <c r="K487" s="587"/>
      <c r="L487" s="587"/>
      <c r="M487" s="587"/>
      <c r="N487" s="587"/>
      <c r="O487" s="587"/>
      <c r="P487" s="587"/>
      <c r="Q487" s="587"/>
      <c r="R487" s="587"/>
      <c r="S487" s="587"/>
      <c r="T487" s="587"/>
      <c r="U487" s="587"/>
      <c r="V487" s="587"/>
      <c r="W487" s="587"/>
      <c r="X487" s="587"/>
      <c r="Y487" s="587"/>
      <c r="Z487" s="587"/>
    </row>
    <row r="488" s="2496" customFormat="1" customHeight="1" spans="10:26">
      <c r="J488" s="587"/>
      <c r="K488" s="587"/>
      <c r="L488" s="587"/>
      <c r="M488" s="587"/>
      <c r="N488" s="587"/>
      <c r="O488" s="587"/>
      <c r="P488" s="587"/>
      <c r="Q488" s="587"/>
      <c r="R488" s="587"/>
      <c r="S488" s="587"/>
      <c r="T488" s="587"/>
      <c r="U488" s="587"/>
      <c r="V488" s="587"/>
      <c r="W488" s="587"/>
      <c r="X488" s="587"/>
      <c r="Y488" s="587"/>
      <c r="Z488" s="587"/>
    </row>
    <row r="489" s="2496" customFormat="1" customHeight="1" spans="10:26">
      <c r="J489" s="587"/>
      <c r="K489" s="587"/>
      <c r="L489" s="587"/>
      <c r="M489" s="587"/>
      <c r="N489" s="587"/>
      <c r="O489" s="587"/>
      <c r="P489" s="587"/>
      <c r="Q489" s="587"/>
      <c r="R489" s="587"/>
      <c r="S489" s="587"/>
      <c r="T489" s="587"/>
      <c r="U489" s="587"/>
      <c r="V489" s="587"/>
      <c r="W489" s="587"/>
      <c r="X489" s="587"/>
      <c r="Y489" s="587"/>
      <c r="Z489" s="587"/>
    </row>
    <row r="490" s="2496" customFormat="1" customHeight="1" spans="10:26">
      <c r="J490" s="587"/>
      <c r="K490" s="587"/>
      <c r="L490" s="587"/>
      <c r="M490" s="587"/>
      <c r="N490" s="587"/>
      <c r="O490" s="587"/>
      <c r="P490" s="587"/>
      <c r="Q490" s="587"/>
      <c r="R490" s="587"/>
      <c r="S490" s="587"/>
      <c r="T490" s="587"/>
      <c r="U490" s="587"/>
      <c r="V490" s="587"/>
      <c r="W490" s="587"/>
      <c r="X490" s="587"/>
      <c r="Y490" s="587"/>
      <c r="Z490" s="587"/>
    </row>
    <row r="491" s="2496" customFormat="1" customHeight="1" spans="10:26">
      <c r="J491" s="587"/>
      <c r="K491" s="587"/>
      <c r="L491" s="587"/>
      <c r="M491" s="587"/>
      <c r="N491" s="587"/>
      <c r="O491" s="587"/>
      <c r="P491" s="587"/>
      <c r="Q491" s="587"/>
      <c r="R491" s="587"/>
      <c r="S491" s="587"/>
      <c r="T491" s="587"/>
      <c r="U491" s="587"/>
      <c r="V491" s="587"/>
      <c r="W491" s="587"/>
      <c r="X491" s="587"/>
      <c r="Y491" s="587"/>
      <c r="Z491" s="587"/>
    </row>
    <row r="492" s="2496" customFormat="1" customHeight="1" spans="10:26">
      <c r="J492" s="587"/>
      <c r="K492" s="587"/>
      <c r="L492" s="587"/>
      <c r="M492" s="587"/>
      <c r="N492" s="587"/>
      <c r="O492" s="587"/>
      <c r="P492" s="587"/>
      <c r="Q492" s="587"/>
      <c r="R492" s="587"/>
      <c r="S492" s="587"/>
      <c r="T492" s="587"/>
      <c r="U492" s="587"/>
      <c r="V492" s="587"/>
      <c r="W492" s="587"/>
      <c r="X492" s="587"/>
      <c r="Y492" s="587"/>
      <c r="Z492" s="587"/>
    </row>
    <row r="493" s="2496" customFormat="1" customHeight="1" spans="10:26">
      <c r="J493" s="587"/>
      <c r="K493" s="587"/>
      <c r="L493" s="587"/>
      <c r="M493" s="587"/>
      <c r="N493" s="587"/>
      <c r="O493" s="587"/>
      <c r="P493" s="587"/>
      <c r="Q493" s="587"/>
      <c r="R493" s="587"/>
      <c r="S493" s="587"/>
      <c r="T493" s="587"/>
      <c r="U493" s="587"/>
      <c r="V493" s="587"/>
      <c r="W493" s="587"/>
      <c r="X493" s="587"/>
      <c r="Y493" s="587"/>
      <c r="Z493" s="587"/>
    </row>
    <row r="494" s="2496" customFormat="1" customHeight="1" spans="10:26">
      <c r="J494" s="587"/>
      <c r="K494" s="587"/>
      <c r="L494" s="587"/>
      <c r="M494" s="587"/>
      <c r="N494" s="587"/>
      <c r="O494" s="587"/>
      <c r="P494" s="587"/>
      <c r="Q494" s="587"/>
      <c r="R494" s="587"/>
      <c r="S494" s="587"/>
      <c r="T494" s="587"/>
      <c r="U494" s="587"/>
      <c r="V494" s="587"/>
      <c r="W494" s="587"/>
      <c r="X494" s="587"/>
      <c r="Y494" s="587"/>
      <c r="Z494" s="587"/>
    </row>
    <row r="495" s="2496" customFormat="1" customHeight="1" spans="10:26">
      <c r="J495" s="587"/>
      <c r="K495" s="587"/>
      <c r="L495" s="587"/>
      <c r="M495" s="587"/>
      <c r="N495" s="587"/>
      <c r="O495" s="587"/>
      <c r="P495" s="587"/>
      <c r="Q495" s="587"/>
      <c r="R495" s="587"/>
      <c r="S495" s="587"/>
      <c r="T495" s="587"/>
      <c r="U495" s="587"/>
      <c r="V495" s="587"/>
      <c r="W495" s="587"/>
      <c r="X495" s="587"/>
      <c r="Y495" s="587"/>
      <c r="Z495" s="587"/>
    </row>
    <row r="496" s="2496" customFormat="1" customHeight="1" spans="10:26">
      <c r="J496" s="587"/>
      <c r="K496" s="587"/>
      <c r="L496" s="587"/>
      <c r="M496" s="587"/>
      <c r="N496" s="587"/>
      <c r="O496" s="587"/>
      <c r="P496" s="587"/>
      <c r="Q496" s="587"/>
      <c r="R496" s="587"/>
      <c r="S496" s="587"/>
      <c r="T496" s="587"/>
      <c r="U496" s="587"/>
      <c r="V496" s="587"/>
      <c r="W496" s="587"/>
      <c r="X496" s="587"/>
      <c r="Y496" s="587"/>
      <c r="Z496" s="587"/>
    </row>
    <row r="497" s="2496" customFormat="1" customHeight="1" spans="10:26">
      <c r="J497" s="587"/>
      <c r="K497" s="587"/>
      <c r="L497" s="587"/>
      <c r="M497" s="587"/>
      <c r="N497" s="587"/>
      <c r="O497" s="587"/>
      <c r="P497" s="587"/>
      <c r="Q497" s="587"/>
      <c r="R497" s="587"/>
      <c r="S497" s="587"/>
      <c r="T497" s="587"/>
      <c r="U497" s="587"/>
      <c r="V497" s="587"/>
      <c r="W497" s="587"/>
      <c r="X497" s="587"/>
      <c r="Y497" s="587"/>
      <c r="Z497" s="587"/>
    </row>
    <row r="498" s="2496" customFormat="1" customHeight="1" spans="10:26">
      <c r="J498" s="587"/>
      <c r="K498" s="587"/>
      <c r="L498" s="587"/>
      <c r="M498" s="587"/>
      <c r="N498" s="587"/>
      <c r="O498" s="587"/>
      <c r="P498" s="587"/>
      <c r="Q498" s="587"/>
      <c r="R498" s="587"/>
      <c r="S498" s="587"/>
      <c r="T498" s="587"/>
      <c r="U498" s="587"/>
      <c r="V498" s="587"/>
      <c r="W498" s="587"/>
      <c r="X498" s="587"/>
      <c r="Y498" s="587"/>
      <c r="Z498" s="587"/>
    </row>
    <row r="499" s="2496" customFormat="1" customHeight="1" spans="10:26">
      <c r="J499" s="587"/>
      <c r="K499" s="587"/>
      <c r="L499" s="587"/>
      <c r="M499" s="587"/>
      <c r="N499" s="587"/>
      <c r="O499" s="587"/>
      <c r="P499" s="587"/>
      <c r="Q499" s="587"/>
      <c r="R499" s="587"/>
      <c r="S499" s="587"/>
      <c r="T499" s="587"/>
      <c r="U499" s="587"/>
      <c r="V499" s="587"/>
      <c r="W499" s="587"/>
      <c r="X499" s="587"/>
      <c r="Y499" s="587"/>
      <c r="Z499" s="587"/>
    </row>
    <row r="500" s="2496" customFormat="1" customHeight="1" spans="10:26">
      <c r="J500" s="587"/>
      <c r="K500" s="587"/>
      <c r="L500" s="587"/>
      <c r="M500" s="587"/>
      <c r="N500" s="587"/>
      <c r="O500" s="587"/>
      <c r="P500" s="587"/>
      <c r="Q500" s="587"/>
      <c r="R500" s="587"/>
      <c r="S500" s="587"/>
      <c r="T500" s="587"/>
      <c r="U500" s="587"/>
      <c r="V500" s="587"/>
      <c r="W500" s="587"/>
      <c r="X500" s="587"/>
      <c r="Y500" s="587"/>
      <c r="Z500" s="587"/>
    </row>
    <row r="501" s="2496" customFormat="1" customHeight="1" spans="10:26">
      <c r="J501" s="587"/>
      <c r="K501" s="587"/>
      <c r="L501" s="587"/>
      <c r="M501" s="587"/>
      <c r="N501" s="587"/>
      <c r="O501" s="587"/>
      <c r="P501" s="587"/>
      <c r="Q501" s="587"/>
      <c r="R501" s="587"/>
      <c r="S501" s="587"/>
      <c r="T501" s="587"/>
      <c r="U501" s="587"/>
      <c r="V501" s="587"/>
      <c r="W501" s="587"/>
      <c r="X501" s="587"/>
      <c r="Y501" s="587"/>
      <c r="Z501" s="587"/>
    </row>
    <row r="502" s="2496" customFormat="1" customHeight="1" spans="10:26">
      <c r="J502" s="587"/>
      <c r="K502" s="587"/>
      <c r="L502" s="587"/>
      <c r="M502" s="587"/>
      <c r="N502" s="587"/>
      <c r="O502" s="587"/>
      <c r="P502" s="587"/>
      <c r="Q502" s="587"/>
      <c r="R502" s="587"/>
      <c r="S502" s="587"/>
      <c r="T502" s="587"/>
      <c r="U502" s="587"/>
      <c r="V502" s="587"/>
      <c r="W502" s="587"/>
      <c r="X502" s="587"/>
      <c r="Y502" s="587"/>
      <c r="Z502" s="587"/>
    </row>
    <row r="503" s="2496" customFormat="1" customHeight="1" spans="10:26">
      <c r="J503" s="587"/>
      <c r="K503" s="587"/>
      <c r="L503" s="587"/>
      <c r="M503" s="587"/>
      <c r="N503" s="587"/>
      <c r="O503" s="587"/>
      <c r="P503" s="587"/>
      <c r="Q503" s="587"/>
      <c r="R503" s="587"/>
      <c r="S503" s="587"/>
      <c r="T503" s="587"/>
      <c r="U503" s="587"/>
      <c r="V503" s="587"/>
      <c r="W503" s="587"/>
      <c r="X503" s="587"/>
      <c r="Y503" s="587"/>
      <c r="Z503" s="587"/>
    </row>
    <row r="504" s="2496" customFormat="1" customHeight="1" spans="10:26">
      <c r="J504" s="587"/>
      <c r="K504" s="587"/>
      <c r="L504" s="587"/>
      <c r="M504" s="587"/>
      <c r="N504" s="587"/>
      <c r="O504" s="587"/>
      <c r="P504" s="587"/>
      <c r="Q504" s="587"/>
      <c r="R504" s="587"/>
      <c r="S504" s="587"/>
      <c r="T504" s="587"/>
      <c r="U504" s="587"/>
      <c r="V504" s="587"/>
      <c r="W504" s="587"/>
      <c r="X504" s="587"/>
      <c r="Y504" s="587"/>
      <c r="Z504" s="587"/>
    </row>
    <row r="505" s="2496" customFormat="1" customHeight="1" spans="10:26">
      <c r="J505" s="587"/>
      <c r="K505" s="587"/>
      <c r="L505" s="587"/>
      <c r="M505" s="587"/>
      <c r="N505" s="587"/>
      <c r="O505" s="587"/>
      <c r="P505" s="587"/>
      <c r="Q505" s="587"/>
      <c r="R505" s="587"/>
      <c r="S505" s="587"/>
      <c r="T505" s="587"/>
      <c r="U505" s="587"/>
      <c r="V505" s="587"/>
      <c r="W505" s="587"/>
      <c r="X505" s="587"/>
      <c r="Y505" s="587"/>
      <c r="Z505" s="587"/>
    </row>
    <row r="506" s="2496" customFormat="1" customHeight="1" spans="10:26">
      <c r="J506" s="587"/>
      <c r="K506" s="587"/>
      <c r="L506" s="587"/>
      <c r="M506" s="587"/>
      <c r="N506" s="587"/>
      <c r="O506" s="587"/>
      <c r="P506" s="587"/>
      <c r="Q506" s="587"/>
      <c r="R506" s="587"/>
      <c r="S506" s="587"/>
      <c r="T506" s="587"/>
      <c r="U506" s="587"/>
      <c r="V506" s="587"/>
      <c r="W506" s="587"/>
      <c r="X506" s="587"/>
      <c r="Y506" s="587"/>
      <c r="Z506" s="587"/>
    </row>
    <row r="507" s="2496" customFormat="1" customHeight="1" spans="10:26">
      <c r="J507" s="587"/>
      <c r="K507" s="587"/>
      <c r="L507" s="587"/>
      <c r="M507" s="587"/>
      <c r="N507" s="587"/>
      <c r="O507" s="587"/>
      <c r="P507" s="587"/>
      <c r="Q507" s="587"/>
      <c r="R507" s="587"/>
      <c r="S507" s="587"/>
      <c r="T507" s="587"/>
      <c r="U507" s="587"/>
      <c r="V507" s="587"/>
      <c r="W507" s="587"/>
      <c r="X507" s="587"/>
      <c r="Y507" s="587"/>
      <c r="Z507" s="587"/>
    </row>
    <row r="508" s="2496" customFormat="1" customHeight="1" spans="10:26">
      <c r="J508" s="587"/>
      <c r="K508" s="587"/>
      <c r="L508" s="587"/>
      <c r="M508" s="587"/>
      <c r="N508" s="587"/>
      <c r="O508" s="587"/>
      <c r="P508" s="587"/>
      <c r="Q508" s="587"/>
      <c r="R508" s="587"/>
      <c r="S508" s="587"/>
      <c r="T508" s="587"/>
      <c r="U508" s="587"/>
      <c r="V508" s="587"/>
      <c r="W508" s="587"/>
      <c r="X508" s="587"/>
      <c r="Y508" s="587"/>
      <c r="Z508" s="587"/>
    </row>
    <row r="509" s="2496" customFormat="1" customHeight="1" spans="10:26">
      <c r="J509" s="587"/>
      <c r="K509" s="587"/>
      <c r="L509" s="587"/>
      <c r="M509" s="587"/>
      <c r="N509" s="587"/>
      <c r="O509" s="587"/>
      <c r="P509" s="587"/>
      <c r="Q509" s="587"/>
      <c r="R509" s="587"/>
      <c r="S509" s="587"/>
      <c r="T509" s="587"/>
      <c r="U509" s="587"/>
      <c r="V509" s="587"/>
      <c r="W509" s="587"/>
      <c r="X509" s="587"/>
      <c r="Y509" s="587"/>
      <c r="Z509" s="587"/>
    </row>
    <row r="510" s="2496" customFormat="1" customHeight="1" spans="10:26">
      <c r="J510" s="587"/>
      <c r="K510" s="587"/>
      <c r="L510" s="587"/>
      <c r="M510" s="587"/>
      <c r="N510" s="587"/>
      <c r="O510" s="587"/>
      <c r="P510" s="587"/>
      <c r="Q510" s="587"/>
      <c r="R510" s="587"/>
      <c r="S510" s="587"/>
      <c r="T510" s="587"/>
      <c r="U510" s="587"/>
      <c r="V510" s="587"/>
      <c r="W510" s="587"/>
      <c r="X510" s="587"/>
      <c r="Y510" s="587"/>
      <c r="Z510" s="587"/>
    </row>
    <row r="511" s="2496" customFormat="1" customHeight="1" spans="10:26">
      <c r="J511" s="587"/>
      <c r="K511" s="587"/>
      <c r="L511" s="587"/>
      <c r="M511" s="587"/>
      <c r="N511" s="587"/>
      <c r="O511" s="587"/>
      <c r="P511" s="587"/>
      <c r="Q511" s="587"/>
      <c r="R511" s="587"/>
      <c r="S511" s="587"/>
      <c r="T511" s="587"/>
      <c r="U511" s="587"/>
      <c r="V511" s="587"/>
      <c r="W511" s="587"/>
      <c r="X511" s="587"/>
      <c r="Y511" s="587"/>
      <c r="Z511" s="587"/>
    </row>
    <row r="512" s="249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1068</v>
      </c>
      <c r="B1" s="2374"/>
      <c r="C1" s="391"/>
      <c r="D1" s="391"/>
      <c r="E1" s="391"/>
      <c r="F1" s="391"/>
      <c r="G1" s="2376">
        <f>MATCH(B1,'数据-取费表'!A6:A16,0)+5</f>
        <v>8</v>
      </c>
    </row>
    <row r="2" s="381" customFormat="1" ht="18" customHeight="1" spans="1:7">
      <c r="A2" s="393" t="s">
        <v>1069</v>
      </c>
      <c r="B2" s="394">
        <f ca="1">IF(D2="——",C52,C52-E2)</f>
        <v>147</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2114</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0</v>
      </c>
      <c r="D5" s="403" t="s">
        <v>1076</v>
      </c>
      <c r="E5" s="404" t="s">
        <v>1077</v>
      </c>
      <c r="F5" s="404" t="s">
        <v>974</v>
      </c>
      <c r="G5" s="405"/>
    </row>
    <row r="6" s="383" customFormat="1" ht="13.5" customHeight="1" spans="1:7">
      <c r="A6" s="406" t="s">
        <v>1078</v>
      </c>
      <c r="B6" s="407" t="s">
        <v>1079</v>
      </c>
      <c r="C6" s="408"/>
      <c r="D6" s="409"/>
      <c r="E6" s="410"/>
      <c r="F6" s="410"/>
      <c r="G6" s="411"/>
    </row>
    <row r="7" s="383" customFormat="1" ht="13.5" customHeight="1" spans="1:7">
      <c r="A7" s="406" t="s">
        <v>1080</v>
      </c>
      <c r="B7" s="407" t="s">
        <v>1081</v>
      </c>
      <c r="C7" s="412">
        <f>ROUND(C6*F7,0)</f>
        <v>0</v>
      </c>
      <c r="D7" s="412"/>
      <c r="E7" s="410"/>
      <c r="F7" s="413">
        <f>IF(项目基本情况!B8="出让",0,'数据-取费表'!B48+'数据-取费表'!B49)</f>
        <v>0.0305</v>
      </c>
      <c r="G7" s="411"/>
    </row>
    <row r="8" s="384" customFormat="1" spans="1:7">
      <c r="A8" s="406" t="s">
        <v>1082</v>
      </c>
      <c r="B8" s="407" t="s">
        <v>1083</v>
      </c>
      <c r="C8" s="412">
        <f ca="1">IF(G8="已包含在土地购买价格中","0",IF(B1="",'数据-取费表'!B29,IF(G9="全部缴纳",C9+C10,H9)))</f>
        <v>0</v>
      </c>
      <c r="D8" s="414"/>
      <c r="E8" s="412"/>
      <c r="F8" s="413"/>
      <c r="G8" s="2382"/>
    </row>
    <row r="9" s="383" customFormat="1" ht="13.5" customHeight="1" spans="1:9">
      <c r="A9" s="416" t="s">
        <v>1084</v>
      </c>
      <c r="B9" s="417" t="s">
        <v>1085</v>
      </c>
      <c r="C9" s="418">
        <f ca="1">ROUND(D9*E9/10000,0)</f>
        <v>0</v>
      </c>
      <c r="D9" s="419">
        <f ca="1">IF(B1="",'数据-汇总表'!E5,IF(INDIRECT("'数据-取费表'!c"&amp;$G$1)="住宅",INDIRECT("'数据-取费表'!k"&amp;$G$1),0))</f>
        <v>0</v>
      </c>
      <c r="E9" s="418">
        <f>'数据-取费表'!B27</f>
        <v>0</v>
      </c>
      <c r="F9" s="413"/>
      <c r="G9" s="2490"/>
      <c r="H9" s="2491"/>
      <c r="I9" s="2492" t="s">
        <v>1086</v>
      </c>
    </row>
    <row r="10" s="383" customFormat="1" ht="13.5" customHeight="1" spans="1:7">
      <c r="A10" s="416" t="s">
        <v>1087</v>
      </c>
      <c r="B10" s="417" t="s">
        <v>1088</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f ca="1">IF(G19="已包含在土地取得成本中","0",ROUND(D19*E19/10000,0))</f>
        <v>14</v>
      </c>
      <c r="D19" s="427">
        <f ca="1">D9+D10</f>
        <v>695.5</v>
      </c>
      <c r="E19" s="403">
        <f>'数据-取费表'!B31</f>
        <v>200</v>
      </c>
      <c r="F19" s="428"/>
      <c r="G19" s="2382"/>
    </row>
    <row r="20" s="383" customFormat="1" ht="13.5" customHeight="1" spans="1:7">
      <c r="A20" s="401" t="s">
        <v>1107</v>
      </c>
      <c r="B20" s="402" t="s">
        <v>1108</v>
      </c>
      <c r="C20" s="429">
        <f ca="1">ROUND((C5+C19)*F20,0)</f>
        <v>0</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435">
        <f ca="1">ROUND(SUM(C23:C25),0)</f>
        <v>0</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438">
        <f ca="1">ROUND(IF('数据-取费表'!B22&lt;=1,C5*F22*'数据-取费表'!B23,C5*(POWER((1+F22),'数据-取费表'!B23)-1)),0)</f>
        <v>0</v>
      </c>
      <c r="D23" s="439"/>
      <c r="E23" s="439"/>
      <c r="F23" s="440"/>
      <c r="G23" s="441" t="s">
        <v>1117</v>
      </c>
    </row>
    <row r="24" s="383" customFormat="1" ht="13.5" customHeight="1" spans="1:7">
      <c r="A24" s="437" t="s">
        <v>1080</v>
      </c>
      <c r="B24" s="407" t="s">
        <v>1118</v>
      </c>
      <c r="C24" s="438">
        <f ca="1">ROUND(IF('数据-取费表'!B22&lt;=1,C19*F22*('数据-取费表'!B19/2+'数据-取费表'!B21),C19*(POWER((1+F22),('数据-取费表'!B19/2+'数据-取费表'!B21))-1)),0)</f>
        <v>0</v>
      </c>
      <c r="D24" s="439"/>
      <c r="E24" s="439"/>
      <c r="F24" s="440"/>
      <c r="G24" s="441" t="s">
        <v>1119</v>
      </c>
    </row>
    <row r="25" s="383" customFormat="1" ht="24" spans="1:7">
      <c r="A25" s="437" t="s">
        <v>1082</v>
      </c>
      <c r="B25" s="407" t="s">
        <v>1120</v>
      </c>
      <c r="C25" s="438">
        <f ca="1">ROUND(IF('数据-取费表'!B22&lt;=1,C20*F22*'数据-取费表'!B23/2,C20*(POWER((1+F22),'数据-取费表'!B23/2)-1)),0)</f>
        <v>0</v>
      </c>
      <c r="D25" s="439"/>
      <c r="E25" s="442"/>
      <c r="F25" s="440"/>
      <c r="G25" s="443" t="s">
        <v>1121</v>
      </c>
    </row>
    <row r="26" s="383" customFormat="1" spans="1:7">
      <c r="A26" s="437" t="s">
        <v>1122</v>
      </c>
      <c r="B26" s="407" t="s">
        <v>1123</v>
      </c>
      <c r="C26" s="439">
        <f ca="1">ROUND(IF('数据-取费表'!B22&lt;=1,F21*F22*'数据-取费表'!B23/2,F21*(POWER((1+F22),'数据-取费表'!B23/2)-1)),4)</f>
        <v>0.0003</v>
      </c>
      <c r="D26" s="439"/>
      <c r="E26" s="442"/>
      <c r="F26" s="440"/>
      <c r="G26" s="444"/>
    </row>
    <row r="27" s="383" customFormat="1" ht="24.75" spans="1:7">
      <c r="A27" s="401" t="s">
        <v>1124</v>
      </c>
      <c r="B27" s="445" t="s">
        <v>1125</v>
      </c>
      <c r="C27" s="446">
        <f ca="1">C28</f>
        <v>1</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ROUND((C5+C19+C20)*F27*'数据-取费表'!B21/'数据-取费表'!B20,0)</f>
        <v>1</v>
      </c>
      <c r="D28" s="432"/>
      <c r="E28" s="433"/>
      <c r="F28" s="447"/>
      <c r="G28" s="448"/>
    </row>
    <row r="29" s="383" customFormat="1" ht="13.5" customHeight="1" spans="1:7">
      <c r="A29" s="437" t="s">
        <v>1080</v>
      </c>
      <c r="B29" s="449" t="s">
        <v>1128</v>
      </c>
      <c r="C29" s="439">
        <f ca="1">ROUND(C21*F27*'数据-取费表'!B21/'数据-取费表'!B20,4)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16</v>
      </c>
      <c r="D31" s="452"/>
      <c r="E31" s="403"/>
      <c r="F31" s="453"/>
      <c r="G31" s="434" t="s">
        <v>1133</v>
      </c>
    </row>
    <row r="32" s="382" customFormat="1" ht="15.75" spans="1:7">
      <c r="A32" s="454" t="s">
        <v>1134</v>
      </c>
      <c r="B32" s="455"/>
      <c r="C32" s="455"/>
      <c r="D32" s="455"/>
      <c r="E32" s="455"/>
      <c r="F32" s="455"/>
      <c r="G32" s="456"/>
    </row>
    <row r="33" s="383" customFormat="1" ht="13.5" customHeight="1" spans="1:7">
      <c r="A33" s="401" t="s">
        <v>1074</v>
      </c>
      <c r="B33" s="402" t="s">
        <v>1135</v>
      </c>
      <c r="C33" s="457">
        <f ca="1">SUM(C34:C38)</f>
        <v>177</v>
      </c>
      <c r="D33" s="429"/>
      <c r="E33" s="404"/>
      <c r="F33" s="442"/>
      <c r="G33" s="434"/>
    </row>
    <row r="34" s="385" customFormat="1" ht="13.5" customHeight="1" spans="1:7">
      <c r="A34" s="437" t="s">
        <v>1078</v>
      </c>
      <c r="B34" s="407" t="s">
        <v>1136</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1137</v>
      </c>
    </row>
    <row r="35" ht="13.5" customHeight="1" spans="1:7">
      <c r="A35" s="437" t="s">
        <v>1080</v>
      </c>
      <c r="B35" s="407" t="s">
        <v>1138</v>
      </c>
      <c r="C35" s="412">
        <f ca="1">ROUND(C34*F35,0)</f>
        <v>5</v>
      </c>
      <c r="D35" s="412"/>
      <c r="E35" s="412"/>
      <c r="F35" s="459">
        <f>'数据-取费表'!B33</f>
        <v>0.03</v>
      </c>
      <c r="G35" s="411" t="s">
        <v>1139</v>
      </c>
    </row>
    <row r="36" ht="24" spans="1:7">
      <c r="A36" s="437" t="s">
        <v>1082</v>
      </c>
      <c r="B36" s="407" t="s">
        <v>1140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1141</v>
      </c>
    </row>
    <row r="37" s="385" customFormat="1" ht="13.5" customHeight="1" spans="1:7">
      <c r="A37" s="437" t="s">
        <v>1122</v>
      </c>
      <c r="B37" s="407" t="s">
        <v>1142</v>
      </c>
      <c r="C37" s="450">
        <f ca="1">ROUND(E37*D37*F34/10000,0)</f>
        <v>14</v>
      </c>
      <c r="D37" s="409">
        <f ca="1">D19</f>
        <v>695.5</v>
      </c>
      <c r="E37" s="450">
        <f>'数据-取费表'!B35</f>
        <v>200</v>
      </c>
      <c r="F37" s="459"/>
      <c r="G37" s="461" t="s">
        <v>1143</v>
      </c>
    </row>
    <row r="38" ht="13.5" customHeight="1" spans="1:7">
      <c r="A38" s="437" t="s">
        <v>1144</v>
      </c>
      <c r="B38" s="407" t="s">
        <v>1010</v>
      </c>
      <c r="C38" s="412">
        <f ca="1">ROUND(C34*F38,0)</f>
        <v>2</v>
      </c>
      <c r="D38" s="412"/>
      <c r="E38" s="412"/>
      <c r="F38" s="459">
        <f>'数据-取费表'!B36</f>
        <v>0.015</v>
      </c>
      <c r="G38" s="411" t="s">
        <v>1139</v>
      </c>
    </row>
    <row r="39" s="383" customFormat="1" ht="13.5" customHeight="1" spans="1:7">
      <c r="A39" s="401" t="s">
        <v>1105</v>
      </c>
      <c r="B39" s="402" t="s">
        <v>1108</v>
      </c>
      <c r="C39" s="429">
        <f ca="1">ROUND(C33*F20,0)</f>
        <v>4</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ROUND(IF('数据-取费表'!B22&lt;=1,C33*F22*'数据-取费表'!B21/2,C33*(POWER((1+F22),'数据-取费表'!B21/2)-1)),0)</f>
        <v>3</v>
      </c>
      <c r="D42" s="439"/>
      <c r="E42" s="439"/>
      <c r="F42" s="440"/>
      <c r="G42" s="463" t="s">
        <v>1148</v>
      </c>
    </row>
    <row r="43" ht="13.5" customHeight="1" spans="1:7">
      <c r="A43" s="437" t="s">
        <v>1080</v>
      </c>
      <c r="B43" s="407" t="s">
        <v>1118</v>
      </c>
      <c r="C43" s="439">
        <f ca="1">ROUND(IF('数据-取费表'!B22&lt;=1,C39*F22*'数据-取费表'!B21/2,C39*(POWER((1+F22),'数据-取费表'!B21/2)-1)),0)</f>
        <v>0</v>
      </c>
      <c r="D43" s="439"/>
      <c r="E43" s="439"/>
      <c r="F43" s="440"/>
      <c r="G43" s="464"/>
    </row>
    <row r="44" ht="13.5" customHeight="1" spans="1:7">
      <c r="A44" s="437" t="s">
        <v>1082</v>
      </c>
      <c r="B44" s="407" t="s">
        <v>1120</v>
      </c>
      <c r="C44" s="439">
        <f ca="1">ROUND(IF('数据-取费表'!B22&lt;=1,C40*F22*'数据-取费表'!B21/2,C40*(POWER((1+F22),'数据-取费表'!B21/2)-1)),4)</f>
        <v>0.0003</v>
      </c>
      <c r="D44" s="439"/>
      <c r="E44" s="439"/>
      <c r="F44" s="440"/>
      <c r="G44" s="465"/>
    </row>
    <row r="45" s="383" customFormat="1" ht="13.5" customHeight="1" spans="1:7">
      <c r="A45" s="401" t="s">
        <v>1114</v>
      </c>
      <c r="B45" s="445" t="s">
        <v>1125</v>
      </c>
      <c r="C45" s="446">
        <f ca="1">C46</f>
        <v>18</v>
      </c>
      <c r="D45" s="432">
        <f ca="1">C47</f>
        <v>0.002</v>
      </c>
      <c r="E45" s="433" t="s">
        <v>1146</v>
      </c>
      <c r="F45" s="447">
        <f ca="1">F27</f>
        <v>0.1</v>
      </c>
      <c r="G45" s="448" t="s">
        <v>1149</v>
      </c>
    </row>
    <row r="46" s="383" customFormat="1" ht="13.5" customHeight="1" spans="1:7">
      <c r="A46" s="437" t="s">
        <v>1078</v>
      </c>
      <c r="B46" s="449" t="s">
        <v>1150</v>
      </c>
      <c r="C46" s="450">
        <f ca="1">ROUND((C33+C39)*F27,0)</f>
        <v>18</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2385">
        <f>ROUND(F30/(1+'数据-取费表'!C42),4)</f>
        <v>0.0533</v>
      </c>
      <c r="D48" s="433" t="s">
        <v>1146</v>
      </c>
      <c r="E48" s="429"/>
      <c r="F48" s="436">
        <f>F30</f>
        <v>0.056</v>
      </c>
      <c r="G48" s="434" t="s">
        <v>1152</v>
      </c>
    </row>
    <row r="49" ht="16.5" customHeight="1" spans="1:7">
      <c r="A49" s="401" t="s">
        <v>1129</v>
      </c>
      <c r="B49" s="402" t="s">
        <v>1153</v>
      </c>
      <c r="C49" s="429">
        <f ca="1">ROUND((C33+C39+C41+C45)/(1-C40-D41-D45-C48),0)</f>
        <v>219</v>
      </c>
      <c r="D49" s="429"/>
      <c r="E49" s="429"/>
      <c r="F49" s="467"/>
      <c r="G49" s="434" t="s">
        <v>1154</v>
      </c>
    </row>
    <row r="50" s="385" customFormat="1" ht="24" spans="1:7">
      <c r="A50" s="401" t="s">
        <v>1155</v>
      </c>
      <c r="B50" s="402" t="s">
        <v>1156</v>
      </c>
      <c r="C50" s="429"/>
      <c r="D50" s="429"/>
      <c r="E50" s="429"/>
      <c r="F50" s="467">
        <f>IF('数据-取费表'!B24=0,'数据-取费表'!N16,1)</f>
        <v>0.597</v>
      </c>
      <c r="G50" s="448" t="s">
        <v>1157</v>
      </c>
    </row>
    <row r="51" ht="16.5" customHeight="1" spans="1:7">
      <c r="A51" s="401" t="s">
        <v>1158</v>
      </c>
      <c r="B51" s="402" t="s">
        <v>1159</v>
      </c>
      <c r="C51" s="429">
        <f ca="1">ROUND(C49*F50,0)</f>
        <v>131</v>
      </c>
      <c r="D51" s="429"/>
      <c r="E51" s="429"/>
      <c r="F51" s="467"/>
      <c r="G51" s="434" t="s">
        <v>1160</v>
      </c>
    </row>
    <row r="52" s="382" customFormat="1" ht="16.5" spans="1:7">
      <c r="A52" s="468" t="s">
        <v>1161</v>
      </c>
      <c r="B52" s="469"/>
      <c r="C52" s="470">
        <f ca="1">C31+C51</f>
        <v>147</v>
      </c>
      <c r="D52" s="469"/>
      <c r="E52" s="469"/>
      <c r="F52" s="469"/>
      <c r="G52" s="471"/>
    </row>
    <row r="55" ht="15" spans="2:3">
      <c r="B55" s="472" t="s">
        <v>1162</v>
      </c>
      <c r="C55" s="473"/>
    </row>
    <row r="56" spans="2:3">
      <c r="B56" s="474" t="s">
        <v>1163</v>
      </c>
      <c r="C56" s="476">
        <f ca="1">1-C57</f>
        <v>0.109</v>
      </c>
    </row>
    <row r="57" spans="2:3">
      <c r="B57" s="474" t="s">
        <v>1164</v>
      </c>
      <c r="C57" s="475">
        <f ca="1">ROUND(C51/C52,3)</f>
        <v>0.891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1" sqref="F5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610</v>
      </c>
      <c r="C1" s="2375" t="s">
        <v>1165</v>
      </c>
      <c r="D1" s="391"/>
      <c r="E1" s="391"/>
      <c r="F1" s="391"/>
      <c r="G1" s="2376">
        <f>MATCH(B1,'数据-取费表'!A6:A16,0)+5</f>
        <v>6</v>
      </c>
      <c r="H1" s="1716" t="str">
        <f>IF(ISERROR(FIND("住宅",B1)),"非住宅","住宅")</f>
        <v>非住宅</v>
      </c>
    </row>
    <row r="2" s="381" customFormat="1" ht="18" customHeight="1" spans="1:7">
      <c r="A2" s="393" t="s">
        <v>1069</v>
      </c>
      <c r="B2" s="2377">
        <f ca="1">ROUND(IF(D2="——",C52/10000,C52/10000-E2),4)</f>
        <v>3156.5715</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46142</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24193753</v>
      </c>
      <c r="D5" s="403" t="s">
        <v>1076</v>
      </c>
      <c r="E5" s="404" t="s">
        <v>1077</v>
      </c>
      <c r="F5" s="404" t="s">
        <v>974</v>
      </c>
      <c r="G5" s="405"/>
    </row>
    <row r="6" s="383" customFormat="1" ht="13.5" customHeight="1" spans="1:7">
      <c r="A6" s="406" t="s">
        <v>1078</v>
      </c>
      <c r="B6" s="407" t="s">
        <v>1079</v>
      </c>
      <c r="C6" s="408">
        <f>ROUND(基准地价修正!C33*'数据-基础表'!I13,0)</f>
        <v>23344913</v>
      </c>
      <c r="D6" s="409"/>
      <c r="E6" s="410"/>
      <c r="F6" s="410"/>
      <c r="G6" s="411"/>
    </row>
    <row r="7" s="383" customFormat="1" ht="13.5" customHeight="1" spans="1:7">
      <c r="A7" s="406" t="s">
        <v>1080</v>
      </c>
      <c r="B7" s="407" t="s">
        <v>1081</v>
      </c>
      <c r="C7" s="412">
        <f>ROUND(C6*F7,0)</f>
        <v>712020</v>
      </c>
      <c r="D7" s="412"/>
      <c r="E7" s="410"/>
      <c r="F7" s="413">
        <f>IF(项目基本情况!B8="出让",0,'数据-取费表'!B48+'数据-取费表'!B49)</f>
        <v>0.0305</v>
      </c>
      <c r="G7" s="411"/>
    </row>
    <row r="8" s="384" customFormat="1" spans="1:7">
      <c r="A8" s="406" t="s">
        <v>1082</v>
      </c>
      <c r="B8" s="407" t="s">
        <v>1083</v>
      </c>
      <c r="C8" s="412">
        <f ca="1">IF(G8="已包含在土地购买价格中",0,C9+C10)</f>
        <v>136820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684.1</v>
      </c>
      <c r="E19" s="403">
        <f>'数据-取费表'!B31</f>
        <v>200</v>
      </c>
      <c r="F19" s="428"/>
      <c r="G19" s="2382" t="s">
        <v>1167</v>
      </c>
    </row>
    <row r="20" s="383" customFormat="1" ht="13.5" customHeight="1" spans="1:7">
      <c r="A20" s="401" t="s">
        <v>1107</v>
      </c>
      <c r="B20" s="402" t="s">
        <v>1108</v>
      </c>
      <c r="C20" s="429">
        <f ca="1">ROUND((C5+C19)*F20,0)</f>
        <v>483875</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843031</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834684</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8347</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2467763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2467763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30277393</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1741736</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1080</v>
      </c>
      <c r="B35" s="407" t="s">
        <v>1138</v>
      </c>
      <c r="C35" s="412">
        <f ca="1">ROUND(C34*F35,0)</f>
        <v>46074</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136820</v>
      </c>
      <c r="D37" s="409">
        <f ca="1">D19</f>
        <v>684.1</v>
      </c>
      <c r="E37" s="450">
        <f>'数据-取费表'!B35</f>
        <v>200</v>
      </c>
      <c r="F37" s="459"/>
      <c r="G37" s="461"/>
    </row>
    <row r="38" ht="13.5" customHeight="1" spans="1:7">
      <c r="A38" s="437" t="s">
        <v>1144</v>
      </c>
      <c r="B38" s="407" t="s">
        <v>1010</v>
      </c>
      <c r="C38" s="412">
        <f ca="1">ROUND(C34*F38,0)</f>
        <v>23037</v>
      </c>
      <c r="D38" s="412"/>
      <c r="E38" s="412"/>
      <c r="F38" s="459">
        <f>'数据-取费表'!B36</f>
        <v>0.015</v>
      </c>
      <c r="G38" s="411" t="s">
        <v>1139</v>
      </c>
    </row>
    <row r="39" s="383" customFormat="1" ht="13.5" customHeight="1" spans="1:7">
      <c r="A39" s="401" t="s">
        <v>1105</v>
      </c>
      <c r="B39" s="402" t="s">
        <v>1108</v>
      </c>
      <c r="C39" s="429">
        <f ca="1">ROUND(C33*F20,0)</f>
        <v>34835</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30646</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30045</v>
      </c>
      <c r="D42" s="439"/>
      <c r="E42" s="439"/>
      <c r="F42" s="440"/>
      <c r="G42" s="463" t="s">
        <v>1170</v>
      </c>
    </row>
    <row r="43" ht="13.5" customHeight="1" spans="1:7">
      <c r="A43" s="437" t="s">
        <v>1080</v>
      </c>
      <c r="B43" s="407" t="s">
        <v>1118</v>
      </c>
      <c r="C43" s="439">
        <f ca="1">ROUND(IF('数据-取费表'!B22&lt;=1,C39*F22*'数据-取费表'!B20/2,C39*(POWER((1+F22),'数据-取费表'!B20/2)-1)),0)</f>
        <v>601</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177657</v>
      </c>
      <c r="D45" s="432">
        <f ca="1">C47</f>
        <v>0.002</v>
      </c>
      <c r="E45" s="433" t="s">
        <v>1146</v>
      </c>
      <c r="F45" s="447">
        <f ca="1">F27</f>
        <v>0.1</v>
      </c>
      <c r="G45" s="448" t="s">
        <v>1149</v>
      </c>
    </row>
    <row r="46" s="383" customFormat="1" ht="13.5" customHeight="1" spans="1:7">
      <c r="A46" s="437" t="s">
        <v>1078</v>
      </c>
      <c r="B46" s="449" t="s">
        <v>1150</v>
      </c>
      <c r="C46" s="450">
        <f ca="1">ROUND((C33+C39)*F27,0)</f>
        <v>177657</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2147203</v>
      </c>
      <c r="D49" s="429"/>
      <c r="E49" s="429"/>
      <c r="F49" s="467"/>
      <c r="G49" s="434" t="s">
        <v>1154</v>
      </c>
    </row>
    <row r="50" s="385" customFormat="1" spans="1:7">
      <c r="A50" s="401" t="s">
        <v>1155</v>
      </c>
      <c r="B50" s="402" t="s">
        <v>1156</v>
      </c>
      <c r="C50" s="429"/>
      <c r="D50" s="429"/>
      <c r="E50" s="429"/>
      <c r="F50" s="2386">
        <f>'数据-取费表'!N6</f>
        <v>0.6</v>
      </c>
      <c r="G50" s="448"/>
    </row>
    <row r="51" ht="16.5" customHeight="1" spans="1:7">
      <c r="A51" s="401" t="s">
        <v>1158</v>
      </c>
      <c r="B51" s="402" t="s">
        <v>1172</v>
      </c>
      <c r="C51" s="429">
        <f ca="1">ROUND(C49*F50,0)</f>
        <v>1288322</v>
      </c>
      <c r="D51" s="429"/>
      <c r="E51" s="429"/>
      <c r="F51" s="467"/>
      <c r="G51" s="434" t="s">
        <v>1160</v>
      </c>
    </row>
    <row r="52" s="382" customFormat="1" ht="16.5" spans="1:7">
      <c r="A52" s="468" t="s">
        <v>1161</v>
      </c>
      <c r="B52" s="469"/>
      <c r="C52" s="470">
        <f ca="1">C31+C51</f>
        <v>31565715</v>
      </c>
      <c r="D52" s="469"/>
      <c r="E52" s="469"/>
      <c r="F52" s="469"/>
      <c r="G52" s="471"/>
    </row>
    <row r="55" ht="15" spans="2:3">
      <c r="B55" s="472" t="s">
        <v>1162</v>
      </c>
      <c r="C55" s="473"/>
    </row>
    <row r="56" spans="2:3">
      <c r="B56" s="474" t="s">
        <v>1163</v>
      </c>
      <c r="C56" s="476">
        <f ca="1">1-C57</f>
        <v>0.959</v>
      </c>
    </row>
    <row r="57" spans="2:3">
      <c r="B57" s="474" t="s">
        <v>1164</v>
      </c>
      <c r="C57" s="475">
        <f ca="1">ROUND(C51/C52,3)</f>
        <v>0.041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404" customWidth="1"/>
    <col min="3" max="3" width="10.375" style="2405" customWidth="1"/>
    <col min="4" max="4" width="9.875" style="2404" customWidth="1"/>
    <col min="5" max="5" width="9.5" style="686"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89" t="s">
        <v>1173</v>
      </c>
      <c r="B1" s="1481"/>
      <c r="C1" s="2406"/>
      <c r="D1" s="2407"/>
      <c r="E1" s="2408"/>
      <c r="F1" s="2408"/>
      <c r="G1" s="2409"/>
      <c r="H1" s="2408"/>
      <c r="I1" s="2408"/>
      <c r="J1" s="2408"/>
      <c r="K1" s="2477">
        <f>MATCH(C1,'数据-取费表'!A6:A16,0)+5</f>
        <v>8</v>
      </c>
    </row>
    <row r="2" ht="18" customHeight="1" spans="1:11">
      <c r="A2" s="393" t="s">
        <v>1069</v>
      </c>
      <c r="B2" s="397">
        <f ca="1">C32</f>
        <v>-15</v>
      </c>
      <c r="C2" s="2410" t="s">
        <v>1174</v>
      </c>
      <c r="D2" s="2410"/>
      <c r="E2" s="2408"/>
      <c r="F2" s="2408"/>
      <c r="G2" s="2408"/>
      <c r="H2" s="2408"/>
      <c r="I2" s="2408"/>
      <c r="J2" s="2408"/>
      <c r="K2" s="2408"/>
    </row>
    <row r="3" ht="18" customHeight="1" spans="1:11">
      <c r="A3" s="396" t="s">
        <v>1071</v>
      </c>
      <c r="B3" s="397">
        <f ca="1">ROUND(B2*10000/IF(C1="",'数据-汇总表'!E3,INDIRECT("'数据-取费表'!K"&amp;$K$1)),0)</f>
        <v>-216</v>
      </c>
      <c r="C3" s="2410" t="s">
        <v>1175</v>
      </c>
      <c r="D3" s="2410"/>
      <c r="E3" s="2408"/>
      <c r="F3" s="2408"/>
      <c r="G3" s="2408"/>
      <c r="H3" s="2408"/>
      <c r="I3" s="2408"/>
      <c r="J3" s="2408"/>
      <c r="K3" s="2408"/>
    </row>
    <row r="4" s="2395" customFormat="1" ht="16.5" customHeight="1" spans="1:11">
      <c r="A4" s="2411" t="s">
        <v>1176</v>
      </c>
      <c r="B4" s="2412"/>
      <c r="C4" s="2413">
        <f>SUM(C8:K8)</f>
        <v>0</v>
      </c>
      <c r="D4" s="2412"/>
      <c r="E4" s="2412"/>
      <c r="F4" s="2412"/>
      <c r="G4" s="2412"/>
      <c r="H4" s="2412"/>
      <c r="I4" s="2412"/>
      <c r="J4" s="2412"/>
      <c r="K4" s="2478"/>
    </row>
    <row r="5" s="2396" customFormat="1" ht="15" spans="1:33">
      <c r="A5" s="2414" t="s">
        <v>1177</v>
      </c>
      <c r="B5" s="2415" t="s">
        <v>1178</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979</v>
      </c>
      <c r="B6" s="1444" t="s">
        <v>1179</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983</v>
      </c>
      <c r="B7" s="1444" t="s">
        <v>461</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1028</v>
      </c>
      <c r="B8" s="2421" t="s">
        <v>1180</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1181</v>
      </c>
      <c r="B9" s="2412"/>
      <c r="C9" s="2412"/>
      <c r="D9" s="2412"/>
      <c r="E9" s="2412"/>
      <c r="F9" s="2412"/>
      <c r="G9" s="2412"/>
      <c r="H9" s="2412"/>
      <c r="I9" s="2412"/>
      <c r="J9" s="2412"/>
      <c r="K9" s="2478"/>
    </row>
    <row r="10" s="2398" customFormat="1" ht="13.5" customHeight="1" spans="1:11">
      <c r="A10" s="2414" t="s">
        <v>1177</v>
      </c>
      <c r="B10" s="2424" t="s">
        <v>1178</v>
      </c>
      <c r="C10" s="2425" t="s">
        <v>1182</v>
      </c>
      <c r="D10" s="2426" t="s">
        <v>1183</v>
      </c>
      <c r="E10" s="2426" t="s">
        <v>1184</v>
      </c>
      <c r="F10" s="2426" t="s">
        <v>1185</v>
      </c>
      <c r="G10" s="2424"/>
      <c r="H10" s="2427"/>
      <c r="I10" s="2427"/>
      <c r="J10" s="2427"/>
      <c r="K10" s="2484"/>
    </row>
    <row r="11" s="2399" customFormat="1" ht="13.5" customHeight="1" spans="1:11">
      <c r="A11" s="2428" t="s">
        <v>1084</v>
      </c>
      <c r="B11" s="2429" t="s">
        <v>1186</v>
      </c>
      <c r="C11" s="2430">
        <f ca="1">IF(C1="",'数据-取费表'!P16,INDIRECT("'数据-取费表'!p"&amp;$K$1)+INDIRECT("'数据-取费表'!ar"&amp;$K$1))</f>
        <v>0</v>
      </c>
      <c r="D11" s="2431"/>
      <c r="E11" s="1447"/>
      <c r="F11" s="2432">
        <f ca="1">1-IF('数据-取费表'!B24=0,1,IF(C1="",'数据-取费表'!N16,INDIRECT("'数据-取费表'!n"&amp;$K$1)))</f>
        <v>0</v>
      </c>
      <c r="G11" s="2424"/>
      <c r="H11" s="2427"/>
      <c r="I11" s="2427"/>
      <c r="J11" s="2427"/>
      <c r="K11" s="2484"/>
    </row>
    <row r="12" s="2399" customFormat="1" ht="13.5" customHeight="1" spans="1:11">
      <c r="A12" s="2428" t="s">
        <v>1087</v>
      </c>
      <c r="B12" s="2429" t="s">
        <v>1187</v>
      </c>
      <c r="C12" s="643">
        <f ca="1">ROUND(C11*F12,0)</f>
        <v>0</v>
      </c>
      <c r="D12" s="2431"/>
      <c r="E12" s="1447"/>
      <c r="F12" s="2432">
        <f>'数据-取费表'!B33</f>
        <v>0.03</v>
      </c>
      <c r="G12" s="2424" t="s">
        <v>1188</v>
      </c>
      <c r="H12" s="2427"/>
      <c r="I12" s="2427"/>
      <c r="J12" s="2427"/>
      <c r="K12" s="2484"/>
    </row>
    <row r="13" s="2399" customFormat="1" ht="13.5" customHeight="1" spans="1:11">
      <c r="A13" s="2428" t="s">
        <v>1189</v>
      </c>
      <c r="B13" s="2429" t="s">
        <v>1190</v>
      </c>
      <c r="C13" s="643">
        <f ca="1">ROUND(IF(C1="",SUMIF('数据-取费表'!C:C,"住宅",'数据-取费表'!P:P)*F13,IF(INDIRECT("'数据-取费表'!c"&amp;$K$1)="住宅",INDIRECT("'数据-取费表'!P"&amp;$K$1)*F13,0)),0)</f>
        <v>0</v>
      </c>
      <c r="D13" s="2433"/>
      <c r="E13" s="1447"/>
      <c r="F13" s="2432">
        <f>'数据-取费表'!B34</f>
        <v>0</v>
      </c>
      <c r="G13" s="2424" t="s">
        <v>1191</v>
      </c>
      <c r="H13" s="2427"/>
      <c r="I13" s="2427"/>
      <c r="J13" s="2427"/>
      <c r="K13" s="2484"/>
    </row>
    <row r="14" s="2400" customFormat="1" ht="13.5" customHeight="1" spans="1:33">
      <c r="A14" s="2428" t="s">
        <v>1192</v>
      </c>
      <c r="B14" s="2429" t="s">
        <v>1193</v>
      </c>
      <c r="C14" s="643">
        <f ca="1">ROUND(D14*E14*F11/10000,0)</f>
        <v>0</v>
      </c>
      <c r="D14" s="2433">
        <f ca="1">IF(C1="",'数据-汇总表'!E3,INDIRECT("'数据-取费表'!K"&amp;$K$1)+INDIRECT("'数据-取费表'!S"&amp;$K$1))</f>
        <v>695.5</v>
      </c>
      <c r="E14" s="643">
        <f>'数据-取费表'!B35</f>
        <v>200</v>
      </c>
      <c r="F14" s="2434"/>
      <c r="G14" s="2424" t="s">
        <v>1194</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1195</v>
      </c>
      <c r="B15" s="2429" t="s">
        <v>1196</v>
      </c>
      <c r="C15" s="2435">
        <f ca="1">ROUND(C11*F15,0)</f>
        <v>0</v>
      </c>
      <c r="D15" s="2436"/>
      <c r="E15" s="2435"/>
      <c r="F15" s="2432">
        <f>'数据-取费表'!B36</f>
        <v>0.015</v>
      </c>
      <c r="G15" s="1444" t="s">
        <v>1197</v>
      </c>
      <c r="H15" s="1560"/>
      <c r="I15" s="1560"/>
      <c r="J15" s="1560"/>
      <c r="K15" s="1561"/>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1002</v>
      </c>
      <c r="B16" s="2429" t="s">
        <v>1198</v>
      </c>
      <c r="C16" s="2435">
        <f ca="1">SUM(C11:C15)</f>
        <v>0</v>
      </c>
      <c r="D16" s="2436"/>
      <c r="E16" s="2435"/>
      <c r="F16" s="2432"/>
      <c r="G16" s="1444"/>
      <c r="H16" s="2437"/>
      <c r="I16" s="1560"/>
      <c r="J16" s="1560"/>
      <c r="K16" s="1561"/>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1006</v>
      </c>
      <c r="B17" s="2429" t="s">
        <v>1199</v>
      </c>
      <c r="C17" s="643">
        <f ca="1">ROUND(D17*E17/10000,0)</f>
        <v>0</v>
      </c>
      <c r="D17" s="2433">
        <f ca="1">D14</f>
        <v>695.5</v>
      </c>
      <c r="E17" s="643">
        <f>'数据-取费表'!B32</f>
        <v>0</v>
      </c>
      <c r="F17" s="2436"/>
      <c r="G17" s="1444" t="s">
        <v>1200</v>
      </c>
      <c r="H17" s="2437"/>
      <c r="I17" s="1560"/>
      <c r="J17" s="1560"/>
      <c r="K17" s="1561"/>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1201</v>
      </c>
      <c r="B18" s="2429" t="s">
        <v>1202</v>
      </c>
      <c r="C18" s="643">
        <f ca="1">C19+C20-IF(C1="",'数据-取费表'!B29,IF(G18="已全部缴纳",C19+C20,H18))</f>
        <v>14</v>
      </c>
      <c r="D18" s="2433"/>
      <c r="E18" s="643"/>
      <c r="F18" s="2434"/>
      <c r="G18" s="2438"/>
      <c r="H18" s="2439"/>
      <c r="I18" s="2485" t="s">
        <v>1203</v>
      </c>
      <c r="J18" s="1560"/>
      <c r="K18" s="1561"/>
    </row>
    <row r="19" s="2399" customFormat="1" ht="13.5" customHeight="1" spans="1:11">
      <c r="A19" s="2428" t="s">
        <v>1084</v>
      </c>
      <c r="B19" s="2429" t="s">
        <v>448</v>
      </c>
      <c r="C19" s="643">
        <f ca="1">ROUND(D19*E19/10000,0)</f>
        <v>0</v>
      </c>
      <c r="D19" s="2433">
        <f ca="1">IF(C1="",'数据-汇总表'!E5,IF(INDIRECT("'数据-取费表'!c"&amp;$K$1)="住宅",INDIRECT("'数据-取费表'!k"&amp;$K$1),0))</f>
        <v>0</v>
      </c>
      <c r="E19" s="643">
        <f>'数据-取费表'!B27</f>
        <v>0</v>
      </c>
      <c r="F19" s="2434"/>
      <c r="G19" s="1559"/>
      <c r="H19" s="2440"/>
      <c r="I19" s="2441"/>
      <c r="J19" s="2441"/>
      <c r="K19" s="2486"/>
    </row>
    <row r="20" s="2399" customFormat="1" ht="13.5" customHeight="1" spans="1:11">
      <c r="A20" s="2428" t="s">
        <v>1087</v>
      </c>
      <c r="B20" s="2429" t="s">
        <v>1204</v>
      </c>
      <c r="C20" s="643">
        <f ca="1">ROUND(D20*E20/10000,0)</f>
        <v>14</v>
      </c>
      <c r="D20" s="2433">
        <f ca="1">IF(C1="",'数据-汇总表'!E6,IF(INDIRECT("'数据-取费表'!c"&amp;$K$1)="住宅",INDIRECT("'数据-取费表'!s"&amp;$K$1),INDIRECT("'数据-取费表'!k"&amp;$K$1)+INDIRECT("'数据-取费表'!s"&amp;$K$1)))</f>
        <v>695.5</v>
      </c>
      <c r="E20" s="643">
        <f>'数据-取费表'!B28</f>
        <v>200</v>
      </c>
      <c r="F20" s="2434"/>
      <c r="G20" s="1559"/>
      <c r="H20" s="2441"/>
      <c r="I20" s="2441"/>
      <c r="J20" s="2441"/>
      <c r="K20" s="2486"/>
    </row>
    <row r="21" s="2399" customFormat="1" ht="13.5" customHeight="1" spans="1:11">
      <c r="A21" s="2417" t="s">
        <v>979</v>
      </c>
      <c r="B21" s="2442" t="s">
        <v>1205</v>
      </c>
      <c r="C21" s="2443">
        <f ca="1">C16+C17+C18</f>
        <v>14</v>
      </c>
      <c r="D21" s="2444"/>
      <c r="E21" s="2445"/>
      <c r="F21" s="2445"/>
      <c r="G21" s="1444" t="s">
        <v>1206</v>
      </c>
      <c r="H21" s="1560"/>
      <c r="I21" s="1560"/>
      <c r="J21" s="1560"/>
      <c r="K21" s="1561"/>
    </row>
    <row r="22" s="2399" customFormat="1" ht="13.5" customHeight="1" spans="1:11">
      <c r="A22" s="2417" t="s">
        <v>983</v>
      </c>
      <c r="B22" s="2442" t="s">
        <v>1207</v>
      </c>
      <c r="C22" s="2443">
        <f ca="1">ROUND(C21*F22,0)</f>
        <v>0</v>
      </c>
      <c r="D22" s="2445"/>
      <c r="E22" s="2445"/>
      <c r="F22" s="2446">
        <f>'数据-取费表'!B37</f>
        <v>0.02</v>
      </c>
      <c r="G22" s="2424" t="s">
        <v>1208</v>
      </c>
      <c r="H22" s="2427"/>
      <c r="I22" s="2427"/>
      <c r="J22" s="2427"/>
      <c r="K22" s="2484"/>
    </row>
    <row r="23" s="2399" customFormat="1" ht="13.5" customHeight="1" spans="1:11">
      <c r="A23" s="2417" t="s">
        <v>1028</v>
      </c>
      <c r="B23" s="2442" t="s">
        <v>1209</v>
      </c>
      <c r="C23" s="2443">
        <f ca="1">ROUND(C4*F23*F11,0)</f>
        <v>0</v>
      </c>
      <c r="D23" s="2445"/>
      <c r="E23" s="2445"/>
      <c r="F23" s="2446">
        <f>'数据-取费表'!B38</f>
        <v>0.02</v>
      </c>
      <c r="G23" s="2424" t="s">
        <v>1210</v>
      </c>
      <c r="H23" s="2427"/>
      <c r="I23" s="2427"/>
      <c r="J23" s="2427"/>
      <c r="K23" s="2484"/>
    </row>
    <row r="24" s="2399" customFormat="1" ht="13.5" customHeight="1" spans="1:11">
      <c r="A24" s="2417" t="s">
        <v>1031</v>
      </c>
      <c r="B24" s="2442" t="s">
        <v>1211</v>
      </c>
      <c r="C24" s="2447">
        <f>ROUND(F24/(1+'数据-取费表'!C42),4)</f>
        <v>0.029</v>
      </c>
      <c r="D24" s="2445" t="s">
        <v>1212</v>
      </c>
      <c r="E24" s="2445"/>
      <c r="F24" s="2446">
        <f>IF(项目基本情况!B8="出让",0,'数据-取费表'!B48+'数据-取费表'!B49)</f>
        <v>0.0305</v>
      </c>
      <c r="G24" s="2424" t="s">
        <v>1213</v>
      </c>
      <c r="H24" s="2448"/>
      <c r="I24" s="2448"/>
      <c r="J24" s="2448"/>
      <c r="K24" s="2487"/>
    </row>
    <row r="25" s="2399" customFormat="1" ht="13.5" customHeight="1" spans="1:11">
      <c r="A25" s="2417" t="s">
        <v>1035</v>
      </c>
      <c r="B25" s="2444" t="s">
        <v>1214</v>
      </c>
      <c r="C25" s="2449">
        <f ca="1">C27</f>
        <v>0</v>
      </c>
      <c r="D25" s="2447">
        <f ca="1">C26</f>
        <v>0</v>
      </c>
      <c r="E25" s="2450" t="s">
        <v>1212</v>
      </c>
      <c r="F25" s="2451">
        <f ca="1">'数据-取费表'!B40</f>
        <v>0.0345</v>
      </c>
      <c r="G25" s="1444" t="str">
        <f>IF('数据-取费表'!B22&lt;=1,"单利计息。","复利计息。")&amp;"后续开发成本、管理费用及销售费用产生的利息。"</f>
        <v>单利计息。后续开发成本、管理费用及销售费用产生的利息。</v>
      </c>
      <c r="H25" s="2448"/>
      <c r="I25" s="2448"/>
      <c r="J25" s="2448"/>
      <c r="K25" s="2487"/>
    </row>
    <row r="26" s="2401" customFormat="1" ht="13.5" customHeight="1" spans="1:11">
      <c r="A26" s="2428" t="s">
        <v>1002</v>
      </c>
      <c r="B26" s="2452" t="s">
        <v>1215</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（(1)+取得税费率/(1+5%)）×年利率×建设期</v>
      </c>
      <c r="H26" s="1560"/>
      <c r="I26" s="1560"/>
      <c r="J26" s="1560"/>
      <c r="K26" s="1561"/>
    </row>
    <row r="27" s="2401" customFormat="1" ht="13.5" customHeight="1" spans="1:11">
      <c r="A27" s="2428" t="s">
        <v>1006</v>
      </c>
      <c r="B27" s="2452" t="s">
        <v>1216</v>
      </c>
      <c r="C27" s="2458">
        <f ca="1">ROUND(IF('数据-取费表'!B22&lt;=1,(C21+C22+C23)*F25*'数据-取费表'!B24/2,(C21+C22+C23)*(POWER((1+F25),'数据-取费表'!B24/2)-1)),0)</f>
        <v>0</v>
      </c>
      <c r="D27" s="2454"/>
      <c r="E27" s="2455"/>
      <c r="F27" s="2456"/>
      <c r="G27" s="2457" t="str">
        <f>IF('数据-取费表'!B22&lt;=1,"（1）-（3）项×年利率×建设期÷2","（1）-（3）项×((1+年利率)^(建设期÷2)-1)")</f>
        <v>（1）-（3）项×年利率×建设期÷2</v>
      </c>
      <c r="H27" s="1560"/>
      <c r="I27" s="1560"/>
      <c r="J27" s="1560"/>
      <c r="K27" s="1561"/>
    </row>
    <row r="28" s="2402" customFormat="1" ht="13.5" customHeight="1" spans="1:11">
      <c r="A28" s="2417" t="s">
        <v>1036</v>
      </c>
      <c r="B28" s="2459" t="s">
        <v>1217</v>
      </c>
      <c r="C28" s="2460">
        <f ca="1">C30</f>
        <v>1</v>
      </c>
      <c r="D28" s="2447">
        <f ca="1">C29</f>
        <v>0</v>
      </c>
      <c r="E28" s="2450" t="s">
        <v>1212</v>
      </c>
      <c r="F28" s="987">
        <f ca="1">IF(C1="",'数据-取费表'!Q16,INDIRECT("'数据-取费表'!q"&amp;$K$1))</f>
        <v>0.1</v>
      </c>
      <c r="G28" s="2461"/>
      <c r="H28" s="2448"/>
      <c r="I28" s="2448"/>
      <c r="J28" s="2448"/>
      <c r="K28" s="2487"/>
    </row>
    <row r="29" s="2403" customFormat="1" ht="13.5" customHeight="1" spans="1:11">
      <c r="A29" s="2428" t="s">
        <v>1002</v>
      </c>
      <c r="B29" s="2462" t="s">
        <v>1218</v>
      </c>
      <c r="C29" s="2454">
        <f ca="1">ROUND((1+C24)*F28*'数据-取费表'!B24/'数据-取费表'!B20,4)</f>
        <v>0</v>
      </c>
      <c r="D29" s="2454"/>
      <c r="E29" s="2455"/>
      <c r="F29" s="2463"/>
      <c r="G29" s="1444" t="s">
        <v>1219</v>
      </c>
      <c r="H29" s="1560"/>
      <c r="I29" s="1560"/>
      <c r="J29" s="1560"/>
      <c r="K29" s="1561"/>
    </row>
    <row r="30" s="2403" customFormat="1" ht="13.5" customHeight="1" spans="1:11">
      <c r="A30" s="2428" t="s">
        <v>1006</v>
      </c>
      <c r="B30" s="2462" t="s">
        <v>1220</v>
      </c>
      <c r="C30" s="2464">
        <f ca="1">ROUND((C21+C22+C23)*F28,0)</f>
        <v>1</v>
      </c>
      <c r="D30" s="2454"/>
      <c r="E30" s="2455"/>
      <c r="F30" s="2463"/>
      <c r="G30" s="1444"/>
      <c r="H30" s="1560"/>
      <c r="I30" s="1560"/>
      <c r="J30" s="1560"/>
      <c r="K30" s="1561"/>
    </row>
    <row r="31" s="2399" customFormat="1" ht="13.5" customHeight="1" spans="1:11">
      <c r="A31" s="2465" t="s">
        <v>1221</v>
      </c>
      <c r="B31" s="2466" t="s">
        <v>1222</v>
      </c>
      <c r="C31" s="2467">
        <f>ROUND(C4*F31/(1+'数据-取费表'!C42),0)</f>
        <v>0</v>
      </c>
      <c r="D31" s="2468"/>
      <c r="E31" s="2469"/>
      <c r="F31" s="2470">
        <f>'数据-取费表'!B41</f>
        <v>0.056</v>
      </c>
      <c r="G31" s="2471" t="s">
        <v>1223</v>
      </c>
      <c r="H31" s="2472"/>
      <c r="I31" s="2472"/>
      <c r="J31" s="2472"/>
      <c r="K31" s="2488"/>
    </row>
    <row r="32" s="2398" customFormat="1" ht="13.5" customHeight="1" spans="1:11">
      <c r="A32" s="2473" t="s">
        <v>1224</v>
      </c>
      <c r="B32" s="2474"/>
      <c r="C32" s="2475">
        <f ca="1">ROUND((C4-C21-C22-C23-C25-C28-C31)/(1+C24+D25+D28),0)</f>
        <v>-15</v>
      </c>
      <c r="D32" s="2474"/>
      <c r="E32" s="2474"/>
      <c r="F32" s="2474"/>
      <c r="G32" s="2476" t="s">
        <v>1225</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c r="D1" s="1372" t="s">
        <v>124</v>
      </c>
      <c r="E1" s="1373" t="s">
        <v>1227</v>
      </c>
      <c r="F1" s="1374">
        <f ca="1">J53</f>
        <v>0</v>
      </c>
      <c r="G1" s="1375">
        <f>MATCH(C1,'数据-取费表'!A6:A16,0)+5</f>
        <v>8</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2387" t="e">
        <f ca="1">C40+J29+L46</f>
        <v>#DIV/0!</v>
      </c>
      <c r="C2" s="1379" t="s">
        <v>1229</v>
      </c>
      <c r="D2" s="1379"/>
      <c r="E2" s="1381"/>
      <c r="F2" s="1382"/>
      <c r="G2" s="1383"/>
      <c r="H2" s="1384"/>
      <c r="I2" s="1384"/>
      <c r="J2" s="1384"/>
      <c r="K2" s="1546"/>
      <c r="L2" s="1384"/>
      <c r="M2" s="1384"/>
    </row>
    <row r="3" ht="18" customHeight="1" spans="1:13">
      <c r="A3" s="1385" t="s">
        <v>1230</v>
      </c>
      <c r="B3" s="1386">
        <f ca="1">IF(ISERROR(B2*10000/F43),0,ROUND(B2*10000/F43,0))</f>
        <v>0</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0</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ROUND(F6*F8*F7*(1-F9)/10000,0)</f>
        <v>0</v>
      </c>
      <c r="D6" s="1401" t="s">
        <v>1241</v>
      </c>
      <c r="E6" s="1402" t="s">
        <v>1242</v>
      </c>
      <c r="F6" s="1403">
        <f ca="1">INDIRECT("'数据-取费表'!u"&amp;$G$1)</f>
        <v>0</v>
      </c>
      <c r="G6" s="1368"/>
      <c r="H6" s="1398" t="s">
        <v>979</v>
      </c>
      <c r="I6" s="1399" t="s">
        <v>1240</v>
      </c>
      <c r="J6" s="1549">
        <f ca="1">ROUND(M6*M8*M7*(1-M9)/10000,0)</f>
        <v>0</v>
      </c>
      <c r="K6" s="1401" t="s">
        <v>1243</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0</v>
      </c>
      <c r="G7" s="1368"/>
      <c r="H7" s="1409"/>
      <c r="I7" s="1405"/>
      <c r="J7" s="1410"/>
      <c r="K7" s="1407"/>
      <c r="L7" s="1402" t="s">
        <v>1244</v>
      </c>
      <c r="M7" s="1403">
        <f ca="1">F7</f>
        <v>0</v>
      </c>
    </row>
    <row r="8" ht="18" customHeight="1" spans="1:13">
      <c r="A8" s="1409"/>
      <c r="B8" s="1405"/>
      <c r="C8" s="1410"/>
      <c r="D8" s="1407"/>
      <c r="E8" s="1402" t="s">
        <v>1245</v>
      </c>
      <c r="F8" s="1403">
        <f ca="1">INDIRECT("'数据-取费表'!ai"&amp;$G$1)</f>
        <v>0</v>
      </c>
      <c r="G8" s="1368"/>
      <c r="H8" s="1409"/>
      <c r="I8" s="1405"/>
      <c r="J8" s="1410"/>
      <c r="K8" s="1407"/>
      <c r="L8" s="1402" t="s">
        <v>1245</v>
      </c>
      <c r="M8" s="1403">
        <f ca="1">INDIRECT("'数据-取费表'!ai"&amp;$G$1)</f>
        <v>0</v>
      </c>
    </row>
    <row r="9" ht="18" customHeight="1" spans="1:13">
      <c r="A9" s="1409"/>
      <c r="B9" s="1411"/>
      <c r="C9" s="1410"/>
      <c r="D9" s="1407"/>
      <c r="E9" s="1402" t="s">
        <v>1246</v>
      </c>
      <c r="F9" s="1412">
        <f ca="1">INDIRECT("'数据-取费表'!w"&amp;$G$1)</f>
        <v>0</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0</v>
      </c>
      <c r="D10" s="1414" t="s">
        <v>1248</v>
      </c>
      <c r="E10" s="1415" t="s">
        <v>1249</v>
      </c>
      <c r="F10" s="1416"/>
      <c r="G10" s="1368"/>
      <c r="H10" s="1398" t="s">
        <v>983</v>
      </c>
      <c r="I10" s="1413" t="s">
        <v>1247</v>
      </c>
      <c r="J10" s="1549">
        <f ca="1">ROUND(IF(M10="押一",J6/12*M11,IF(M10="押二",J6/12*2*M11,IF(M10="押三",J6/12*3*M11,J11*M11))),0)</f>
        <v>0</v>
      </c>
      <c r="K10" s="1414" t="s">
        <v>1248</v>
      </c>
      <c r="L10" s="1415" t="s">
        <v>1249</v>
      </c>
      <c r="M10" s="1416"/>
    </row>
    <row r="11" ht="18" customHeight="1" spans="1:13">
      <c r="A11" s="1417"/>
      <c r="B11" s="1418" t="s">
        <v>1250</v>
      </c>
      <c r="C11" s="1419"/>
      <c r="D11" s="2388"/>
      <c r="E11" s="1415" t="s">
        <v>1251</v>
      </c>
      <c r="F11" s="1420">
        <f ca="1">'数据-取费表'!B39</f>
        <v>0.015</v>
      </c>
      <c r="G11" s="1368"/>
      <c r="H11" s="1421"/>
      <c r="I11" s="1418" t="s">
        <v>1250</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0</v>
      </c>
      <c r="D13" s="1431" t="s">
        <v>1254</v>
      </c>
      <c r="E13" s="1431" t="s">
        <v>1255</v>
      </c>
      <c r="F13" s="1432">
        <f ca="1">INDIRECT("'数据-取费表'!y"&amp;$G$1)</f>
        <v>0</v>
      </c>
      <c r="G13" s="1368"/>
      <c r="H13" s="1428">
        <v>2</v>
      </c>
      <c r="I13" s="1429" t="s">
        <v>1253</v>
      </c>
      <c r="J13" s="1556">
        <f ca="1">ROUND(J14*J15,0)</f>
        <v>0</v>
      </c>
      <c r="K13" s="1454" t="s">
        <v>1254</v>
      </c>
      <c r="L13" s="1557"/>
      <c r="M13" s="1558"/>
    </row>
    <row r="14" ht="18" customHeight="1" spans="1:13">
      <c r="A14" s="1433" t="s">
        <v>1002</v>
      </c>
      <c r="B14" s="1402" t="s">
        <v>1256</v>
      </c>
      <c r="C14" s="1434">
        <f ca="1">INDIRECT("'数据-取费表'!m"&amp;$G$1)+INDIRECT("'数据-取费表'!t"&amp;$G$1)</f>
        <v>0</v>
      </c>
      <c r="D14" s="1435" t="s">
        <v>1257</v>
      </c>
      <c r="E14" s="1436"/>
      <c r="F14" s="1437"/>
      <c r="G14" s="1368"/>
      <c r="H14" s="1433" t="s">
        <v>979</v>
      </c>
      <c r="I14" s="1402" t="s">
        <v>1258</v>
      </c>
      <c r="J14" s="643">
        <f ca="1">C29</f>
        <v>0</v>
      </c>
      <c r="K14" s="1559"/>
      <c r="L14" s="1560"/>
      <c r="M14" s="1561"/>
    </row>
    <row r="15" s="1367" customFormat="1" ht="18" customHeight="1" spans="1:37">
      <c r="A15" s="1433" t="s">
        <v>1006</v>
      </c>
      <c r="B15" s="1402" t="s">
        <v>1187</v>
      </c>
      <c r="C15" s="643">
        <f ca="1">ROUND(C14*F15,0)</f>
        <v>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ROUND(INDIRECT("'数据-取费表'!m"&amp;$G$1)*F16,0)</f>
        <v>0</v>
      </c>
      <c r="D16" s="1402" t="s">
        <v>1259</v>
      </c>
      <c r="E16" s="1402" t="s">
        <v>1260</v>
      </c>
      <c r="F16" s="1442">
        <f ca="1">IF(INDIRECT("'数据-取费表'!c"&amp;$G$1)="住宅",'数据-取费表'!B34,0)</f>
        <v>0</v>
      </c>
      <c r="G16" s="1368"/>
      <c r="H16" s="1428" t="s">
        <v>1261</v>
      </c>
      <c r="I16" s="1429" t="s">
        <v>1262</v>
      </c>
      <c r="J16" s="1430">
        <f ca="1">ROUND(J17+J22+J23+J24,0)</f>
        <v>0</v>
      </c>
      <c r="K16" s="1454" t="s">
        <v>1263</v>
      </c>
      <c r="L16" s="1455"/>
      <c r="M16" s="1397"/>
    </row>
    <row r="17" s="1367" customFormat="1" ht="18" customHeight="1" spans="1:37">
      <c r="A17" s="1433" t="s">
        <v>1264</v>
      </c>
      <c r="B17" s="1402" t="s">
        <v>1265</v>
      </c>
      <c r="C17" s="643">
        <f ca="1">ROUND(F17*(F43+INDIRECT("'数据-取费表'!S"&amp;$G$1))/10000,0)</f>
        <v>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ROUND(IF(AND(项目基本情况!B11="自然人",项目基本情况!B10="北京市"),J6*M17/(1+'数据-取费表'!C42),J18+J19+J20),2)</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0</v>
      </c>
      <c r="D18" s="1402" t="s">
        <v>1259</v>
      </c>
      <c r="E18" s="1402" t="s">
        <v>1260</v>
      </c>
      <c r="F18" s="1442">
        <f>'数据-取费表'!B36</f>
        <v>0.015</v>
      </c>
      <c r="G18" s="1440"/>
      <c r="H18" s="1433" t="s">
        <v>1002</v>
      </c>
      <c r="I18" s="1402" t="s">
        <v>1272</v>
      </c>
      <c r="J18" s="643">
        <f ca="1">ROUND(J6*M18/(1+'数据-取费表'!C42),2)</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0</v>
      </c>
      <c r="D19" s="1444" t="s">
        <v>1275</v>
      </c>
      <c r="E19" s="645"/>
      <c r="F19" s="1443"/>
      <c r="G19" s="1368"/>
      <c r="H19" s="1433" t="s">
        <v>1006</v>
      </c>
      <c r="I19" s="1402" t="s">
        <v>1276</v>
      </c>
      <c r="J19" s="643">
        <f ca="1">IF(K19="按租金收入计税",ROUND(J6*M19/(1+'数据-取费表'!C42),2),ROUND(C29*M19*0.7,2))</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0</v>
      </c>
      <c r="D20" s="1445" t="s">
        <v>1279</v>
      </c>
      <c r="E20" s="1402" t="s">
        <v>1260</v>
      </c>
      <c r="F20" s="1442">
        <f>'数据-取费表'!B37</f>
        <v>0.02</v>
      </c>
      <c r="G20" s="1440"/>
      <c r="H20" s="1433" t="s">
        <v>1009</v>
      </c>
      <c r="I20" s="1401" t="s">
        <v>1280</v>
      </c>
      <c r="J20" s="1463">
        <f ca="1">ROUND(M20*M21/10000,2)</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ROUND(J14*M22,2)</f>
        <v>0</v>
      </c>
      <c r="K22" s="1458" t="s">
        <v>1289</v>
      </c>
      <c r="L22" s="1402" t="s">
        <v>1260</v>
      </c>
      <c r="M22" s="1470">
        <f ca="1">INDIRECT("'数据-取费表'!Ak"&amp;$G$1)</f>
        <v>0</v>
      </c>
    </row>
    <row r="23" s="1367" customFormat="1" ht="18" customHeight="1" spans="1:37">
      <c r="A23" s="1433" t="s">
        <v>1002</v>
      </c>
      <c r="B23" s="1402" t="s">
        <v>1290</v>
      </c>
      <c r="C23" s="643">
        <f ca="1">IF('数据-取费表'!B22&lt;=1,ROUND(C19*F24*F23/2,0)+ROUND(C20*F24*F23/2,0),ROUND(C19*(POWER((1+F24),F23/2)-1),0)+ROUND(C20*(POWER((1+F24),F23/2)-1),0))</f>
        <v>0</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ROUND(J13*M23,2)</f>
        <v>0</v>
      </c>
      <c r="K23" s="1458" t="s">
        <v>1293</v>
      </c>
      <c r="L23" s="1402" t="s">
        <v>1260</v>
      </c>
      <c r="M23" s="1471">
        <f ca="1">INDIRECT("'数据-取费表'!Al"&amp;$G$1)</f>
        <v>0</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ROUND(J5*M24,2)</f>
        <v>0</v>
      </c>
      <c r="K24" s="1451" t="s">
        <v>1296</v>
      </c>
      <c r="L24" s="1426" t="s">
        <v>1260</v>
      </c>
      <c r="M24" s="1427">
        <f ca="1">INDIRECT("'数据-取费表'!Am"&amp;$G$1)</f>
        <v>0</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24" customHeight="1" spans="1:13">
      <c r="A25" s="1433" t="s">
        <v>1035</v>
      </c>
      <c r="B25" s="1402" t="s">
        <v>1297</v>
      </c>
      <c r="C25" s="643"/>
      <c r="D25" s="1444" t="s">
        <v>1298</v>
      </c>
      <c r="E25" s="645"/>
      <c r="F25" s="1443"/>
      <c r="G25" s="1368"/>
      <c r="H25" s="1428" t="s">
        <v>1299</v>
      </c>
      <c r="I25" s="1472" t="s">
        <v>1300</v>
      </c>
      <c r="J25" s="1430">
        <f ca="1">J5-J16</f>
        <v>0</v>
      </c>
      <c r="K25" s="1473" t="s">
        <v>1301</v>
      </c>
      <c r="L25" s="1474"/>
      <c r="M25" s="1475"/>
    </row>
    <row r="26" spans="1:13">
      <c r="A26" s="1433" t="s">
        <v>1002</v>
      </c>
      <c r="B26" s="1402" t="s">
        <v>1302</v>
      </c>
      <c r="C26" s="643">
        <f ca="1">ROUND((C19+C20)*F26,0)</f>
        <v>0</v>
      </c>
      <c r="D26" s="1445" t="s">
        <v>1303</v>
      </c>
      <c r="E26" s="1415" t="s">
        <v>1304</v>
      </c>
      <c r="F26" s="1412">
        <f ca="1">INDIRECT("'数据-取费表'!q"&amp;$G$1)</f>
        <v>0</v>
      </c>
      <c r="G26" s="1368"/>
      <c r="H26" s="1392" t="s">
        <v>1305</v>
      </c>
      <c r="I26" s="1393" t="s">
        <v>1306</v>
      </c>
      <c r="J26" s="1549">
        <f ca="1">IF(J5&lt;&gt;0,ROUND(J25*(1-((1+M28)/(1+M26))^M27)/(M26-M28),0),0)</f>
        <v>0</v>
      </c>
      <c r="K26" s="1464" t="s">
        <v>1307</v>
      </c>
      <c r="L26" s="1402" t="s">
        <v>1308</v>
      </c>
      <c r="M26" s="1412">
        <f ca="1">INDIRECT("'数据-取费表'!I"&amp;$G$1)</f>
        <v>0</v>
      </c>
    </row>
    <row r="27" ht="18" customHeight="1" spans="1:13">
      <c r="A27" s="1433" t="s">
        <v>1006</v>
      </c>
      <c r="B27" s="1402" t="s">
        <v>1309</v>
      </c>
      <c r="C27" s="643">
        <f ca="1">ROUND(F21*F26,4)</f>
        <v>0</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0</v>
      </c>
      <c r="D29" s="1451"/>
      <c r="E29" s="1426"/>
      <c r="F29" s="1452"/>
      <c r="G29" s="1440"/>
      <c r="H29" s="1453" t="s">
        <v>1317</v>
      </c>
      <c r="I29" s="1483" t="s">
        <v>1318</v>
      </c>
      <c r="J29" s="1484">
        <f ca="1">ROUND(J26/(1+F40)^F41,0)</f>
        <v>0</v>
      </c>
      <c r="K29" s="1485" t="s">
        <v>1319</v>
      </c>
      <c r="L29" s="1486"/>
      <c r="M29" s="1487">
        <f ca="1">INDIRECT("'数据-取费表'!k"&amp;$G$1)</f>
        <v>0</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0</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ROUND(IF(AND(项目基本情况!B11="自然人",项目基本情况!B10="北京市"),C6*F31/(1+'数据-取费表'!C42),C32+C33+C34),2)</f>
        <v>0</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IF(项目基本情况!B11="自然人","——",ROUND(C6*F32/(1+'数据-取费表'!C42),2))</f>
        <v>0</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IF(项目基本情况!B11="自然人","——",IF(D33="按租金收入计税",ROUND(C6*F33/(1+'数据-取费表'!C42),2),IF(D33="按房产原值计税",ROUND(C29*F33*0.7,2),INDIRECT("'数据-取费表'!Aj"&amp;$G$1))))</f>
        <v>0</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IF(项目基本情况!B11="自然人","——",ROUND(F34*F35/10000,2))</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ROUND(C29*F36,2)</f>
        <v>0</v>
      </c>
      <c r="D36" s="1458" t="s">
        <v>1321</v>
      </c>
      <c r="E36" s="1402" t="s">
        <v>1260</v>
      </c>
      <c r="F36" s="1470">
        <f ca="1">INDIRECT("'数据-取费表'!Ak"&amp;$G$1)</f>
        <v>0</v>
      </c>
      <c r="G36" s="1368"/>
      <c r="H36" s="1462"/>
      <c r="I36" s="1567"/>
      <c r="J36" s="1568"/>
      <c r="K36" s="1575"/>
      <c r="L36" s="1462"/>
      <c r="M36" s="1462"/>
    </row>
    <row r="37" ht="18" customHeight="1" spans="1:13">
      <c r="A37" s="1433" t="s">
        <v>1028</v>
      </c>
      <c r="B37" s="1402" t="s">
        <v>1292</v>
      </c>
      <c r="C37" s="643">
        <f ca="1">ROUND(C13*F37,2)</f>
        <v>0</v>
      </c>
      <c r="D37" s="1458" t="s">
        <v>1293</v>
      </c>
      <c r="E37" s="1402" t="s">
        <v>1260</v>
      </c>
      <c r="F37" s="1471">
        <f ca="1">INDIRECT("'数据-取费表'!Al"&amp;$G$1)</f>
        <v>0</v>
      </c>
      <c r="G37" s="1368"/>
      <c r="H37" s="1462"/>
      <c r="I37" s="1567"/>
      <c r="J37" s="1568"/>
      <c r="K37" s="1575"/>
      <c r="L37" s="1462"/>
      <c r="M37" s="1462"/>
    </row>
    <row r="38" ht="18" customHeight="1" spans="1:13">
      <c r="A38" s="1441" t="s">
        <v>1031</v>
      </c>
      <c r="B38" s="1426" t="s">
        <v>1278</v>
      </c>
      <c r="C38" s="1450">
        <f ca="1">ROUND(C5*F38,2)</f>
        <v>0</v>
      </c>
      <c r="D38" s="1451" t="s">
        <v>1296</v>
      </c>
      <c r="E38" s="1426" t="s">
        <v>1260</v>
      </c>
      <c r="F38" s="1427">
        <f ca="1">INDIRECT("'数据-取费表'!Am"&amp;$G$1)</f>
        <v>0</v>
      </c>
      <c r="G38" s="1368"/>
      <c r="H38" s="1462"/>
      <c r="I38" s="1567"/>
      <c r="J38" s="1568"/>
      <c r="K38" s="1576"/>
      <c r="L38" s="1462"/>
      <c r="M38" s="1462"/>
    </row>
    <row r="39" ht="24.6" customHeight="1" spans="1:13">
      <c r="A39" s="1428" t="s">
        <v>1299</v>
      </c>
      <c r="B39" s="1472" t="s">
        <v>1300</v>
      </c>
      <c r="C39" s="1430">
        <f ca="1">C5-C30</f>
        <v>0</v>
      </c>
      <c r="D39" s="1473" t="s">
        <v>1301</v>
      </c>
      <c r="E39" s="1474"/>
      <c r="F39" s="1475"/>
      <c r="G39" s="1368"/>
      <c r="H39" s="1462"/>
      <c r="I39" s="1567"/>
      <c r="J39" s="1568"/>
      <c r="K39" s="1576"/>
      <c r="L39" s="1462"/>
      <c r="M39" s="1462"/>
    </row>
    <row r="40" ht="18" customHeight="1" spans="1:13">
      <c r="A40" s="1392" t="s">
        <v>1305</v>
      </c>
      <c r="B40" s="1393" t="s">
        <v>1322</v>
      </c>
      <c r="C40" s="1549" t="e">
        <f ca="1">ROUND(C39*(1-((1+F42)/(1+F40))^F41)/(F40-F42),0)</f>
        <v>#DIV/0!</v>
      </c>
      <c r="D40" s="1464" t="s">
        <v>1307</v>
      </c>
      <c r="E40" s="1402" t="s">
        <v>1308</v>
      </c>
      <c r="F40" s="1412">
        <f ca="1">INDIRECT("'数据-取费表'!I"&amp;$G$1)</f>
        <v>0</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0</v>
      </c>
      <c r="G41" s="1368"/>
      <c r="H41" s="1481"/>
      <c r="I41" s="1567"/>
      <c r="J41" s="1568"/>
      <c r="K41" s="1575"/>
      <c r="L41" s="1481"/>
      <c r="M41" s="1481"/>
    </row>
    <row r="42" ht="18" customHeight="1" spans="1:13">
      <c r="A42" s="1417"/>
      <c r="B42" s="1482"/>
      <c r="C42" s="1430"/>
      <c r="D42" s="1468"/>
      <c r="E42" s="1402" t="s">
        <v>1315</v>
      </c>
      <c r="F42" s="1412">
        <f ca="1">INDIRECT("'数据-取费表'!v"&amp;$G$1)</f>
        <v>0</v>
      </c>
      <c r="G42" s="1368"/>
      <c r="H42" s="1481"/>
      <c r="I42" s="1567"/>
      <c r="J42" s="1568"/>
      <c r="K42" s="1575"/>
      <c r="L42" s="1481"/>
      <c r="M42" s="1481"/>
    </row>
    <row r="43" ht="18" customHeight="1" spans="1:13">
      <c r="A43" s="1453" t="s">
        <v>1317</v>
      </c>
      <c r="B43" s="1483" t="s">
        <v>1323</v>
      </c>
      <c r="C43" s="1484" t="e">
        <f ca="1">ROUND(C40*10000/F43,0)</f>
        <v>#DIV/0!</v>
      </c>
      <c r="D43" s="1485" t="s">
        <v>1324</v>
      </c>
      <c r="E43" s="1486" t="s">
        <v>1325</v>
      </c>
      <c r="F43" s="1487">
        <f ca="1">INDIRECT("'数据-取费表'!k"&amp;$G$1)</f>
        <v>0</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88"/>
      <c r="B45" s="1488"/>
      <c r="C45" s="1489"/>
      <c r="D45" s="1488"/>
      <c r="E45" s="1488"/>
      <c r="F45" s="1488"/>
      <c r="J45" s="678"/>
      <c r="O45" s="2394" t="s">
        <v>1326</v>
      </c>
      <c r="P45" s="1477"/>
      <c r="Q45" s="1477"/>
      <c r="R45" s="1477"/>
    </row>
    <row r="46" s="1368" customFormat="1" ht="13.5" spans="1:18">
      <c r="A46" s="1493" t="s">
        <v>1327</v>
      </c>
      <c r="C46" s="1494" t="e">
        <f ca="1">C68-C40</f>
        <v>#DIV/0!</v>
      </c>
      <c r="D46" s="1495" t="str">
        <f>C2</f>
        <v>万元</v>
      </c>
      <c r="E46" s="1488"/>
      <c r="F46" s="1488"/>
      <c r="I46" s="1579" t="s">
        <v>1328</v>
      </c>
      <c r="J46" s="1580"/>
      <c r="K46" s="1581"/>
      <c r="L46" s="1582" t="e">
        <f ca="1">IF(M47="住宅",0,IF(L48&gt;J51,L60,J60))</f>
        <v>#DIV/0!</v>
      </c>
      <c r="O46" s="1583" t="s">
        <v>1329</v>
      </c>
      <c r="P46" s="1584" t="s">
        <v>1330</v>
      </c>
      <c r="Q46" s="1631" t="s">
        <v>1331</v>
      </c>
      <c r="R46" s="1631" t="s">
        <v>1332</v>
      </c>
    </row>
    <row r="47" s="1368" customFormat="1" ht="13.5" spans="1:18">
      <c r="A47" s="1496" t="s">
        <v>1233</v>
      </c>
      <c r="B47" s="1497" t="s">
        <v>1234</v>
      </c>
      <c r="C47" s="2389" t="s">
        <v>1235</v>
      </c>
      <c r="D47" s="1497" t="s">
        <v>1236</v>
      </c>
      <c r="E47" s="1498" t="s">
        <v>1237</v>
      </c>
      <c r="F47" s="636"/>
      <c r="G47" s="1499"/>
      <c r="I47" s="1585" t="s">
        <v>1333</v>
      </c>
      <c r="J47" s="1586"/>
      <c r="K47" s="1587" t="s">
        <v>1334</v>
      </c>
      <c r="L47" s="1588">
        <f ca="1">INDIRECT("'数据-取费表'!d"&amp;$G$1)</f>
        <v>0</v>
      </c>
      <c r="M47" s="1589" t="str">
        <f>IF(ISNUMBER(FIND("住宅",C1)),"住宅","非住宅")</f>
        <v>非住宅</v>
      </c>
      <c r="O47" s="1590" t="s">
        <v>1084</v>
      </c>
      <c r="P47" s="1591" t="s">
        <v>1335</v>
      </c>
      <c r="Q47" s="1632" t="e">
        <f ca="1">C40+J29</f>
        <v>#DIV/0!</v>
      </c>
      <c r="R47" s="1632" t="s">
        <v>1336</v>
      </c>
    </row>
    <row r="48" s="1368" customFormat="1" ht="26.25" spans="1:18">
      <c r="A48" s="1500" t="s">
        <v>1337</v>
      </c>
      <c r="B48" s="1393" t="s">
        <v>1238</v>
      </c>
      <c r="C48" s="644">
        <f ca="1">C49+C53+C55</f>
        <v>0</v>
      </c>
      <c r="D48" s="1501"/>
      <c r="E48" s="1502"/>
      <c r="F48" s="1503"/>
      <c r="G48" s="1499"/>
      <c r="H48" s="1504"/>
      <c r="I48" s="1592" t="s">
        <v>1338</v>
      </c>
      <c r="J48" s="1593"/>
      <c r="K48" s="1594" t="s">
        <v>1339</v>
      </c>
      <c r="L48" s="1595">
        <f ca="1">INDIRECT("'数据-取费表'!f"&amp;$G$1)</f>
        <v>0</v>
      </c>
      <c r="O48" s="1590" t="s">
        <v>1087</v>
      </c>
      <c r="P48" s="1591" t="s">
        <v>1340</v>
      </c>
      <c r="Q48" s="1632" t="e">
        <f ca="1">J60</f>
        <v>#DIV/0!</v>
      </c>
      <c r="R48" s="1632" t="s">
        <v>1341</v>
      </c>
    </row>
    <row r="49" s="1368" customFormat="1" ht="13.5" spans="1:18">
      <c r="A49" s="1505" t="s">
        <v>1342</v>
      </c>
      <c r="B49" s="1506" t="s">
        <v>1343</v>
      </c>
      <c r="C49" s="1507">
        <f ca="1">ROUND(F49*F51*F50*(1-F52)/10000,0)</f>
        <v>0</v>
      </c>
      <c r="D49" s="1508" t="s">
        <v>1243</v>
      </c>
      <c r="E49" s="1509" t="s">
        <v>1344</v>
      </c>
      <c r="F49" s="1510"/>
      <c r="G49" s="1511"/>
      <c r="H49" s="1504"/>
      <c r="I49" s="1592" t="s">
        <v>1345</v>
      </c>
      <c r="J49" s="1596"/>
      <c r="K49" s="1594" t="s">
        <v>1346</v>
      </c>
      <c r="L49" s="1597"/>
      <c r="O49" s="1598" t="s">
        <v>1347</v>
      </c>
      <c r="P49" s="1591" t="s">
        <v>1348</v>
      </c>
      <c r="Q49" s="1632">
        <f ca="1">C29</f>
        <v>0</v>
      </c>
      <c r="R49" s="1632" t="s">
        <v>1336</v>
      </c>
    </row>
    <row r="50" s="1368" customFormat="1" ht="13.5" spans="1:18">
      <c r="A50" s="1512"/>
      <c r="B50" s="1513"/>
      <c r="C50" s="2390"/>
      <c r="D50" s="1515"/>
      <c r="E50" s="1516" t="s">
        <v>1244</v>
      </c>
      <c r="F50" s="1517">
        <f ca="1">F7</f>
        <v>0</v>
      </c>
      <c r="H50" s="1504"/>
      <c r="I50" s="1592" t="s">
        <v>1349</v>
      </c>
      <c r="J50" s="1599">
        <f>SUMPRODUCT((I63:I65=J47)*(J62:L62=J48)*(J63:L65))</f>
        <v>0</v>
      </c>
      <c r="K50" s="1594" t="s">
        <v>1350</v>
      </c>
      <c r="L50" s="1597"/>
      <c r="M50" s="1600"/>
      <c r="O50" s="1598" t="s">
        <v>1351</v>
      </c>
      <c r="P50" s="1591" t="s">
        <v>1352</v>
      </c>
      <c r="Q50" s="1633" t="e">
        <f ca="1">J58</f>
        <v>#DIV/0!</v>
      </c>
      <c r="R50" s="1632"/>
    </row>
    <row r="51" s="1368" customFormat="1" ht="13.5" spans="1:18">
      <c r="A51" s="1518"/>
      <c r="B51" s="1513"/>
      <c r="C51" s="1514"/>
      <c r="D51" s="1515"/>
      <c r="E51" s="1519" t="s">
        <v>1245</v>
      </c>
      <c r="F51" s="1403">
        <f ca="1">F8</f>
        <v>0</v>
      </c>
      <c r="I51" s="1601" t="s">
        <v>1353</v>
      </c>
      <c r="J51" s="1602">
        <f>IF(J49="",J50,J49+J50-YEAR('数据-取费表'!B2))</f>
        <v>0</v>
      </c>
      <c r="K51" s="1603" t="s">
        <v>1354</v>
      </c>
      <c r="L51" s="1604">
        <f ca="1">ROUND(-PV(INDIRECT("'数据-取费表'!h"&amp;$G$1),J51,(C39-C13*C76),0),0)</f>
        <v>0</v>
      </c>
      <c r="M51" s="1605"/>
      <c r="O51" s="1598" t="s">
        <v>1355</v>
      </c>
      <c r="P51" s="1591" t="s">
        <v>1356</v>
      </c>
      <c r="Q51" s="1633">
        <f>J52</f>
        <v>0</v>
      </c>
      <c r="R51" s="1632"/>
    </row>
    <row r="52" s="1368" customFormat="1" ht="13.5" spans="1:18">
      <c r="A52" s="1518"/>
      <c r="B52" s="1513"/>
      <c r="C52" s="1514"/>
      <c r="D52" s="1515"/>
      <c r="E52" s="1519" t="s">
        <v>1246</v>
      </c>
      <c r="F52" s="1520"/>
      <c r="I52" s="1606" t="s">
        <v>1357</v>
      </c>
      <c r="J52" s="1607"/>
      <c r="K52" s="1606" t="s">
        <v>1358</v>
      </c>
      <c r="L52" s="1607"/>
      <c r="O52" s="1598" t="s">
        <v>1359</v>
      </c>
      <c r="P52" s="1591" t="s">
        <v>1360</v>
      </c>
      <c r="Q52" s="1632">
        <f ca="1">J53</f>
        <v>0</v>
      </c>
      <c r="R52" s="1632" t="s">
        <v>1361</v>
      </c>
    </row>
    <row r="53" s="1368" customFormat="1" ht="24.75" spans="1:18">
      <c r="A53" s="2391" t="s">
        <v>1362</v>
      </c>
      <c r="B53" s="2392" t="s">
        <v>1247</v>
      </c>
      <c r="C53" s="642">
        <f ca="1">ROUND(IF(F53="押一",C49/12*F11,IF(F53="押二",C49/12*2*F11,IF(F53="押三",C49/12*3*F11,C54*F11))),0)</f>
        <v>0</v>
      </c>
      <c r="D53" s="1414" t="s">
        <v>1248</v>
      </c>
      <c r="E53" s="1415" t="s">
        <v>1249</v>
      </c>
      <c r="F53" s="1416"/>
      <c r="I53" s="1608" t="s">
        <v>1363</v>
      </c>
      <c r="J53" s="1609">
        <f ca="1">IF(M47="住宅",IF(D1="——",MAX(J51,L48),MAX(J51,L48-'数据-取费表'!B24)),IF(D1="——",MIN(J51,L48),MIN(J51,L48-'数据-取费表'!B24)))</f>
        <v>0</v>
      </c>
      <c r="K53" s="1610" t="s">
        <v>1364</v>
      </c>
      <c r="L53" s="1611"/>
      <c r="O53" s="1590" t="s">
        <v>1189</v>
      </c>
      <c r="P53" s="1591" t="s">
        <v>1365</v>
      </c>
      <c r="Q53" s="1632" t="e">
        <f ca="1">Q47+Q48</f>
        <v>#DIV/0!</v>
      </c>
      <c r="R53" s="1632" t="s">
        <v>1366</v>
      </c>
    </row>
    <row r="54" s="1368" customFormat="1" ht="13.5" spans="1:18">
      <c r="A54" s="2393"/>
      <c r="B54" s="1418" t="s">
        <v>1250</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#DIV/0!</v>
      </c>
      <c r="K55" s="1617" t="s">
        <v>1369</v>
      </c>
      <c r="L55" s="1618"/>
      <c r="O55" s="1583" t="s">
        <v>1329</v>
      </c>
      <c r="P55" s="1584" t="s">
        <v>1330</v>
      </c>
      <c r="Q55" s="1631" t="s">
        <v>1331</v>
      </c>
      <c r="R55" s="1631" t="s">
        <v>1332</v>
      </c>
    </row>
    <row r="56" s="1368" customFormat="1" ht="25.5" spans="1:18">
      <c r="A56" s="1525">
        <v>2</v>
      </c>
      <c r="B56" s="1526" t="s">
        <v>1253</v>
      </c>
      <c r="C56" s="429">
        <f ca="1">C13</f>
        <v>0</v>
      </c>
      <c r="D56" s="1527"/>
      <c r="E56" s="1528"/>
      <c r="F56" s="1524"/>
      <c r="I56" s="1619" t="s">
        <v>1370</v>
      </c>
      <c r="J56" s="1620"/>
      <c r="K56" s="1592" t="s">
        <v>1371</v>
      </c>
      <c r="L56" s="1595">
        <f ca="1">IF(L48&lt;J51,"——",L48-J53)</f>
        <v>0</v>
      </c>
      <c r="O56" s="1590" t="s">
        <v>1084</v>
      </c>
      <c r="P56" s="1591" t="s">
        <v>1335</v>
      </c>
      <c r="Q56" s="1632" t="e">
        <f ca="1">C40+J29</f>
        <v>#DIV/0!</v>
      </c>
      <c r="R56" s="1632" t="s">
        <v>1336</v>
      </c>
    </row>
    <row r="57" s="1368" customFormat="1" ht="24.75" spans="1:18">
      <c r="A57" s="1529"/>
      <c r="B57" s="1530" t="s">
        <v>1316</v>
      </c>
      <c r="C57" s="439">
        <f ca="1">C29</f>
        <v>0</v>
      </c>
      <c r="D57" s="1531"/>
      <c r="E57" s="1532"/>
      <c r="F57" s="1533"/>
      <c r="I57" s="1621" t="s">
        <v>1372</v>
      </c>
      <c r="J57" s="1622">
        <f ca="1">IF(OR(M47="住宅",J51&lt;L48,J56="是"),"——",J51-L48)</f>
        <v>0</v>
      </c>
      <c r="K57" s="1592" t="s">
        <v>1373</v>
      </c>
      <c r="L57" s="1595">
        <f ca="1">IF(L48&lt;J51,"——",IF(L55="比较法",L49,IF(L55="基准地价",L50,L51)))</f>
        <v>0</v>
      </c>
      <c r="O57" s="1590" t="s">
        <v>1087</v>
      </c>
      <c r="P57" s="1591" t="s">
        <v>1374</v>
      </c>
      <c r="Q57" s="1632" t="e">
        <f ca="1">L60</f>
        <v>#DIV/0!</v>
      </c>
      <c r="R57" s="1632" t="s">
        <v>1375</v>
      </c>
    </row>
    <row r="58" s="1368" customFormat="1" ht="24.75" spans="1:18">
      <c r="A58" s="1534" t="s">
        <v>1261</v>
      </c>
      <c r="B58" s="1526" t="s">
        <v>1262</v>
      </c>
      <c r="C58" s="642">
        <f ca="1">ROUND(C59+C64+C65+C66,0)</f>
        <v>0</v>
      </c>
      <c r="D58" s="1535" t="s">
        <v>1263</v>
      </c>
      <c r="E58" s="1536"/>
      <c r="F58" s="1503"/>
      <c r="I58" s="1621" t="s">
        <v>1376</v>
      </c>
      <c r="J58" s="1623" t="e">
        <f ca="1">IF(J55&lt;0.4,0.4,J55)</f>
        <v>#DIV/0!</v>
      </c>
      <c r="K58" s="1603" t="s">
        <v>1377</v>
      </c>
      <c r="L58" s="1595" t="e">
        <f ca="1">ROUND(POWER(1+L52,L47-L48)*(POWER(1+L52,L48)-1)/(POWER(1+L52,L47)-1),4)</f>
        <v>#DIV/0!</v>
      </c>
      <c r="O58" s="1598" t="s">
        <v>1347</v>
      </c>
      <c r="P58" s="1591" t="s">
        <v>1378</v>
      </c>
      <c r="Q58" s="1632">
        <f>IF(L55="比较法",L49,IF(L55="基准地价",L50,0))</f>
        <v>0</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e">
        <f ca="1">IF(OR(M47="住宅",J51&lt;L48,J56="是"),"——",ROUND(C29*J58,0))</f>
        <v>#DIV/0!</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98" t="s">
        <v>1351</v>
      </c>
      <c r="P59" s="1591" t="s">
        <v>1380</v>
      </c>
      <c r="Q59" s="1633">
        <f>L52</f>
        <v>0</v>
      </c>
      <c r="R59" s="1632"/>
    </row>
    <row r="60" s="1368" customFormat="1" ht="17.25" spans="1:18">
      <c r="A60" s="1433" t="s">
        <v>1002</v>
      </c>
      <c r="B60" s="1530" t="s">
        <v>1272</v>
      </c>
      <c r="C60" s="643">
        <f ca="1">IF(项目基本情况!B11="自然人","——",ROUND(C48*F60/(1+'数据-取费表'!C42),2))</f>
        <v>0</v>
      </c>
      <c r="D60" s="1538" t="s">
        <v>1273</v>
      </c>
      <c r="E60" s="1530" t="s">
        <v>1260</v>
      </c>
      <c r="F60" s="1449">
        <f t="shared" ref="F60:F66" si="0">F32</f>
        <v>0.056</v>
      </c>
      <c r="I60" s="1624" t="s">
        <v>1381</v>
      </c>
      <c r="J60" s="1625" t="e">
        <f ca="1">IF(OR(M47="住宅",J51&lt;L48,J56="是"),"0",ROUND(J59/(1+J52)^J53,0))</f>
        <v>#DIV/0!</v>
      </c>
      <c r="K60" s="1626" t="s">
        <v>1382</v>
      </c>
      <c r="L60" s="1625" t="e">
        <f ca="1">IF(OR(M47="住宅",L48&lt;J51),0,ROUND(L57*(L58/L59-1),0))</f>
        <v>#DIV/0!</v>
      </c>
      <c r="O60" s="1598" t="s">
        <v>1355</v>
      </c>
      <c r="P60" s="1591" t="s">
        <v>1383</v>
      </c>
      <c r="Q60" s="1632" t="e">
        <f ca="1">L58</f>
        <v>#DIV/0!</v>
      </c>
      <c r="R60" s="1632" t="s">
        <v>1384</v>
      </c>
    </row>
    <row r="61" s="1368" customFormat="1" ht="13.5" spans="1:18">
      <c r="A61" s="1433" t="s">
        <v>1006</v>
      </c>
      <c r="B61" s="1530" t="s">
        <v>1276</v>
      </c>
      <c r="C61" s="643">
        <f ca="1">IF(项目基本情况!B11="自然人","——",IF(D61="按租金收入计税",ROUND(C49*F61/(1+'数据-取费表'!C42),2),IF(D61="按房产原值计税",ROUND(C57*F61*0.7,2),INDIRECT("'数据-取费表'!Aj"&amp;$G$1))))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t="e">
        <f ca="1">L59</f>
        <v>#DIV/0!</v>
      </c>
      <c r="R61" s="1632" t="s">
        <v>1385</v>
      </c>
    </row>
    <row r="62" s="1368" customFormat="1" ht="13.5" spans="1:18">
      <c r="A62" s="1433" t="s">
        <v>1009</v>
      </c>
      <c r="B62" s="1539" t="s">
        <v>1280</v>
      </c>
      <c r="C62" s="1463">
        <f ca="1">IF(项目基本情况!B11="自然人","——",ROUND(F62*F63/10000,2))</f>
        <v>0</v>
      </c>
      <c r="D62" s="1540" t="s">
        <v>1281</v>
      </c>
      <c r="E62" s="1530" t="s">
        <v>1282</v>
      </c>
      <c r="F62" s="1448">
        <f t="shared" si="0"/>
        <v>0</v>
      </c>
      <c r="I62" s="1627" t="s">
        <v>1386</v>
      </c>
      <c r="J62" s="1628" t="s">
        <v>1387</v>
      </c>
      <c r="K62" s="1628" t="s">
        <v>1388</v>
      </c>
      <c r="L62" s="1628" t="s">
        <v>1389</v>
      </c>
      <c r="M62" s="1629" t="s">
        <v>1390</v>
      </c>
      <c r="O62" s="1590" t="s">
        <v>1189</v>
      </c>
      <c r="P62" s="1591" t="s">
        <v>1365</v>
      </c>
      <c r="Q62" s="1632" t="e">
        <f ca="1">Q56+Q57</f>
        <v>#DIV/0!</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ROUND(C57*F64,2)</f>
        <v>0</v>
      </c>
      <c r="D64" s="1538" t="s">
        <v>1321</v>
      </c>
      <c r="E64" s="1530" t="s">
        <v>1260</v>
      </c>
      <c r="F64" s="1470">
        <f ca="1" t="shared" si="0"/>
        <v>0</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ROUND(C56*F65,2)</f>
        <v>0</v>
      </c>
      <c r="D65" s="1538" t="s">
        <v>1293</v>
      </c>
      <c r="E65" s="1530" t="s">
        <v>1260</v>
      </c>
      <c r="F65" s="1471">
        <f ca="1" t="shared" si="0"/>
        <v>0</v>
      </c>
      <c r="I65" s="1627" t="s">
        <v>1394</v>
      </c>
      <c r="J65" s="1628">
        <v>40</v>
      </c>
      <c r="K65" s="1628">
        <v>30</v>
      </c>
      <c r="L65" s="1628">
        <v>50</v>
      </c>
      <c r="M65" s="1630">
        <v>0.02</v>
      </c>
      <c r="O65" s="1590" t="s">
        <v>1084</v>
      </c>
      <c r="P65" s="1591" t="s">
        <v>1335</v>
      </c>
      <c r="Q65" s="1632" t="e">
        <f ca="1">C40+J29</f>
        <v>#DIV/0!</v>
      </c>
      <c r="R65" s="1632" t="s">
        <v>1336</v>
      </c>
    </row>
    <row r="66" s="1368" customFormat="1" ht="17.25" spans="1:18">
      <c r="A66" s="1433" t="s">
        <v>1031</v>
      </c>
      <c r="B66" s="1530" t="s">
        <v>1278</v>
      </c>
      <c r="C66" s="643">
        <f ca="1">ROUND(C48*F66,2)</f>
        <v>0</v>
      </c>
      <c r="D66" s="1538" t="s">
        <v>1296</v>
      </c>
      <c r="E66" s="1530" t="s">
        <v>1260</v>
      </c>
      <c r="F66" s="1412">
        <f ca="1" t="shared" si="0"/>
        <v>0</v>
      </c>
      <c r="O66" s="1590" t="s">
        <v>1087</v>
      </c>
      <c r="P66" s="1591" t="s">
        <v>1374</v>
      </c>
      <c r="Q66" s="1632" t="e">
        <f ca="1">L60</f>
        <v>#DIV/0!</v>
      </c>
      <c r="R66" s="1632" t="s">
        <v>1375</v>
      </c>
    </row>
    <row r="67" s="1368" customFormat="1" ht="17.25" spans="1:18">
      <c r="A67" s="1525" t="s">
        <v>1299</v>
      </c>
      <c r="B67" s="1634" t="s">
        <v>1300</v>
      </c>
      <c r="C67" s="642">
        <f ca="1">C48-C58</f>
        <v>0</v>
      </c>
      <c r="D67" s="1537" t="s">
        <v>1301</v>
      </c>
      <c r="E67" s="1635"/>
      <c r="F67" s="1636"/>
      <c r="O67" s="1598" t="s">
        <v>1347</v>
      </c>
      <c r="P67" s="1591" t="s">
        <v>1378</v>
      </c>
      <c r="Q67" s="1657">
        <f ca="1">L51</f>
        <v>0</v>
      </c>
      <c r="R67" s="1632" t="s">
        <v>1395</v>
      </c>
    </row>
    <row r="68" s="1368" customFormat="1" ht="17.25" spans="1:18">
      <c r="A68" s="1637" t="s">
        <v>1305</v>
      </c>
      <c r="B68" s="1638" t="s">
        <v>1322</v>
      </c>
      <c r="C68" s="1549" t="e">
        <f ca="1">ROUND(C67*(1-((1+F70)/(1+F68))^F69)/(F68-F70),0)</f>
        <v>#DIV/0!</v>
      </c>
      <c r="D68" s="1540" t="s">
        <v>1307</v>
      </c>
      <c r="E68" s="1530" t="s">
        <v>1308</v>
      </c>
      <c r="F68" s="1412">
        <f ca="1">F40</f>
        <v>0</v>
      </c>
      <c r="O68" s="1598" t="s">
        <v>1351</v>
      </c>
      <c r="P68" s="1656" t="s">
        <v>1396</v>
      </c>
      <c r="Q68" s="1632">
        <f ca="1">ROUND(Q69-Q70*Q71,0)</f>
        <v>0</v>
      </c>
      <c r="R68" s="1632" t="s">
        <v>1397</v>
      </c>
    </row>
    <row r="69" s="1368" customFormat="1" ht="13.5" spans="1:18">
      <c r="A69" s="1639"/>
      <c r="B69" s="1640"/>
      <c r="C69" s="1410"/>
      <c r="D69" s="1641" t="s">
        <v>1311</v>
      </c>
      <c r="E69" s="1530" t="s">
        <v>1312</v>
      </c>
      <c r="F69" s="1566">
        <f ca="1">F41</f>
        <v>0</v>
      </c>
      <c r="O69" s="1598" t="s">
        <v>1398</v>
      </c>
      <c r="P69" s="1656" t="s">
        <v>1399</v>
      </c>
      <c r="Q69" s="1632">
        <f ca="1">C39</f>
        <v>0</v>
      </c>
      <c r="R69" s="1632" t="s">
        <v>1336</v>
      </c>
    </row>
    <row r="70" s="1368" customFormat="1" ht="13.5" spans="1:18">
      <c r="A70" s="1642"/>
      <c r="B70" s="1643"/>
      <c r="C70" s="1430"/>
      <c r="D70" s="1542"/>
      <c r="E70" s="1530" t="s">
        <v>1315</v>
      </c>
      <c r="F70" s="1520"/>
      <c r="O70" s="1598" t="s">
        <v>1400</v>
      </c>
      <c r="P70" s="1656" t="s">
        <v>1401</v>
      </c>
      <c r="Q70" s="1632">
        <f ca="1">C13</f>
        <v>0</v>
      </c>
      <c r="R70" s="1632" t="s">
        <v>1336</v>
      </c>
    </row>
    <row r="71" s="1368" customFormat="1" ht="13.5" spans="1:18">
      <c r="A71" s="1644" t="s">
        <v>1317</v>
      </c>
      <c r="B71" s="1645" t="s">
        <v>1323</v>
      </c>
      <c r="C71" s="1484" t="e">
        <f ca="1">ROUND(C68*10000/F71,0)</f>
        <v>#DIV/0!</v>
      </c>
      <c r="D71" s="1646" t="s">
        <v>1324</v>
      </c>
      <c r="E71" s="1647" t="s">
        <v>1325</v>
      </c>
      <c r="F71" s="1487">
        <f ca="1">F43</f>
        <v>0</v>
      </c>
      <c r="O71" s="1598" t="s">
        <v>1402</v>
      </c>
      <c r="P71" s="1656" t="s">
        <v>1403</v>
      </c>
      <c r="Q71" s="1633">
        <f ca="1">C76</f>
        <v>0</v>
      </c>
      <c r="R71" s="1632"/>
    </row>
    <row r="72" s="1368" customFormat="1" ht="13.5" spans="2:18">
      <c r="B72" s="678"/>
      <c r="C72" s="678"/>
      <c r="O72" s="1598" t="s">
        <v>1355</v>
      </c>
      <c r="P72" s="1591" t="s">
        <v>1380</v>
      </c>
      <c r="Q72" s="1633">
        <f>L52</f>
        <v>0</v>
      </c>
      <c r="R72" s="1632"/>
    </row>
    <row r="73" ht="17.25" spans="1:18">
      <c r="A73" s="1368"/>
      <c r="B73" s="678"/>
      <c r="C73" s="678"/>
      <c r="D73" s="1368"/>
      <c r="E73" s="1368"/>
      <c r="F73" s="1368"/>
      <c r="O73" s="1598" t="s">
        <v>1359</v>
      </c>
      <c r="P73" s="1591" t="s">
        <v>1383</v>
      </c>
      <c r="Q73" s="1632" t="e">
        <f ca="1">L58</f>
        <v>#DIV/0!</v>
      </c>
      <c r="R73" s="1632" t="s">
        <v>1384</v>
      </c>
    </row>
    <row r="74" ht="13.5" spans="1:18">
      <c r="A74" s="1368"/>
      <c r="B74" s="474" t="s">
        <v>1404</v>
      </c>
      <c r="C74" s="1648"/>
      <c r="D74" s="1368"/>
      <c r="E74" s="1368"/>
      <c r="F74" s="1368"/>
      <c r="O74" s="1598" t="s">
        <v>1405</v>
      </c>
      <c r="P74" s="1591" t="str">
        <f>K59</f>
        <v>建筑物剩余耐用年限下的土地年期修正系数Kn</v>
      </c>
      <c r="Q74" s="1632" t="e">
        <f ca="1">L59</f>
        <v>#DIV/0!</v>
      </c>
      <c r="R74" s="1632" t="s">
        <v>1385</v>
      </c>
    </row>
    <row r="75" ht="13.5" spans="1:18">
      <c r="A75" s="1368"/>
      <c r="B75" s="1649" t="s">
        <v>1406</v>
      </c>
      <c r="C75" s="1650">
        <f ca="1">ROUND(C13*C76,0)</f>
        <v>0</v>
      </c>
      <c r="D75" s="1368"/>
      <c r="E75" s="1368"/>
      <c r="F75" s="1368"/>
      <c r="K75" s="1577"/>
      <c r="L75" s="1368"/>
      <c r="O75" s="1590" t="s">
        <v>1189</v>
      </c>
      <c r="P75" s="1591" t="s">
        <v>1365</v>
      </c>
      <c r="Q75" s="1632" t="e">
        <f ca="1">Q65+Q66</f>
        <v>#DIV/0!</v>
      </c>
      <c r="R75" s="1632" t="s">
        <v>1366</v>
      </c>
    </row>
    <row r="76" spans="2:12">
      <c r="B76" s="1651" t="s">
        <v>1407</v>
      </c>
      <c r="C76" s="1652">
        <f ca="1">INDIRECT("'数据-取费表'!j"&amp;$G$1)</f>
        <v>0</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t="e">
        <f ca="1">1-C80</f>
        <v>#DIV/0!</v>
      </c>
    </row>
    <row r="80" spans="2:3">
      <c r="B80" s="1649" t="s">
        <v>1411</v>
      </c>
      <c r="C80" s="475" t="e">
        <f ca="1">ROUND(C75/C39,3)</f>
        <v>#DIV/0!</v>
      </c>
    </row>
    <row r="81" spans="2:3">
      <c r="B81" s="472" t="s">
        <v>1412</v>
      </c>
      <c r="C81" s="439"/>
    </row>
    <row r="82" spans="2:3">
      <c r="B82" s="474" t="s">
        <v>1163</v>
      </c>
      <c r="C82" s="476" t="e">
        <f ca="1">1-C83</f>
        <v>#DIV/0!</v>
      </c>
    </row>
    <row r="83" spans="2:3">
      <c r="B83" s="474" t="s">
        <v>1164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0" sqref="F50"/>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611</v>
      </c>
      <c r="C1" s="2375" t="s">
        <v>1165</v>
      </c>
      <c r="D1" s="391"/>
      <c r="E1" s="391"/>
      <c r="F1" s="391"/>
      <c r="G1" s="2376">
        <f>MATCH(B1,'数据-取费表'!A6:A16,0)+5</f>
        <v>7</v>
      </c>
      <c r="H1" s="1716" t="str">
        <f>IF(ISERROR(FIND("住宅",B1)),"非住宅","住宅")</f>
        <v>非住宅</v>
      </c>
    </row>
    <row r="2" s="381" customFormat="1" ht="18" customHeight="1" spans="1:7">
      <c r="A2" s="393" t="s">
        <v>1069</v>
      </c>
      <c r="B2" s="2377">
        <f ca="1">ROUND(IF(D2="——",C52/10000,C52/10000-E2),4)</f>
        <v>51.4778</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45156</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403170</v>
      </c>
      <c r="D5" s="403" t="s">
        <v>1076</v>
      </c>
      <c r="E5" s="404" t="s">
        <v>1077</v>
      </c>
      <c r="F5" s="404" t="s">
        <v>974</v>
      </c>
      <c r="G5" s="405"/>
    </row>
    <row r="6" s="383" customFormat="1" ht="13.5" customHeight="1" spans="1:7">
      <c r="A6" s="406" t="s">
        <v>1078</v>
      </c>
      <c r="B6" s="407" t="s">
        <v>1079</v>
      </c>
      <c r="C6" s="408">
        <f>ROUND(基准地价修正!C33*'数据-基础表'!I14,0)</f>
        <v>389025</v>
      </c>
      <c r="D6" s="409"/>
      <c r="E6" s="410"/>
      <c r="F6" s="410"/>
      <c r="G6" s="411"/>
    </row>
    <row r="7" s="383" customFormat="1" ht="13.5" customHeight="1" spans="1:7">
      <c r="A7" s="406" t="s">
        <v>1080</v>
      </c>
      <c r="B7" s="407" t="s">
        <v>1081</v>
      </c>
      <c r="C7" s="412">
        <f>ROUND(C6*F7,0)</f>
        <v>11865</v>
      </c>
      <c r="D7" s="412"/>
      <c r="E7" s="410"/>
      <c r="F7" s="413">
        <f>IF(项目基本情况!B8="出让",0,'数据-取费表'!B48+'数据-取费表'!B49)</f>
        <v>0.0305</v>
      </c>
      <c r="G7" s="411"/>
    </row>
    <row r="8" s="384" customFormat="1" spans="1:7">
      <c r="A8" s="406" t="s">
        <v>1082</v>
      </c>
      <c r="B8" s="407" t="s">
        <v>1083</v>
      </c>
      <c r="C8" s="412">
        <f ca="1">IF(G8="已包含在土地购买价格中",0,C9+C10)</f>
        <v>2280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11.4</v>
      </c>
      <c r="E19" s="403">
        <f>'数据-取费表'!B31</f>
        <v>200</v>
      </c>
      <c r="F19" s="428"/>
      <c r="G19" s="2382" t="s">
        <v>1167</v>
      </c>
    </row>
    <row r="20" s="383" customFormat="1" ht="13.5" customHeight="1" spans="1:7">
      <c r="A20" s="401" t="s">
        <v>1107</v>
      </c>
      <c r="B20" s="402" t="s">
        <v>1108</v>
      </c>
      <c r="C20" s="429">
        <f ca="1">ROUND((C5+C19)*F20,0)</f>
        <v>8063</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14048</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13909</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139</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41123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41123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504548</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20745</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1080</v>
      </c>
      <c r="B35" s="407" t="s">
        <v>1138</v>
      </c>
      <c r="C35" s="412">
        <f ca="1">ROUND(C34*F35,0)</f>
        <v>530</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2280</v>
      </c>
      <c r="D37" s="409">
        <f ca="1">D19</f>
        <v>11.4</v>
      </c>
      <c r="E37" s="450">
        <f>'数据-取费表'!B35</f>
        <v>200</v>
      </c>
      <c r="F37" s="459"/>
      <c r="G37" s="461"/>
    </row>
    <row r="38" ht="13.5" customHeight="1" spans="1:7">
      <c r="A38" s="437" t="s">
        <v>1144</v>
      </c>
      <c r="B38" s="407" t="s">
        <v>1010</v>
      </c>
      <c r="C38" s="412">
        <f ca="1">ROUND(C34*F38,0)</f>
        <v>265</v>
      </c>
      <c r="D38" s="412"/>
      <c r="E38" s="412"/>
      <c r="F38" s="459">
        <f>'数据-取费表'!B36</f>
        <v>0.015</v>
      </c>
      <c r="G38" s="411" t="s">
        <v>1139</v>
      </c>
    </row>
    <row r="39" s="383" customFormat="1" ht="13.5" customHeight="1" spans="1:7">
      <c r="A39" s="401" t="s">
        <v>1105</v>
      </c>
      <c r="B39" s="402" t="s">
        <v>1108</v>
      </c>
      <c r="C39" s="429">
        <f ca="1">ROUND(C33*F20,0)</f>
        <v>415</v>
      </c>
      <c r="D39" s="429"/>
      <c r="E39" s="429"/>
      <c r="F39" s="430">
        <f t="shared" ref="F39:F41" si="0">F20</f>
        <v>0.02</v>
      </c>
      <c r="G39" s="434" t="s">
        <v>1145</v>
      </c>
    </row>
    <row r="40" s="383" customFormat="1" ht="13.5" customHeight="1" spans="1:7">
      <c r="A40" s="401" t="s">
        <v>1107</v>
      </c>
      <c r="B40" s="402" t="s">
        <v>1111</v>
      </c>
      <c r="C40" s="2385">
        <f>F21</f>
        <v>0.02</v>
      </c>
      <c r="D40" s="433" t="s">
        <v>1146</v>
      </c>
      <c r="E40" s="429"/>
      <c r="F40" s="430">
        <f t="shared" si="0"/>
        <v>0.02</v>
      </c>
      <c r="G40" s="434" t="s">
        <v>1147</v>
      </c>
    </row>
    <row r="41" s="383" customFormat="1" ht="13.5" customHeight="1" spans="1:7">
      <c r="A41" s="401" t="s">
        <v>1110</v>
      </c>
      <c r="B41" s="402" t="s">
        <v>1115</v>
      </c>
      <c r="C41" s="429">
        <f ca="1">ROUND(SUM(C42:C43),0)</f>
        <v>365</v>
      </c>
      <c r="D41" s="432">
        <f ca="1">C44</f>
        <v>0.0003</v>
      </c>
      <c r="E41" s="433" t="s">
        <v>1146</v>
      </c>
      <c r="F41" s="436">
        <f ca="1" t="shared" si="0"/>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358</v>
      </c>
      <c r="D42" s="439"/>
      <c r="E42" s="439"/>
      <c r="F42" s="440"/>
      <c r="G42" s="463" t="s">
        <v>1170</v>
      </c>
    </row>
    <row r="43" ht="13.5" customHeight="1" spans="1:7">
      <c r="A43" s="437" t="s">
        <v>1080</v>
      </c>
      <c r="B43" s="407" t="s">
        <v>1118</v>
      </c>
      <c r="C43" s="439">
        <f ca="1">ROUND(IF('数据-取费表'!B22&lt;=1,C39*F22*'数据-取费表'!B20/2,C39*(POWER((1+F22),'数据-取费表'!B20/2)-1)),0)</f>
        <v>7</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2116</v>
      </c>
      <c r="D45" s="432">
        <f ca="1">C47</f>
        <v>0.002</v>
      </c>
      <c r="E45" s="433" t="s">
        <v>1146</v>
      </c>
      <c r="F45" s="447">
        <f ca="1">F27</f>
        <v>0.1</v>
      </c>
      <c r="G45" s="448" t="s">
        <v>1149</v>
      </c>
    </row>
    <row r="46" s="383" customFormat="1" ht="13.5" customHeight="1" spans="1:7">
      <c r="A46" s="437" t="s">
        <v>1078</v>
      </c>
      <c r="B46" s="449" t="s">
        <v>1150</v>
      </c>
      <c r="C46" s="450">
        <f ca="1">ROUND((C33+C39)*F27,0)</f>
        <v>2116</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25574</v>
      </c>
      <c r="D49" s="429"/>
      <c r="E49" s="429"/>
      <c r="F49" s="467"/>
      <c r="G49" s="434" t="s">
        <v>1154</v>
      </c>
    </row>
    <row r="50" s="385" customFormat="1" spans="1:7">
      <c r="A50" s="401" t="s">
        <v>1155</v>
      </c>
      <c r="B50" s="402" t="s">
        <v>1156</v>
      </c>
      <c r="C50" s="429"/>
      <c r="D50" s="429"/>
      <c r="E50" s="429"/>
      <c r="F50" s="2386">
        <f>'数据-取费表'!N7</f>
        <v>0.4</v>
      </c>
      <c r="G50" s="448"/>
    </row>
    <row r="51" ht="16.5" customHeight="1" spans="1:7">
      <c r="A51" s="401" t="s">
        <v>1158</v>
      </c>
      <c r="B51" s="402" t="s">
        <v>1172</v>
      </c>
      <c r="C51" s="429">
        <f ca="1">ROUND(C49*F50,0)</f>
        <v>10230</v>
      </c>
      <c r="D51" s="429"/>
      <c r="E51" s="429"/>
      <c r="F51" s="467"/>
      <c r="G51" s="434" t="s">
        <v>1160</v>
      </c>
    </row>
    <row r="52" s="382" customFormat="1" ht="16.5" spans="1:7">
      <c r="A52" s="468" t="s">
        <v>1161</v>
      </c>
      <c r="B52" s="469"/>
      <c r="C52" s="470">
        <f ca="1">C31+C51</f>
        <v>514778</v>
      </c>
      <c r="D52" s="469"/>
      <c r="E52" s="469"/>
      <c r="F52" s="469"/>
      <c r="G52" s="471"/>
    </row>
    <row r="55" ht="15" spans="2:3">
      <c r="B55" s="472" t="s">
        <v>1162</v>
      </c>
      <c r="C55" s="473"/>
    </row>
    <row r="56" spans="2:3">
      <c r="B56" s="474" t="s">
        <v>1163</v>
      </c>
      <c r="C56" s="476">
        <f ca="1">1-C57</f>
        <v>0.98</v>
      </c>
    </row>
    <row r="57" spans="2:3">
      <c r="B57" s="474" t="s">
        <v>1164</v>
      </c>
      <c r="C57" s="475">
        <f ca="1">ROUND(C51/C52,3)</f>
        <v>0.02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983" customWidth="1"/>
    <col min="2" max="2" width="22.5" style="1984" customWidth="1"/>
    <col min="3" max="3" width="12" style="1985"/>
    <col min="4" max="4" width="14.875" style="1985" customWidth="1"/>
    <col min="5" max="5" width="14.625" style="1985" customWidth="1"/>
    <col min="6" max="8" width="12" style="1985"/>
    <col min="9" max="9" width="12.25" style="1985" customWidth="1"/>
    <col min="10" max="10" width="12" style="1985"/>
    <col min="11" max="11" width="8.125" style="1986" customWidth="1"/>
    <col min="12" max="12" width="19.5" style="1985" customWidth="1"/>
    <col min="13" max="13" width="8.5" style="1985" customWidth="1"/>
    <col min="14" max="14" width="9.75" style="1985" customWidth="1"/>
    <col min="15" max="25" width="12" style="1985"/>
    <col min="26" max="26" width="9.375" style="1983" customWidth="1"/>
    <col min="27" max="32" width="9.375" style="1987" customWidth="1"/>
    <col min="33" max="36" width="9.375" style="1983" customWidth="1"/>
    <col min="37" max="38" width="9.375" style="1985" customWidth="1"/>
    <col min="39" max="16384" width="12" style="1985"/>
  </cols>
  <sheetData>
    <row r="1" ht="28.5" spans="1:36">
      <c r="A1" s="389" t="s">
        <v>1413</v>
      </c>
      <c r="B1" s="390"/>
      <c r="C1" s="393" t="s">
        <v>1414</v>
      </c>
      <c r="D1" s="1651">
        <f>SUM(D33:D34,D37:D42)</f>
        <v>1391</v>
      </c>
      <c r="E1" s="1988"/>
      <c r="F1" s="1988"/>
      <c r="G1" s="1988"/>
      <c r="H1" s="1988"/>
      <c r="I1" s="1988"/>
      <c r="J1" s="1988"/>
      <c r="K1" s="1981"/>
      <c r="L1" s="2193" t="s">
        <v>1415</v>
      </c>
      <c r="M1" s="2194">
        <f>SUMPRODUCT((区片价!B5:B9=I2)*(区片价!C3:G3=E2)*(区片价!C5:G9))</f>
        <v>0</v>
      </c>
      <c r="N1" s="2195">
        <f>SUMPRODUCT((因素修正幅度!B5:B9=I2)*(因素修正幅度!C3:G3=E2)*(因素修正幅度!C5:G9))</f>
        <v>0</v>
      </c>
      <c r="O1" s="1982"/>
      <c r="P1" s="1982"/>
      <c r="Q1" s="1981"/>
      <c r="R1" s="2286" t="s">
        <v>1416</v>
      </c>
      <c r="S1" s="2286" t="s">
        <v>1417</v>
      </c>
      <c r="T1" s="2286" t="s">
        <v>1418</v>
      </c>
      <c r="U1" s="2286" t="s">
        <v>1419</v>
      </c>
      <c r="V1" s="2286" t="s">
        <v>1420</v>
      </c>
      <c r="W1" s="2287"/>
      <c r="X1" s="2287"/>
      <c r="Y1" s="2287"/>
      <c r="Z1" s="2287"/>
      <c r="AA1" s="2287"/>
      <c r="AB1" s="2287"/>
      <c r="AC1" s="2300"/>
      <c r="AD1" s="2301"/>
      <c r="AE1" s="2301"/>
      <c r="AF1" s="2301"/>
      <c r="AG1" s="2301"/>
      <c r="AH1" s="2301"/>
      <c r="AI1" s="2301"/>
      <c r="AJ1" s="2310"/>
    </row>
    <row r="2" ht="15.75" spans="1:36">
      <c r="A2" s="393" t="s">
        <v>1069</v>
      </c>
      <c r="B2" s="397">
        <f>C30</f>
        <v>2373</v>
      </c>
      <c r="C2" s="1989" t="s">
        <v>1070</v>
      </c>
      <c r="D2" s="1990" t="s">
        <v>1421</v>
      </c>
      <c r="E2" s="1991" t="s">
        <v>552</v>
      </c>
      <c r="F2" s="1990" t="s">
        <v>1422</v>
      </c>
      <c r="G2" s="1992" t="str">
        <f>IF(E2="商业",项目基本情况!B37,IF(E2="办公",项目基本情况!C37,IF(E2="住宅",项目基本情况!D37,IF(E2="工业",项目基本情况!E37,项目基本情况!F37))))</f>
        <v>二级</v>
      </c>
      <c r="H2" s="1990" t="s">
        <v>1423</v>
      </c>
      <c r="I2" s="1992" t="str">
        <f>IF(E2="商业",项目基本情况!B38,IF(E2="办公",项目基本情况!C38,IF(E2="住宅",项目基本情况!D38,IF(E2="工业",项目基本情况!E38,项目基本情况!F38))))</f>
        <v>Ⅱ—12</v>
      </c>
      <c r="J2" s="2196"/>
      <c r="K2" s="1981"/>
      <c r="L2" s="2197" t="s">
        <v>1424</v>
      </c>
      <c r="M2" s="2198">
        <f>SUMPRODUCT((区片价!B10:B29=I2)*(区片价!C3:G3=E2)*(区片价!C10:G29))</f>
        <v>26730</v>
      </c>
      <c r="N2" s="2195">
        <f>SUMPRODUCT((因素修正幅度!B10:B29=I2)*(因素修正幅度!C3:G3=E2)*(因素修正幅度!C10:G29))</f>
        <v>0.091</v>
      </c>
      <c r="O2" s="1981"/>
      <c r="P2" s="1981"/>
      <c r="Q2" s="1981"/>
      <c r="R2" s="2286">
        <v>1</v>
      </c>
      <c r="S2" s="2288">
        <f>ROUND(SUMPRODUCT((B106:B110=R2)*(C105:N105=G2)*(C106:N110)),4)</f>
        <v>1.5206</v>
      </c>
      <c r="T2" s="2288">
        <f t="shared" ref="T2:T16" si="0">ROUND($C$5*$C$22*$C$23*$C$24*S2*$C$28,0)</f>
        <v>42338</v>
      </c>
      <c r="U2" s="2289"/>
      <c r="V2" s="2288">
        <f>ROUND(T2*U2/10000,0)</f>
        <v>0</v>
      </c>
      <c r="W2" s="2287"/>
      <c r="X2" s="2287"/>
      <c r="Y2" s="2287"/>
      <c r="Z2" s="2287"/>
      <c r="AA2" s="2287"/>
      <c r="AB2" s="2287"/>
      <c r="AC2" s="2300"/>
      <c r="AD2" s="2301"/>
      <c r="AE2" s="2301"/>
      <c r="AF2" s="2301"/>
      <c r="AG2" s="2301"/>
      <c r="AH2" s="2301"/>
      <c r="AI2" s="2301"/>
      <c r="AJ2" s="2310"/>
    </row>
    <row r="3" ht="15.75" spans="1:36">
      <c r="A3" s="396" t="s">
        <v>1071</v>
      </c>
      <c r="B3" s="397">
        <f>ROUND(B2*10000/D1,0)</f>
        <v>17060</v>
      </c>
      <c r="C3" s="1989" t="s">
        <v>1072</v>
      </c>
      <c r="D3" s="1990" t="s">
        <v>1425</v>
      </c>
      <c r="E3" s="1993" t="s">
        <v>1426</v>
      </c>
      <c r="F3" s="1994" t="s">
        <v>1427</v>
      </c>
      <c r="G3" s="1995">
        <f>IF(F3="宗地容积率",'数据-汇总表'!I4,IF(F3="估价对象容积率",'数据-汇总表'!I6,'数据-汇总表'!I7))</f>
        <v>1.13</v>
      </c>
      <c r="H3" s="1996" t="s">
        <v>1428</v>
      </c>
      <c r="I3" s="2199"/>
      <c r="J3" s="2196" t="s">
        <v>1429</v>
      </c>
      <c r="K3" s="1981"/>
      <c r="L3" s="2197" t="s">
        <v>1430</v>
      </c>
      <c r="M3" s="2198">
        <f>SUMPRODUCT((区片价!B30:B54=I2)*(区片价!C3:G3=E2)*(区片价!C30:G54))</f>
        <v>0</v>
      </c>
      <c r="N3" s="2195">
        <f>SUMPRODUCT((因素修正幅度!B30:B54=I2)*(因素修正幅度!C3:G3=E2)*(因素修正幅度!C30:G54))</f>
        <v>0</v>
      </c>
      <c r="O3" s="1981"/>
      <c r="P3" s="1981"/>
      <c r="Q3" s="1981"/>
      <c r="R3" s="2286">
        <v>2</v>
      </c>
      <c r="S3" s="2288">
        <f>ROUND(SUMPRODUCT((B106:B110=R3)*(C105:N105=G2)*(C106:N110)),4)</f>
        <v>1.2072</v>
      </c>
      <c r="T3" s="2288">
        <f t="shared" si="0"/>
        <v>33612</v>
      </c>
      <c r="U3" s="2289"/>
      <c r="V3" s="2288">
        <f t="shared" ref="V3:V16" si="1">ROUND(T3*U3/10000,0)</f>
        <v>0</v>
      </c>
      <c r="W3" s="2287"/>
      <c r="X3" s="2287"/>
      <c r="Y3" s="2287"/>
      <c r="Z3" s="2287"/>
      <c r="AA3" s="2287"/>
      <c r="AB3" s="2287"/>
      <c r="AC3" s="2300"/>
      <c r="AD3" s="2301"/>
      <c r="AE3" s="2301"/>
      <c r="AF3" s="2301"/>
      <c r="AG3" s="2301"/>
      <c r="AH3" s="2301"/>
      <c r="AI3" s="2301"/>
      <c r="AJ3" s="2310"/>
    </row>
    <row r="4" ht="15.75" spans="1:36">
      <c r="A4" s="1997"/>
      <c r="B4" s="1998"/>
      <c r="C4" s="1998"/>
      <c r="D4" s="1999"/>
      <c r="E4" s="1999"/>
      <c r="F4" s="1999"/>
      <c r="G4" s="1999"/>
      <c r="H4" s="1999"/>
      <c r="I4" s="1999"/>
      <c r="J4" s="2200"/>
      <c r="K4" s="1981"/>
      <c r="L4" s="2197" t="s">
        <v>1431</v>
      </c>
      <c r="M4" s="2198">
        <f>SUMPRODUCT((区片价!B55:B86=I2)*(区片价!C3:G3=E2)*(区片价!C55:G86))</f>
        <v>0</v>
      </c>
      <c r="N4" s="2195">
        <f>SUMPRODUCT((因素修正幅度!B55:B86=I2)*(因素修正幅度!C3:G3=E2)*(因素修正幅度!C55:G86))</f>
        <v>0</v>
      </c>
      <c r="O4" s="1981"/>
      <c r="P4" s="1981"/>
      <c r="Q4" s="1981"/>
      <c r="R4" s="2286">
        <v>3</v>
      </c>
      <c r="S4" s="2288">
        <f>ROUND(SUMPRODUCT((B106:B110=R4)*(C105:N105=G2)*(C106:N110)),4)</f>
        <v>1.0431</v>
      </c>
      <c r="T4" s="2288">
        <f t="shared" si="0"/>
        <v>29043</v>
      </c>
      <c r="U4" s="2289"/>
      <c r="V4" s="2288">
        <f t="shared" si="1"/>
        <v>0</v>
      </c>
      <c r="W4" s="2287"/>
      <c r="X4" s="2287"/>
      <c r="Y4" s="2287"/>
      <c r="Z4" s="2287"/>
      <c r="AA4" s="2287"/>
      <c r="AB4" s="2287"/>
      <c r="AC4" s="2300"/>
      <c r="AD4" s="2301"/>
      <c r="AE4" s="2301"/>
      <c r="AF4" s="2301"/>
      <c r="AG4" s="2301"/>
      <c r="AH4" s="2301"/>
      <c r="AI4" s="2301"/>
      <c r="AJ4" s="2310"/>
    </row>
    <row r="5" s="1980" customFormat="1" ht="15.75" spans="1:36">
      <c r="A5" s="2000" t="s">
        <v>975</v>
      </c>
      <c r="B5" s="2001" t="s">
        <v>1432</v>
      </c>
      <c r="C5" s="2002">
        <f>ROUND(IF(E2="商业",C6*C7*C17+C20,(IF(E2="住宅",C6*C13*C17+C20,IF(E2="办公",C6*C12*C17+C20,C6+C20)))),0)</f>
        <v>26713</v>
      </c>
      <c r="D5" s="2003">
        <f>ROUND(C6*C17+C20,0)</f>
        <v>26713</v>
      </c>
      <c r="E5" s="2003"/>
      <c r="F5" s="2004"/>
      <c r="G5" s="2005"/>
      <c r="H5" s="2005"/>
      <c r="I5" s="2005"/>
      <c r="J5" s="2201"/>
      <c r="K5" s="2202"/>
      <c r="L5" s="2197" t="s">
        <v>1433</v>
      </c>
      <c r="M5" s="2198">
        <f>SUMPRODUCT((区片价!B87:B126=I2)*(区片价!C3:G3=E2)*(区片价!C87:G126))</f>
        <v>0</v>
      </c>
      <c r="N5" s="2195">
        <f>SUMPRODUCT((因素修正幅度!B87:B126=I2)*(因素修正幅度!C3:G3=E2)*(因素修正幅度!C87:G126))</f>
        <v>0</v>
      </c>
      <c r="O5" s="1981"/>
      <c r="P5" s="1981"/>
      <c r="Q5" s="1981"/>
      <c r="R5" s="2286">
        <v>4</v>
      </c>
      <c r="S5" s="2288">
        <f>ROUND(SUMPRODUCT((B106:B110=R5)*(C105:N105=G2)*(C106:N110)),4)</f>
        <v>0.9439</v>
      </c>
      <c r="T5" s="2288">
        <f t="shared" si="0"/>
        <v>26281</v>
      </c>
      <c r="U5" s="2289"/>
      <c r="V5" s="2288">
        <f t="shared" si="1"/>
        <v>0</v>
      </c>
      <c r="W5" s="2287"/>
      <c r="X5" s="2287"/>
      <c r="Y5" s="2287"/>
      <c r="Z5" s="2287"/>
      <c r="AA5" s="2287"/>
      <c r="AB5" s="2287"/>
      <c r="AC5" s="2302"/>
      <c r="AD5" s="2303"/>
      <c r="AE5" s="2303"/>
      <c r="AF5" s="2303"/>
      <c r="AG5" s="2303"/>
      <c r="AH5" s="2303"/>
      <c r="AI5" s="2303"/>
      <c r="AJ5" s="2311"/>
    </row>
    <row r="6" ht="15.75" spans="1:36">
      <c r="A6" s="2006" t="s">
        <v>1074</v>
      </c>
      <c r="B6" s="2007" t="s">
        <v>1434</v>
      </c>
      <c r="C6" s="2008">
        <f>SUMIF(L1:L12,G2,M1:M12)</f>
        <v>26730</v>
      </c>
      <c r="D6" s="2009"/>
      <c r="E6" s="2010"/>
      <c r="F6" s="2010"/>
      <c r="G6" s="2011"/>
      <c r="H6" s="2011"/>
      <c r="I6" s="2011"/>
      <c r="J6" s="2203"/>
      <c r="K6" s="1368"/>
      <c r="L6" s="2197" t="s">
        <v>1435</v>
      </c>
      <c r="M6" s="2198">
        <f>SUMPRODUCT((区片价!B127:B189=I2)*(区片价!C3:G3=E2)*(区片价!C127:G189))</f>
        <v>0</v>
      </c>
      <c r="N6" s="2195">
        <f>SUMPRODUCT((因素修正幅度!B127:B189=I2)*(因素修正幅度!C3:G3=E2)*(因素修正幅度!C127:G189))</f>
        <v>0</v>
      </c>
      <c r="O6" s="1981"/>
      <c r="P6" s="1981"/>
      <c r="Q6" s="1981"/>
      <c r="R6" s="2286">
        <v>5</v>
      </c>
      <c r="S6" s="2288">
        <f>ROUND(SUMPRODUCT((B106:B110=R6)*(C105:N105=G2)*(C106:N110)),4)</f>
        <v>0.8996</v>
      </c>
      <c r="T6" s="2288">
        <f t="shared" si="0"/>
        <v>25048</v>
      </c>
      <c r="U6" s="2289"/>
      <c r="V6" s="2288">
        <f t="shared" si="1"/>
        <v>0</v>
      </c>
      <c r="W6" s="2287"/>
      <c r="X6" s="2287"/>
      <c r="Y6" s="2287"/>
      <c r="Z6" s="2287"/>
      <c r="AA6" s="2287"/>
      <c r="AB6" s="2287"/>
      <c r="AC6" s="2302"/>
      <c r="AD6" s="2303"/>
      <c r="AE6" s="2303"/>
      <c r="AF6" s="2303"/>
      <c r="AG6" s="2303"/>
      <c r="AH6" s="2303"/>
      <c r="AI6" s="2303"/>
      <c r="AJ6" s="2311"/>
    </row>
    <row r="7" ht="24.75" spans="1:36">
      <c r="A7" s="2012" t="s">
        <v>1436</v>
      </c>
      <c r="B7" s="2013" t="s">
        <v>1437</v>
      </c>
      <c r="C7" s="2014">
        <f>IF(C8="不临65条商业街",1,ROUND(1+(1.6*E8+1.2*E9+0.8*E10+0.4*E11)*C9,4))</f>
        <v>1</v>
      </c>
      <c r="D7" s="2015" t="s">
        <v>1438</v>
      </c>
      <c r="E7" s="2016"/>
      <c r="F7" s="2017"/>
      <c r="G7" s="2018"/>
      <c r="H7" s="2018"/>
      <c r="I7" s="2018"/>
      <c r="J7" s="2204"/>
      <c r="K7" s="1368"/>
      <c r="L7" s="2197" t="s">
        <v>1439</v>
      </c>
      <c r="M7" s="2198">
        <f>SUMPRODUCT((区片价!B190:B233=I2)*(区片价!C3:G3=E2)*(区片价!C190:G233))</f>
        <v>0</v>
      </c>
      <c r="N7" s="2195">
        <f>SUMPRODUCT((因素修正幅度!B190:B233=I2)*(因素修正幅度!C3:G3=E2)*(因素修正幅度!C190:G233))</f>
        <v>0</v>
      </c>
      <c r="O7" s="1981"/>
      <c r="P7" s="1981"/>
      <c r="Q7" s="1981"/>
      <c r="R7" s="2286">
        <v>6</v>
      </c>
      <c r="S7" s="2290"/>
      <c r="T7" s="2288">
        <f t="shared" si="0"/>
        <v>0</v>
      </c>
      <c r="U7" s="2289"/>
      <c r="V7" s="2288">
        <f t="shared" si="1"/>
        <v>0</v>
      </c>
      <c r="W7" s="2291" t="s">
        <v>1440</v>
      </c>
      <c r="X7" s="2292" t="str">
        <f>G2</f>
        <v>二级</v>
      </c>
      <c r="Y7" s="2292" t="s">
        <v>1441</v>
      </c>
      <c r="Z7" s="2304">
        <f>G3</f>
        <v>1.13</v>
      </c>
      <c r="AA7" s="2287"/>
      <c r="AB7" s="2287"/>
      <c r="AC7" s="2300"/>
      <c r="AD7" s="2301"/>
      <c r="AE7" s="2301"/>
      <c r="AF7" s="2301"/>
      <c r="AG7" s="2301"/>
      <c r="AH7" s="2301"/>
      <c r="AI7" s="2301"/>
      <c r="AJ7" s="2310"/>
    </row>
    <row r="8" ht="24.75" spans="1:36">
      <c r="A8" s="2019"/>
      <c r="B8" s="1996" t="s">
        <v>1442</v>
      </c>
      <c r="C8" s="2020" t="s">
        <v>1443</v>
      </c>
      <c r="D8" s="2021" t="s">
        <v>1444</v>
      </c>
      <c r="E8" s="2022" t="e">
        <f>ROUND(C11/E7,4)</f>
        <v>#DIV/0!</v>
      </c>
      <c r="F8" s="2023" t="s">
        <v>1445</v>
      </c>
      <c r="G8" s="2024"/>
      <c r="H8" s="2024"/>
      <c r="I8" s="2024"/>
      <c r="J8" s="2205"/>
      <c r="K8" s="1981"/>
      <c r="L8" s="2197" t="s">
        <v>1446</v>
      </c>
      <c r="M8" s="2198">
        <f>SUMPRODUCT((区片价!B234:B276=I2)*(区片价!C3:G3=E2)*(区片价!C234:G276))</f>
        <v>0</v>
      </c>
      <c r="N8" s="2195">
        <f>SUMPRODUCT((因素修正幅度!B234:B276=I2)*(因素修正幅度!C3:G3=E2)*(因素修正幅度!C234:G276))</f>
        <v>0</v>
      </c>
      <c r="O8" s="1981"/>
      <c r="P8" s="1981"/>
      <c r="Q8" s="1981"/>
      <c r="R8" s="2286">
        <v>7</v>
      </c>
      <c r="S8" s="2289"/>
      <c r="T8" s="2288">
        <f t="shared" si="0"/>
        <v>0</v>
      </c>
      <c r="U8" s="2289"/>
      <c r="V8" s="2288">
        <f t="shared" si="1"/>
        <v>0</v>
      </c>
      <c r="W8" s="2293" t="s">
        <v>1447</v>
      </c>
      <c r="X8" s="2294"/>
      <c r="Y8" s="2305" t="s">
        <v>1448</v>
      </c>
      <c r="Z8" s="2305" t="s">
        <v>1449</v>
      </c>
      <c r="AA8" s="2305" t="s">
        <v>1450</v>
      </c>
      <c r="AB8" s="2305" t="s">
        <v>1451</v>
      </c>
      <c r="AC8" s="2305" t="s">
        <v>1452</v>
      </c>
      <c r="AD8" s="2305" t="s">
        <v>1453</v>
      </c>
      <c r="AE8" s="2305" t="s">
        <v>1454</v>
      </c>
      <c r="AF8" s="2305" t="s">
        <v>1455</v>
      </c>
      <c r="AG8" s="2305" t="s">
        <v>1456</v>
      </c>
      <c r="AH8" s="2305" t="s">
        <v>1457</v>
      </c>
      <c r="AI8" s="2305" t="s">
        <v>1458</v>
      </c>
      <c r="AJ8" s="2305" t="s">
        <v>1459</v>
      </c>
    </row>
    <row r="9" ht="15" spans="1:36">
      <c r="A9" s="2019"/>
      <c r="B9" s="1996" t="s">
        <v>1460</v>
      </c>
      <c r="C9" s="2025">
        <f>SUMIF(修正!C71:C138,C8,修正!E71:E138)</f>
        <v>0</v>
      </c>
      <c r="D9" s="865" t="s">
        <v>1461</v>
      </c>
      <c r="E9" s="865" t="e">
        <f>ROUND(C11/E7,4)</f>
        <v>#DIV/0!</v>
      </c>
      <c r="F9" s="2023" t="s">
        <v>1462</v>
      </c>
      <c r="G9" s="2024"/>
      <c r="H9" s="2024"/>
      <c r="I9" s="2024"/>
      <c r="J9" s="2205"/>
      <c r="K9" s="1981"/>
      <c r="L9" s="2197" t="s">
        <v>1463</v>
      </c>
      <c r="M9" s="2198">
        <f>SUMPRODUCT((区片价!B277:B326=I2)*(区片价!C3:G3=E2)*(区片价!C277:G326))</f>
        <v>0</v>
      </c>
      <c r="N9" s="2195">
        <f>SUMPRODUCT((因素修正幅度!B277:B326=I2)*(因素修正幅度!C3:G3=E2)*(因素修正幅度!C277:G326))</f>
        <v>0</v>
      </c>
      <c r="O9" s="1981"/>
      <c r="P9" s="1981"/>
      <c r="Q9" s="1981"/>
      <c r="R9" s="2286">
        <v>8</v>
      </c>
      <c r="S9" s="2289"/>
      <c r="T9" s="2288">
        <f t="shared" si="0"/>
        <v>0</v>
      </c>
      <c r="U9" s="2289"/>
      <c r="V9" s="2288">
        <f t="shared" si="1"/>
        <v>0</v>
      </c>
      <c r="W9" s="2291"/>
      <c r="X9" s="2295" t="s">
        <v>1464</v>
      </c>
      <c r="Y9" s="2306">
        <v>6</v>
      </c>
      <c r="Z9" s="2307">
        <f>$Y$9</f>
        <v>6</v>
      </c>
      <c r="AA9" s="2307">
        <f t="shared" ref="AA9:AJ9" si="2">$Y$9</f>
        <v>6</v>
      </c>
      <c r="AB9" s="2307">
        <f t="shared" si="2"/>
        <v>6</v>
      </c>
      <c r="AC9" s="2307">
        <f t="shared" si="2"/>
        <v>6</v>
      </c>
      <c r="AD9" s="2307">
        <f t="shared" si="2"/>
        <v>6</v>
      </c>
      <c r="AE9" s="2307">
        <f t="shared" si="2"/>
        <v>6</v>
      </c>
      <c r="AF9" s="2307">
        <f t="shared" si="2"/>
        <v>6</v>
      </c>
      <c r="AG9" s="2307">
        <f t="shared" si="2"/>
        <v>6</v>
      </c>
      <c r="AH9" s="2307">
        <f t="shared" si="2"/>
        <v>6</v>
      </c>
      <c r="AI9" s="2307">
        <f t="shared" si="2"/>
        <v>6</v>
      </c>
      <c r="AJ9" s="2307">
        <f t="shared" si="2"/>
        <v>6</v>
      </c>
    </row>
    <row r="10" ht="15" spans="1:36">
      <c r="A10" s="2019"/>
      <c r="B10" s="1996" t="s">
        <v>1465</v>
      </c>
      <c r="C10" s="865">
        <f>SUMIF(修正!C71:C138,C8,修正!F71:F138)</f>
        <v>0</v>
      </c>
      <c r="D10" s="865" t="s">
        <v>1466</v>
      </c>
      <c r="E10" s="865" t="e">
        <f>ROUND(C11/E7,4)</f>
        <v>#DIV/0!</v>
      </c>
      <c r="F10" s="2023" t="s">
        <v>1467</v>
      </c>
      <c r="G10" s="2024"/>
      <c r="H10" s="2024"/>
      <c r="I10" s="2024"/>
      <c r="J10" s="2205"/>
      <c r="K10" s="1981"/>
      <c r="L10" s="2197" t="s">
        <v>1468</v>
      </c>
      <c r="M10" s="2198">
        <f>SUMPRODUCT((区片价!B327:B357=I2)*(区片价!C3:G3=E2)*(区片价!C327:G357))</f>
        <v>0</v>
      </c>
      <c r="N10" s="2195">
        <f>SUMPRODUCT((因素修正幅度!B327:B357=I2)*(因素修正幅度!C3:G3=E2)*(因素修正幅度!C327:G357))</f>
        <v>0</v>
      </c>
      <c r="O10" s="1981"/>
      <c r="P10" s="1981"/>
      <c r="Q10" s="1981"/>
      <c r="R10" s="2286">
        <v>9</v>
      </c>
      <c r="S10" s="2289"/>
      <c r="T10" s="2288">
        <f t="shared" si="0"/>
        <v>0</v>
      </c>
      <c r="U10" s="2289"/>
      <c r="V10" s="2288">
        <f t="shared" si="1"/>
        <v>0</v>
      </c>
      <c r="W10" s="2291"/>
      <c r="X10" s="2295">
        <v>6</v>
      </c>
      <c r="Y10" s="2308">
        <f>ROUND((-0.5556*(Y9^2)-0.2719*Y9+8944)*(10^(-4)),4)</f>
        <v>0.8922</v>
      </c>
      <c r="Z10" s="2308">
        <f>ROUND((-0.5556*(Z9^2)-0.2719*Z9+8944)*(10^(-4)),4)</f>
        <v>0.8922</v>
      </c>
      <c r="AA10" s="2308">
        <f>ROUND((-0.7912*(AA9^2)-11.3794*AA9+8482)*(10^(-4)),4)</f>
        <v>0.8385</v>
      </c>
      <c r="AB10" s="2308">
        <f>ROUND((-0.7912*(AB9^2)-11.3794*AB9+8482)*(10^(-4)),4)</f>
        <v>0.8385</v>
      </c>
      <c r="AC10" s="2308">
        <f>ROUND((-0.7912*(AC9^2)-11.3794*AC9+8482)*(10^(-4)),4)</f>
        <v>0.8385</v>
      </c>
      <c r="AD10" s="2308">
        <f>ROUND((-0.7912*(AD9^2)-11.3794*AD9+8482)*(10^(-4)),4)</f>
        <v>0.8385</v>
      </c>
      <c r="AE10" s="2308">
        <f>ROUND((-0.7912*(AE9^2)-11.3794*AE9+8482)*(10^(-4)),4)</f>
        <v>0.8385</v>
      </c>
      <c r="AF10" s="2308">
        <f>ROUND((-0.989*(AF9^2)-63.78*AF9+7771)*(10^(-4)),4)</f>
        <v>0.7353</v>
      </c>
      <c r="AG10" s="2308">
        <f>ROUND((-0.989*(AG9^2)-63.78*AG9+7771)*(10^(-4)),4)</f>
        <v>0.7353</v>
      </c>
      <c r="AH10" s="2308">
        <f>ROUND((-0.989*(AH9^2)-63.78*AH9+7771)*(10^(-4)),4)</f>
        <v>0.7353</v>
      </c>
      <c r="AI10" s="2308">
        <f>ROUND((-0.989*(AI9^2)-63.78*AI9+7771)*(10^(-4)),4)</f>
        <v>0.7353</v>
      </c>
      <c r="AJ10" s="2308">
        <f>ROUND((-0.989*(AJ9^2)-63.78*AJ9+7771)*(10^(-4)),4)</f>
        <v>0.7353</v>
      </c>
    </row>
    <row r="11" ht="15.75" spans="1:36">
      <c r="A11" s="2026"/>
      <c r="B11" s="2027" t="s">
        <v>1469</v>
      </c>
      <c r="C11" s="2028">
        <f>C10/4</f>
        <v>0</v>
      </c>
      <c r="D11" s="2028" t="s">
        <v>1470</v>
      </c>
      <c r="E11" s="2028" t="e">
        <f>ROUND(C11/E7,4)</f>
        <v>#DIV/0!</v>
      </c>
      <c r="F11" s="2029" t="s">
        <v>1471</v>
      </c>
      <c r="G11" s="2030"/>
      <c r="H11" s="2030"/>
      <c r="I11" s="2030"/>
      <c r="J11" s="2206"/>
      <c r="K11" s="1981"/>
      <c r="L11" s="2197" t="s">
        <v>1472</v>
      </c>
      <c r="M11" s="2198">
        <f>SUMPRODUCT((区片价!B358:B377=I2)*(区片价!C3:G3=E2)*(区片价!C358:G377))</f>
        <v>0</v>
      </c>
      <c r="N11" s="2195">
        <f>SUMPRODUCT((因素修正幅度!B358:B377=I2)*(因素修正幅度!C3:G3=E2)*(因素修正幅度!C358:G377))</f>
        <v>0</v>
      </c>
      <c r="O11" s="1981"/>
      <c r="P11" s="1981"/>
      <c r="Q11" s="1981"/>
      <c r="R11" s="2286">
        <v>10</v>
      </c>
      <c r="S11" s="2289"/>
      <c r="T11" s="2288">
        <f t="shared" si="0"/>
        <v>0</v>
      </c>
      <c r="U11" s="2289"/>
      <c r="V11" s="2288">
        <f t="shared" si="1"/>
        <v>0</v>
      </c>
      <c r="W11" s="2287"/>
      <c r="X11" s="2287"/>
      <c r="Y11" s="2287"/>
      <c r="Z11" s="2287"/>
      <c r="AA11" s="2287"/>
      <c r="AB11" s="2287"/>
      <c r="AC11" s="2300"/>
      <c r="AD11" s="2309"/>
      <c r="AE11" s="2309"/>
      <c r="AF11" s="2309"/>
      <c r="AG11" s="2309"/>
      <c r="AH11" s="2309"/>
      <c r="AI11" s="2309"/>
      <c r="AJ11" s="2312"/>
    </row>
    <row r="12" ht="25.5" spans="1:36">
      <c r="A12" s="2012" t="s">
        <v>1473</v>
      </c>
      <c r="B12" s="2031" t="s">
        <v>1474</v>
      </c>
      <c r="C12" s="2032">
        <v>1</v>
      </c>
      <c r="D12" s="2033" t="s">
        <v>1475</v>
      </c>
      <c r="E12" s="2034" t="s">
        <v>1476</v>
      </c>
      <c r="F12" s="2035"/>
      <c r="G12" s="2036"/>
      <c r="H12" s="2036"/>
      <c r="I12" s="2036"/>
      <c r="J12" s="2207"/>
      <c r="K12" s="1981"/>
      <c r="L12" s="2208" t="s">
        <v>1477</v>
      </c>
      <c r="M12" s="2209">
        <f>SUMPRODUCT((区片价!B378:B384=I2)*(区片价!C3:G3=E2)*(区片价!C378:G384))</f>
        <v>0</v>
      </c>
      <c r="N12" s="2195">
        <f>SUMPRODUCT((因素修正幅度!B378:B384=I2)*(因素修正幅度!C3:G3=E2)*(因素修正幅度!C378:G384))</f>
        <v>0</v>
      </c>
      <c r="O12" s="1981"/>
      <c r="P12" s="1981"/>
      <c r="Q12" s="1981"/>
      <c r="R12" s="2286">
        <v>11</v>
      </c>
      <c r="S12" s="2289"/>
      <c r="T12" s="2288">
        <f t="shared" si="0"/>
        <v>0</v>
      </c>
      <c r="U12" s="2289"/>
      <c r="V12" s="2288">
        <f t="shared" si="1"/>
        <v>0</v>
      </c>
      <c r="W12" s="2287"/>
      <c r="X12" s="2287"/>
      <c r="Y12" s="2287"/>
      <c r="Z12" s="2287"/>
      <c r="AA12" s="2287"/>
      <c r="AB12" s="2287"/>
      <c r="AC12" s="2300"/>
      <c r="AD12" s="2309"/>
      <c r="AE12" s="2309"/>
      <c r="AF12" s="2309"/>
      <c r="AG12" s="2309"/>
      <c r="AH12" s="2309"/>
      <c r="AI12" s="2309"/>
      <c r="AJ12" s="2312"/>
    </row>
    <row r="13" ht="15.75" spans="1:36">
      <c r="A13" s="2012" t="s">
        <v>1478</v>
      </c>
      <c r="B13" s="2037" t="s">
        <v>1479</v>
      </c>
      <c r="C13" s="2014">
        <f>ROUND(C16*D16*E16*F16*G16*H16*I16*J16,4)</f>
        <v>0</v>
      </c>
      <c r="D13" s="2038" t="s">
        <v>1480</v>
      </c>
      <c r="E13" s="2039"/>
      <c r="F13" s="2039"/>
      <c r="G13" s="2040"/>
      <c r="H13" s="2040"/>
      <c r="I13" s="2040"/>
      <c r="J13" s="2210"/>
      <c r="K13" s="1981"/>
      <c r="L13" s="2211"/>
      <c r="M13" s="2212"/>
      <c r="N13" s="2213"/>
      <c r="O13" s="1981"/>
      <c r="P13" s="1981"/>
      <c r="Q13" s="1981"/>
      <c r="R13" s="2286">
        <v>12</v>
      </c>
      <c r="S13" s="2289"/>
      <c r="T13" s="2288">
        <f t="shared" si="0"/>
        <v>0</v>
      </c>
      <c r="U13" s="2289"/>
      <c r="V13" s="2288">
        <f t="shared" si="1"/>
        <v>0</v>
      </c>
      <c r="W13" s="2287"/>
      <c r="X13" s="2287"/>
      <c r="Y13" s="2287"/>
      <c r="Z13" s="2287"/>
      <c r="AA13" s="2287"/>
      <c r="AB13" s="2287"/>
      <c r="AC13" s="2300"/>
      <c r="AD13" s="2309"/>
      <c r="AE13" s="2309"/>
      <c r="AF13" s="2309"/>
      <c r="AG13" s="2309"/>
      <c r="AH13" s="2309"/>
      <c r="AI13" s="2309"/>
      <c r="AJ13" s="2312"/>
    </row>
    <row r="14" ht="15" spans="1:36">
      <c r="A14" s="2041"/>
      <c r="B14" s="2042" t="s">
        <v>1481</v>
      </c>
      <c r="C14" s="2043" t="s">
        <v>1482</v>
      </c>
      <c r="D14" s="2044" t="s">
        <v>1483</v>
      </c>
      <c r="E14" s="2045" t="s">
        <v>1484</v>
      </c>
      <c r="F14" s="2046" t="s">
        <v>1485</v>
      </c>
      <c r="G14" s="2046" t="s">
        <v>1485</v>
      </c>
      <c r="H14" s="2046" t="s">
        <v>1485</v>
      </c>
      <c r="I14" s="2046" t="s">
        <v>1485</v>
      </c>
      <c r="J14" s="2046" t="s">
        <v>1485</v>
      </c>
      <c r="K14" s="1981"/>
      <c r="L14" s="1981"/>
      <c r="M14" s="1981"/>
      <c r="N14" s="1981"/>
      <c r="O14" s="1981"/>
      <c r="P14" s="1981"/>
      <c r="Q14" s="1981"/>
      <c r="R14" s="2286">
        <v>13</v>
      </c>
      <c r="S14" s="2289"/>
      <c r="T14" s="2288">
        <f t="shared" si="0"/>
        <v>0</v>
      </c>
      <c r="U14" s="2289"/>
      <c r="V14" s="2288">
        <f t="shared" si="1"/>
        <v>0</v>
      </c>
      <c r="W14" s="2287"/>
      <c r="X14" s="2287"/>
      <c r="Y14" s="2287"/>
      <c r="Z14" s="2287"/>
      <c r="AA14" s="2287"/>
      <c r="AB14" s="2287"/>
      <c r="AC14" s="2300"/>
      <c r="AD14" s="2309"/>
      <c r="AE14" s="2309"/>
      <c r="AF14" s="2309"/>
      <c r="AG14" s="2309"/>
      <c r="AH14" s="2309"/>
      <c r="AI14" s="2309"/>
      <c r="AJ14" s="2312"/>
    </row>
    <row r="15" ht="15" spans="1:36">
      <c r="A15" s="2041"/>
      <c r="B15" s="2047"/>
      <c r="C15" s="2048"/>
      <c r="D15" s="2049"/>
      <c r="E15" s="2050"/>
      <c r="F15" s="2051" t="s">
        <v>1486</v>
      </c>
      <c r="G15" s="2052"/>
      <c r="H15" s="2053"/>
      <c r="I15" s="2214"/>
      <c r="J15" s="2215"/>
      <c r="K15" s="1981"/>
      <c r="L15" s="1981"/>
      <c r="M15" s="1981"/>
      <c r="N15" s="1981"/>
      <c r="O15" s="1981"/>
      <c r="P15" s="1981"/>
      <c r="Q15" s="1981"/>
      <c r="R15" s="2286">
        <v>14</v>
      </c>
      <c r="S15" s="2289"/>
      <c r="T15" s="2288">
        <f t="shared" si="0"/>
        <v>0</v>
      </c>
      <c r="U15" s="2289"/>
      <c r="V15" s="2288">
        <f t="shared" si="1"/>
        <v>0</v>
      </c>
      <c r="W15" s="2287"/>
      <c r="X15" s="2287"/>
      <c r="Y15" s="2287"/>
      <c r="Z15" s="2287"/>
      <c r="AA15" s="2287"/>
      <c r="AB15" s="2287"/>
      <c r="AC15" s="2300"/>
      <c r="AD15" s="2309"/>
      <c r="AE15" s="2309"/>
      <c r="AF15" s="2309"/>
      <c r="AG15" s="2309"/>
      <c r="AH15" s="2309"/>
      <c r="AI15" s="2309"/>
      <c r="AJ15" s="2312"/>
    </row>
    <row r="16" ht="15.75" spans="1:36">
      <c r="A16" s="2041"/>
      <c r="B16" s="2054" t="s">
        <v>1487</v>
      </c>
      <c r="C16" s="2055"/>
      <c r="D16" s="2055"/>
      <c r="E16" s="2055"/>
      <c r="F16" s="2055">
        <v>1</v>
      </c>
      <c r="G16" s="2055">
        <v>1</v>
      </c>
      <c r="H16" s="2055">
        <v>1</v>
      </c>
      <c r="I16" s="2055">
        <v>1</v>
      </c>
      <c r="J16" s="2216">
        <v>1</v>
      </c>
      <c r="K16" s="1981"/>
      <c r="L16" s="1982"/>
      <c r="M16" s="1982"/>
      <c r="N16" s="1982"/>
      <c r="O16" s="1982"/>
      <c r="P16" s="1982"/>
      <c r="Q16" s="1981"/>
      <c r="R16" s="2286">
        <v>15</v>
      </c>
      <c r="S16" s="2289"/>
      <c r="T16" s="2288">
        <f t="shared" si="0"/>
        <v>0</v>
      </c>
      <c r="U16" s="2289"/>
      <c r="V16" s="2288">
        <f t="shared" si="1"/>
        <v>0</v>
      </c>
      <c r="W16" s="2287"/>
      <c r="X16" s="2287"/>
      <c r="Y16" s="2287"/>
      <c r="Z16" s="2287"/>
      <c r="AA16" s="2287"/>
      <c r="AB16" s="2287"/>
      <c r="AC16" s="2300"/>
      <c r="AD16" s="2309"/>
      <c r="AE16" s="2309"/>
      <c r="AF16" s="2309"/>
      <c r="AG16" s="2309"/>
      <c r="AH16" s="2309"/>
      <c r="AI16" s="2309"/>
      <c r="AJ16" s="2312"/>
    </row>
    <row r="17" spans="1:36">
      <c r="A17" s="2056" t="s">
        <v>1488</v>
      </c>
      <c r="B17" s="2057" t="s">
        <v>1489</v>
      </c>
      <c r="C17" s="2058">
        <f>ROUND(IF(OR(E2="工业",E2="公共服务"),1,IF(AND(E18=0,E19=0),1,IF(AND(E18=J24,E19=G19),0.8,IF(E19=0,1+E17*(-0.2),1+E17*G17*(-0.2))))),4)</f>
        <v>1</v>
      </c>
      <c r="D17" s="2059" t="s">
        <v>1490</v>
      </c>
      <c r="E17" s="2058">
        <f>ROUND(G18/I18,2)</f>
        <v>0</v>
      </c>
      <c r="F17" s="2059" t="s">
        <v>1491</v>
      </c>
      <c r="G17" s="2058" t="e">
        <f>ROUND(E19/G19,2)</f>
        <v>#DIV/0!</v>
      </c>
      <c r="H17" s="2058"/>
      <c r="I17" s="2058"/>
      <c r="J17" s="2217"/>
      <c r="K17" s="1981"/>
      <c r="L17" s="1982"/>
      <c r="M17" s="1982"/>
      <c r="N17" s="1982"/>
      <c r="O17" s="1982"/>
      <c r="P17" s="1982"/>
      <c r="Q17" s="1981"/>
      <c r="R17" s="1981"/>
      <c r="S17" s="1981"/>
      <c r="T17" s="1981"/>
      <c r="U17" s="1981"/>
      <c r="V17" s="1981"/>
      <c r="W17" s="1981"/>
      <c r="X17" s="1981"/>
      <c r="Y17" s="1981"/>
      <c r="Z17" s="2158"/>
      <c r="AA17" s="2158"/>
      <c r="AB17" s="2158"/>
      <c r="AC17" s="2158"/>
      <c r="AD17" s="2158"/>
      <c r="AE17" s="1981"/>
      <c r="AF17" s="1981"/>
      <c r="AG17" s="1982"/>
      <c r="AH17" s="1982"/>
      <c r="AI17" s="1982"/>
      <c r="AJ17" s="1982"/>
    </row>
    <row r="18" s="1980" customFormat="1" ht="14.25" spans="1:36">
      <c r="A18" s="2060"/>
      <c r="B18" s="2061"/>
      <c r="C18" s="2062"/>
      <c r="D18" s="2063" t="s">
        <v>1492</v>
      </c>
      <c r="E18" s="2064"/>
      <c r="F18" s="2065" t="s">
        <v>1493</v>
      </c>
      <c r="G18" s="2062">
        <f>ROUND(1-(1/(POWER(1+G24,E18))),4)</f>
        <v>0</v>
      </c>
      <c r="H18" s="2065" t="s">
        <v>1494</v>
      </c>
      <c r="I18" s="2062">
        <f>ROUND(1-(1/(POWER(1+G24,J24))),4)</f>
        <v>0.9312</v>
      </c>
      <c r="J18" s="2218"/>
      <c r="K18" s="1981"/>
      <c r="L18" s="1982"/>
      <c r="M18" s="1982"/>
      <c r="N18" s="1982"/>
      <c r="O18" s="1982"/>
      <c r="P18" s="1982"/>
      <c r="Q18" s="1981"/>
      <c r="R18" s="2296"/>
      <c r="S18" s="2296"/>
      <c r="T18" s="2158"/>
      <c r="U18" s="2158"/>
      <c r="V18" s="2158"/>
      <c r="W18" s="1981"/>
      <c r="X18" s="1981"/>
      <c r="Y18" s="1981"/>
      <c r="Z18" s="2226"/>
      <c r="AA18" s="2226"/>
      <c r="AB18" s="2226"/>
      <c r="AC18" s="2226"/>
      <c r="AD18" s="2226"/>
      <c r="AE18" s="2158"/>
      <c r="AF18" s="2158"/>
      <c r="AG18" s="2313"/>
      <c r="AH18" s="2313"/>
      <c r="AI18" s="2313"/>
      <c r="AJ18" s="2227"/>
    </row>
    <row r="19" s="1980" customFormat="1" ht="15" spans="1:37">
      <c r="A19" s="2066"/>
      <c r="B19" s="2067"/>
      <c r="C19" s="2068"/>
      <c r="D19" s="2068" t="s">
        <v>1495</v>
      </c>
      <c r="E19" s="2069"/>
      <c r="F19" s="2070" t="s">
        <v>1496</v>
      </c>
      <c r="G19" s="2069"/>
      <c r="H19" s="2068"/>
      <c r="I19" s="2068"/>
      <c r="J19" s="2219"/>
      <c r="K19" s="1981"/>
      <c r="L19" s="1982"/>
      <c r="M19" s="1982"/>
      <c r="N19" s="1982"/>
      <c r="O19" s="1982"/>
      <c r="P19" s="1982"/>
      <c r="Q19" s="2296"/>
      <c r="R19" s="2296"/>
      <c r="S19" s="2296"/>
      <c r="T19" s="2158"/>
      <c r="U19" s="2158"/>
      <c r="V19" s="2158"/>
      <c r="W19" s="1981"/>
      <c r="X19" s="1981"/>
      <c r="Y19" s="1981"/>
      <c r="Z19" s="2226"/>
      <c r="AA19" s="2226"/>
      <c r="AB19" s="2226"/>
      <c r="AC19" s="2226"/>
      <c r="AD19" s="2226"/>
      <c r="AE19" s="2226"/>
      <c r="AF19" s="2296"/>
      <c r="AG19" s="2314"/>
      <c r="AH19" s="2313"/>
      <c r="AI19" s="2315"/>
      <c r="AJ19" s="2315"/>
      <c r="AK19" s="2316"/>
    </row>
    <row r="20" s="1980" customFormat="1" ht="14.25" spans="1:36">
      <c r="A20" s="2071" t="s">
        <v>1497</v>
      </c>
      <c r="B20" s="2072" t="s">
        <v>1498</v>
      </c>
      <c r="C20" s="2073">
        <f>ROUND(IF(F21="与级别开发程度一致",0,(G21-E21)/C21),0)</f>
        <v>-17</v>
      </c>
      <c r="D20" s="2074" t="s">
        <v>1499</v>
      </c>
      <c r="E20" s="2075"/>
      <c r="F20" s="2076" t="s">
        <v>1500</v>
      </c>
      <c r="G20" s="2077"/>
      <c r="H20" s="2078" t="s">
        <v>346</v>
      </c>
      <c r="I20" s="2078" t="s">
        <v>347</v>
      </c>
      <c r="J20" s="2220" t="s">
        <v>348</v>
      </c>
      <c r="K20" s="2221" t="s">
        <v>349</v>
      </c>
      <c r="L20" s="2221" t="s">
        <v>350</v>
      </c>
      <c r="M20" s="2221"/>
      <c r="N20" s="2221" t="s">
        <v>1501</v>
      </c>
      <c r="O20" s="2222" t="s">
        <v>353</v>
      </c>
      <c r="P20" s="1982"/>
      <c r="Q20" s="2296"/>
      <c r="R20" s="2296"/>
      <c r="S20" s="2296"/>
      <c r="T20" s="2158"/>
      <c r="U20" s="2158"/>
      <c r="V20" s="2158"/>
      <c r="W20" s="1981"/>
      <c r="X20" s="1981"/>
      <c r="Y20" s="1981"/>
      <c r="Z20" s="2226"/>
      <c r="AA20" s="2226"/>
      <c r="AB20" s="2226"/>
      <c r="AC20" s="2226"/>
      <c r="AD20" s="2226"/>
      <c r="AE20" s="2226"/>
      <c r="AF20" s="2226"/>
      <c r="AG20" s="2227"/>
      <c r="AH20" s="2227"/>
      <c r="AI20" s="2227"/>
      <c r="AJ20" s="2227"/>
    </row>
    <row r="21" s="1980" customFormat="1" ht="24.75" spans="1:36">
      <c r="A21" s="2079"/>
      <c r="B21" s="2080" t="s">
        <v>1502</v>
      </c>
      <c r="C21" s="2081">
        <f>IF(E3="M4科研用地",SUMPRODUCT((修正!A2:A7=E3)*(修正!B1:M1=G2)*(修正!B2:M7)),SUMPRODUCT((修正!A2:A7=E2)*(修正!B1:M1=G2)*(修正!B2:M7)))</f>
        <v>3.5</v>
      </c>
      <c r="D21" s="2082" t="str">
        <f>IF(OR(G2="八级",G2="九级",G2="十级",G2="十一级",G2="十二级"),"五通一平","七通一平")</f>
        <v>七通一平</v>
      </c>
      <c r="E21" s="2083">
        <f>SUMPRODUCT((修正!B1:M1=G2)*(修正!B17:M17))</f>
        <v>375</v>
      </c>
      <c r="F21" s="2084" t="s">
        <v>1503</v>
      </c>
      <c r="G21" s="2085">
        <f>SUM(H21:O21)</f>
        <v>315</v>
      </c>
      <c r="H21" s="2081">
        <f>SUMPRODUCT((七通一平=H20)*(修正!B1:M1=G2)*(修正!B8:M16))</f>
        <v>80</v>
      </c>
      <c r="I21" s="2081">
        <f>SUMPRODUCT((七通一平=I20)*(修正!B1:M1=G2)*(修正!B8:M16))</f>
        <v>70</v>
      </c>
      <c r="J21" s="2223">
        <f>SUMPRODUCT((七通一平=J20)*(修正!B1:M1=G2)*(修正!B8:M16))</f>
        <v>20</v>
      </c>
      <c r="K21" s="2081">
        <f>SUMPRODUCT((七通一平=K20)*(修正!B1:M1=G2)*(修正!B8:M16))</f>
        <v>30</v>
      </c>
      <c r="L21" s="2081">
        <f>SUMPRODUCT((七通一平=L20)*(修正!B1:M1=G2)*(修正!B8:M16))</f>
        <v>45</v>
      </c>
      <c r="M21" s="2081">
        <f>SUMPRODUCT((七通一平=M20)*(修正!B1:M1=G2)*(修正!B8:M16))</f>
        <v>0</v>
      </c>
      <c r="N21" s="2081">
        <f>SUMPRODUCT((七通一平=N20)*(修正!B1:M1=G2)*(修正!B8:M16))</f>
        <v>50</v>
      </c>
      <c r="O21" s="2224">
        <f>SUMPRODUCT((七通一平=O20)*(修正!B1:M1=G2)*(修正!B8:M16))</f>
        <v>20</v>
      </c>
      <c r="P21" s="1982"/>
      <c r="Q21" s="2227"/>
      <c r="R21" s="2296"/>
      <c r="S21" s="2296"/>
      <c r="T21" s="2158"/>
      <c r="U21" s="2158"/>
      <c r="V21" s="2158"/>
      <c r="W21" s="1981"/>
      <c r="X21" s="1981"/>
      <c r="Y21" s="1981"/>
      <c r="Z21" s="2226"/>
      <c r="AA21" s="2226"/>
      <c r="AB21" s="2226"/>
      <c r="AC21" s="2226"/>
      <c r="AD21" s="2226"/>
      <c r="AE21" s="2226"/>
      <c r="AF21" s="2226"/>
      <c r="AG21" s="2227"/>
      <c r="AH21" s="2227"/>
      <c r="AI21" s="2227"/>
      <c r="AJ21" s="2227"/>
    </row>
    <row r="22" s="1980" customFormat="1" ht="15.75" spans="1:36">
      <c r="A22" s="2086" t="s">
        <v>986</v>
      </c>
      <c r="B22" s="2087" t="s">
        <v>1504</v>
      </c>
      <c r="C22" s="2088">
        <f>SUMIF(修正!C20:C51,E3,修正!E20:E51)</f>
        <v>1</v>
      </c>
      <c r="D22" s="2089"/>
      <c r="E22" s="2090"/>
      <c r="F22" s="2090"/>
      <c r="G22" s="2090"/>
      <c r="H22" s="2090"/>
      <c r="I22" s="2090"/>
      <c r="J22" s="2225"/>
      <c r="K22" s="2226"/>
      <c r="L22" s="2227"/>
      <c r="M22" s="2227"/>
      <c r="N22" s="2227"/>
      <c r="O22" s="2228"/>
      <c r="P22" s="2228"/>
      <c r="Q22" s="2227"/>
      <c r="R22" s="2296"/>
      <c r="S22" s="2296"/>
      <c r="T22" s="2158"/>
      <c r="U22" s="2158"/>
      <c r="V22" s="2158"/>
      <c r="W22" s="1981"/>
      <c r="X22" s="1981"/>
      <c r="Y22" s="1981"/>
      <c r="Z22" s="2226"/>
      <c r="AA22" s="2226"/>
      <c r="AB22" s="2226"/>
      <c r="AC22" s="2226"/>
      <c r="AD22" s="2226"/>
      <c r="AE22" s="2226"/>
      <c r="AF22" s="2226"/>
      <c r="AG22" s="2227"/>
      <c r="AH22" s="2227"/>
      <c r="AI22" s="2227"/>
      <c r="AJ22" s="2227"/>
    </row>
    <row r="23" ht="24.75" spans="1:37">
      <c r="A23" s="2091" t="s">
        <v>991</v>
      </c>
      <c r="B23" s="2092" t="s">
        <v>1505</v>
      </c>
      <c r="C23" s="20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4" t="s">
        <v>1506</v>
      </c>
      <c r="E23" s="2095">
        <v>44197</v>
      </c>
      <c r="F23" s="2094" t="s">
        <v>1507</v>
      </c>
      <c r="G23" s="2096">
        <f>'数据-取费表'!B2</f>
        <v>45394</v>
      </c>
      <c r="H23" s="2097" t="s">
        <v>1508</v>
      </c>
      <c r="I23" s="2229" t="str">
        <f>IF(H23="季度增幅（自定义）",SUMIF(N25:N28,E2,O25:O28),"")</f>
        <v/>
      </c>
      <c r="J23" s="2230" t="s">
        <v>1509</v>
      </c>
      <c r="K23" s="2226"/>
      <c r="L23" s="2231" t="s">
        <v>1510</v>
      </c>
      <c r="M23" s="2232">
        <f>ROUND(SUMIF(地价!B2:G2,E2,地价!B16:G16),0)</f>
        <v>350</v>
      </c>
      <c r="N23" s="2233" t="s">
        <v>1511</v>
      </c>
      <c r="O23" s="2234">
        <f>ROUNDDOWN(DATEDIF(E23,G23,"M")/3,0)</f>
        <v>13</v>
      </c>
      <c r="P23" s="2235"/>
      <c r="Q23" s="2227"/>
      <c r="R23" s="2296"/>
      <c r="S23" s="2296"/>
      <c r="T23" s="2158"/>
      <c r="U23" s="2158"/>
      <c r="V23" s="2158"/>
      <c r="W23" s="1981"/>
      <c r="X23" s="1981"/>
      <c r="Y23" s="1981"/>
      <c r="Z23" s="2226"/>
      <c r="AA23" s="2226"/>
      <c r="AB23" s="2226"/>
      <c r="AC23" s="2226"/>
      <c r="AD23" s="2226"/>
      <c r="AE23" s="2158"/>
      <c r="AF23" s="2158"/>
      <c r="AG23" s="2313"/>
      <c r="AH23" s="2313"/>
      <c r="AI23" s="2313"/>
      <c r="AJ23" s="2313"/>
      <c r="AK23" s="1983"/>
    </row>
    <row r="24" s="1980" customFormat="1" ht="24.75" spans="1:36">
      <c r="A24" s="2098" t="s">
        <v>994</v>
      </c>
      <c r="B24" s="2099" t="s">
        <v>1512</v>
      </c>
      <c r="C24" s="2100">
        <f>ROUND(POWER(1+G24,J24-I24)*(POWER(1+G24,I24)-1)/(POWER(1+G24,J24)-1),4)</f>
        <v>1</v>
      </c>
      <c r="D24" s="2101" t="s">
        <v>1513</v>
      </c>
      <c r="E24" s="2102">
        <f>存贷款利率!E24/100</f>
        <v>0.0435</v>
      </c>
      <c r="F24" s="2101" t="s">
        <v>1514</v>
      </c>
      <c r="G24" s="2103">
        <f>SUMIF(M30:Q30,E2,M33:Q33)</f>
        <v>0.055</v>
      </c>
      <c r="H24" s="2101" t="s">
        <v>1515</v>
      </c>
      <c r="I24" s="2236">
        <f>SUMIF('数据-取费表'!C6:C15,E2,'数据-取费表'!F6:F15)/COUNTIF('数据-取费表'!C6:C15,E2)</f>
        <v>50</v>
      </c>
      <c r="J24" s="2237">
        <f>IF(E2="住宅",70,IF(E2="商业",40,50))</f>
        <v>50</v>
      </c>
      <c r="K24" s="2226"/>
      <c r="L24" s="2238" t="s">
        <v>1516</v>
      </c>
      <c r="M24" s="2239">
        <f>ROUND(SUMPRODUCT((地价!A4:A16=YEAR(G23)&amp;"-"&amp;ROUNDUP(MONTH(G23)/3,0))*(地价!B2:G2=E2)*(地价!B4:G16)),0)</f>
        <v>0</v>
      </c>
      <c r="N24" s="2240" t="s">
        <v>1517</v>
      </c>
      <c r="O24" s="2241" t="s">
        <v>1518</v>
      </c>
      <c r="P24" s="2242" t="s">
        <v>1519</v>
      </c>
      <c r="Q24" s="1982"/>
      <c r="R24" s="2296"/>
      <c r="S24" s="2296"/>
      <c r="T24" s="2158"/>
      <c r="U24" s="2158"/>
      <c r="V24" s="2158"/>
      <c r="W24" s="1981"/>
      <c r="X24" s="1981"/>
      <c r="Y24" s="1981"/>
      <c r="Z24" s="2226"/>
      <c r="AA24" s="2226"/>
      <c r="AB24" s="2226"/>
      <c r="AC24" s="2226"/>
      <c r="AD24" s="2226"/>
      <c r="AE24" s="2226"/>
      <c r="AF24" s="2226"/>
      <c r="AG24" s="2227"/>
      <c r="AH24" s="2227"/>
      <c r="AI24" s="2227"/>
      <c r="AJ24" s="2227"/>
    </row>
    <row r="25" ht="15" spans="1:36">
      <c r="A25" s="2104" t="s">
        <v>1016</v>
      </c>
      <c r="B25" s="2105" t="s">
        <v>1520</v>
      </c>
      <c r="C25" s="2106">
        <f>IF(B25="容积率修正",IF(G3&lt;10,D26,J26),C27)</f>
        <v>1.2256</v>
      </c>
      <c r="D25" s="2107"/>
      <c r="E25" s="2107"/>
      <c r="F25" s="2107"/>
      <c r="G25" s="2107"/>
      <c r="H25" s="2107"/>
      <c r="I25" s="2107"/>
      <c r="J25" s="2243"/>
      <c r="K25" s="2226"/>
      <c r="L25" s="2227"/>
      <c r="M25" s="2227"/>
      <c r="N25" s="2244" t="s">
        <v>1521</v>
      </c>
      <c r="O25" s="2245"/>
      <c r="P25" s="2246">
        <f>SUMPRODUCT((地价!A3:A40=YEAR(G23)&amp;"-"&amp;ROUNDUP(MONTH(G23)/3,0))*(地价!AD2:AH2=N25)*(地价!AD3:AH40))</f>
        <v>0</v>
      </c>
      <c r="Q25" s="2227"/>
      <c r="R25" s="2296"/>
      <c r="S25" s="2296"/>
      <c r="T25" s="2158"/>
      <c r="U25" s="2158"/>
      <c r="V25" s="2158"/>
      <c r="W25" s="1981"/>
      <c r="X25" s="1981"/>
      <c r="Y25" s="1981"/>
      <c r="Z25" s="2226"/>
      <c r="AA25" s="2226"/>
      <c r="AB25" s="2226"/>
      <c r="AC25" s="2226"/>
      <c r="AD25" s="2226"/>
      <c r="AE25" s="2158"/>
      <c r="AF25" s="2158"/>
      <c r="AG25" s="2313"/>
      <c r="AH25" s="2313"/>
      <c r="AI25" s="2313"/>
      <c r="AJ25" s="2313"/>
    </row>
    <row r="26" ht="14.25" spans="1:36">
      <c r="A26" s="1110" t="s">
        <v>1522</v>
      </c>
      <c r="B26" s="2108" t="s">
        <v>1523</v>
      </c>
      <c r="C26" s="2109" t="s">
        <v>1524</v>
      </c>
      <c r="D26" s="863">
        <f>IF(E26=G26,F26,IF(G3&lt;10,ROUND(F26+(H26-F26)*(G3-E26)/(G26-E26),4),"——"))</f>
        <v>1.2256</v>
      </c>
      <c r="E26" s="1995">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v>
      </c>
      <c r="G26" s="1995">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v>
      </c>
      <c r="I26" s="2109" t="s">
        <v>1525</v>
      </c>
      <c r="J26" s="2247" t="str">
        <f>IF(G3&gt;=10,D115,"——")</f>
        <v>——</v>
      </c>
      <c r="K26" s="2226"/>
      <c r="L26" s="2227"/>
      <c r="M26" s="2227"/>
      <c r="N26" s="2244" t="s">
        <v>1526</v>
      </c>
      <c r="O26" s="2245"/>
      <c r="P26" s="2246">
        <f>SUMPRODUCT((地价!A3:A40=YEAR(G23)&amp;"-"&amp;ROUNDUP(MONTH(G23)/3,0))*(地价!AD2:AH2=N26)*(地价!AD3:AH40))</f>
        <v>0</v>
      </c>
      <c r="Q26" s="1982"/>
      <c r="R26" s="2296"/>
      <c r="S26" s="2296"/>
      <c r="T26" s="2158"/>
      <c r="U26" s="2158"/>
      <c r="V26" s="2158"/>
      <c r="W26" s="1981"/>
      <c r="X26" s="1981"/>
      <c r="Y26" s="1981"/>
      <c r="Z26" s="2226"/>
      <c r="AA26" s="2226"/>
      <c r="AB26" s="2226"/>
      <c r="AC26" s="2226"/>
      <c r="AD26" s="2226"/>
      <c r="AE26" s="2158"/>
      <c r="AF26" s="2158"/>
      <c r="AG26" s="2313"/>
      <c r="AH26" s="2313"/>
      <c r="AI26" s="2313"/>
      <c r="AJ26" s="2313"/>
    </row>
    <row r="27" ht="15.75" spans="1:36">
      <c r="A27" s="1110" t="s">
        <v>1527</v>
      </c>
      <c r="B27" s="2110" t="s">
        <v>1528</v>
      </c>
      <c r="C27" s="2111">
        <f>ROUND(IF(I3&lt;6,SUMPRODUCT((B106:B110=I3)*(C105:N105=G2)*(C106:N110)),SUMIF(C105:N105,G2,C112:N112)),4)</f>
        <v>0</v>
      </c>
      <c r="D27" s="2112"/>
      <c r="E27" s="2112"/>
      <c r="F27" s="2113"/>
      <c r="G27" s="2114"/>
      <c r="H27" s="2115"/>
      <c r="I27" s="2248"/>
      <c r="J27" s="2249"/>
      <c r="K27" s="1981"/>
      <c r="L27" s="1982"/>
      <c r="M27" s="1982"/>
      <c r="N27" s="2244" t="s">
        <v>1529</v>
      </c>
      <c r="O27" s="2245"/>
      <c r="P27" s="2246">
        <f>SUMPRODUCT((地价!A3:A40=YEAR(G23)&amp;"-"&amp;ROUNDUP(MONTH(G23)/3,0))*(地价!AD2:AH2=N27)*(地价!AD3:AH40))</f>
        <v>0</v>
      </c>
      <c r="Q27" s="1982"/>
      <c r="R27" s="2296"/>
      <c r="S27" s="2296"/>
      <c r="T27" s="2158"/>
      <c r="U27" s="2158"/>
      <c r="V27" s="2158"/>
      <c r="W27" s="1981"/>
      <c r="X27" s="1981"/>
      <c r="Y27" s="1981"/>
      <c r="Z27" s="2226"/>
      <c r="AA27" s="2226"/>
      <c r="AB27" s="2226"/>
      <c r="AC27" s="2226"/>
      <c r="AD27" s="2226"/>
      <c r="AE27" s="2158"/>
      <c r="AF27" s="2158"/>
      <c r="AG27" s="2313"/>
      <c r="AH27" s="2313"/>
      <c r="AI27" s="2313"/>
      <c r="AJ27" s="2313"/>
    </row>
    <row r="28" ht="15.75" spans="1:36">
      <c r="A28" s="2098" t="s">
        <v>1530</v>
      </c>
      <c r="B28" s="2092" t="s">
        <v>1531</v>
      </c>
      <c r="C28" s="2093">
        <f>SUMIF(A47:A101,E2,B47:B101)</f>
        <v>1.0153</v>
      </c>
      <c r="D28" s="2116"/>
      <c r="E28" s="2117"/>
      <c r="F28" s="2117"/>
      <c r="G28" s="2117"/>
      <c r="H28" s="2117"/>
      <c r="I28" s="2117"/>
      <c r="J28" s="2250"/>
      <c r="K28" s="2226"/>
      <c r="L28" s="2227"/>
      <c r="M28" s="2227"/>
      <c r="N28" s="2251" t="s">
        <v>1532</v>
      </c>
      <c r="O28" s="2252"/>
      <c r="P28" s="2253">
        <f>SUMPRODUCT((地价!A3:A40=YEAR(G23)&amp;"-"&amp;ROUNDUP(MONTH(G23)/3,0))*(地价!AD2:AH2=N28)*(地价!AD3:AH40))</f>
        <v>0</v>
      </c>
      <c r="Q28" s="2296"/>
      <c r="R28" s="2296"/>
      <c r="S28" s="2296"/>
      <c r="T28" s="2158"/>
      <c r="U28" s="2158"/>
      <c r="V28" s="2158"/>
      <c r="W28" s="1981"/>
      <c r="X28" s="1981"/>
      <c r="Y28" s="1981"/>
      <c r="Z28" s="2226"/>
      <c r="AA28" s="2226"/>
      <c r="AB28" s="2226"/>
      <c r="AC28" s="2226"/>
      <c r="AD28" s="2226"/>
      <c r="AE28" s="2158"/>
      <c r="AF28" s="2158"/>
      <c r="AG28" s="2313"/>
      <c r="AH28" s="2313"/>
      <c r="AI28" s="2313"/>
      <c r="AJ28" s="2313"/>
    </row>
    <row r="29" ht="15.75" spans="1:36">
      <c r="A29" s="2098" t="s">
        <v>1533</v>
      </c>
      <c r="B29" s="2118" t="s">
        <v>1534</v>
      </c>
      <c r="C29" s="2119"/>
      <c r="D29" s="2018"/>
      <c r="E29" s="2018"/>
      <c r="F29" s="2120"/>
      <c r="G29" s="2018"/>
      <c r="H29" s="2018"/>
      <c r="I29" s="2018"/>
      <c r="J29" s="2204"/>
      <c r="K29" s="1981"/>
      <c r="L29" s="1982"/>
      <c r="M29" s="1982"/>
      <c r="N29" s="2254" t="s">
        <v>1535</v>
      </c>
      <c r="O29" s="2255"/>
      <c r="P29" s="2256">
        <f>SUMPRODUCT((地价!A3:A40=YEAR(G23)&amp;"-"&amp;ROUNDUP(MONTH(G23)/3,0))*(地价!AD2:AH2=N29)*(地价!AD3:AH40))</f>
        <v>0</v>
      </c>
      <c r="Q29" s="2296"/>
      <c r="R29" s="2296"/>
      <c r="S29" s="2296"/>
      <c r="T29" s="2158"/>
      <c r="U29" s="2158"/>
      <c r="V29" s="2158"/>
      <c r="W29" s="1981"/>
      <c r="X29" s="1981"/>
      <c r="Y29" s="1981"/>
      <c r="Z29" s="2226"/>
      <c r="AA29" s="2226"/>
      <c r="AB29" s="2226"/>
      <c r="AC29" s="2226"/>
      <c r="AD29" s="2226"/>
      <c r="AE29" s="1981"/>
      <c r="AF29" s="1981"/>
      <c r="AG29" s="1982"/>
      <c r="AH29" s="1982"/>
      <c r="AI29" s="1982"/>
      <c r="AJ29" s="1982"/>
    </row>
    <row r="30" ht="15" spans="1:36">
      <c r="A30" s="2121"/>
      <c r="B30" s="2108" t="s">
        <v>1536</v>
      </c>
      <c r="C30" s="2122">
        <f>IF(B25="容积率修正",E33+SUM(E37:E42),SUM(V2:V16)+SUM(E37:E42))</f>
        <v>2373</v>
      </c>
      <c r="D30" s="2123"/>
      <c r="E30" s="2112"/>
      <c r="F30" s="2124"/>
      <c r="G30" s="2112"/>
      <c r="H30" s="2112"/>
      <c r="I30" s="2112"/>
      <c r="J30" s="2257"/>
      <c r="K30" s="1981"/>
      <c r="L30" s="2258" t="s">
        <v>1421</v>
      </c>
      <c r="M30" s="2259" t="s">
        <v>1537</v>
      </c>
      <c r="N30" s="2259" t="s">
        <v>1538</v>
      </c>
      <c r="O30" s="2259" t="s">
        <v>1539</v>
      </c>
      <c r="P30" s="2259" t="s">
        <v>1540</v>
      </c>
      <c r="Q30" s="2297" t="s">
        <v>280</v>
      </c>
      <c r="R30" s="2296"/>
      <c r="S30" s="2296"/>
      <c r="T30" s="2158"/>
      <c r="U30" s="2158"/>
      <c r="V30" s="2158"/>
      <c r="W30" s="1981"/>
      <c r="X30" s="1981"/>
      <c r="Y30" s="1981"/>
      <c r="Z30" s="2226"/>
      <c r="AA30" s="2226"/>
      <c r="AB30" s="2226"/>
      <c r="AC30" s="2226"/>
      <c r="AD30" s="2226"/>
      <c r="AE30" s="1981"/>
      <c r="AF30" s="1981"/>
      <c r="AG30" s="1982"/>
      <c r="AH30" s="1982"/>
      <c r="AI30" s="1982"/>
      <c r="AJ30" s="1982"/>
    </row>
    <row r="31" ht="15.75" spans="1:36">
      <c r="A31" s="2121"/>
      <c r="B31" s="2125" t="s">
        <v>1541</v>
      </c>
      <c r="C31" s="2126">
        <f>E34+SUM(I37:I42)</f>
        <v>593</v>
      </c>
      <c r="D31" s="2127"/>
      <c r="E31" s="2128"/>
      <c r="F31" s="2129"/>
      <c r="G31" s="2128"/>
      <c r="H31" s="2128"/>
      <c r="I31" s="2128"/>
      <c r="J31" s="2260"/>
      <c r="K31" s="1981"/>
      <c r="L31" s="2261" t="s">
        <v>1542</v>
      </c>
      <c r="M31" s="1990">
        <v>0.25</v>
      </c>
      <c r="N31" s="1990">
        <v>0.2</v>
      </c>
      <c r="O31" s="1990">
        <v>0.15</v>
      </c>
      <c r="P31" s="1990">
        <v>0.1</v>
      </c>
      <c r="Q31" s="2298">
        <v>0.15</v>
      </c>
      <c r="R31" s="2296"/>
      <c r="S31" s="2296"/>
      <c r="T31" s="2158"/>
      <c r="U31" s="2158"/>
      <c r="V31" s="2158"/>
      <c r="W31" s="1981"/>
      <c r="X31" s="1981"/>
      <c r="Y31" s="1981"/>
      <c r="Z31" s="2226"/>
      <c r="AA31" s="2226"/>
      <c r="AB31" s="2226"/>
      <c r="AC31" s="2226"/>
      <c r="AD31" s="2226"/>
      <c r="AE31" s="1981"/>
      <c r="AF31" s="1981"/>
      <c r="AG31" s="1982"/>
      <c r="AH31" s="1982"/>
      <c r="AI31" s="1982"/>
      <c r="AJ31" s="1982"/>
    </row>
    <row r="32" ht="15.75" spans="1:36">
      <c r="A32" s="2130"/>
      <c r="B32" s="2131" t="s">
        <v>1543</v>
      </c>
      <c r="C32" s="2132" t="s">
        <v>1544</v>
      </c>
      <c r="D32" s="2132" t="s">
        <v>568</v>
      </c>
      <c r="E32" s="2133" t="s">
        <v>1545</v>
      </c>
      <c r="F32" s="2134"/>
      <c r="G32" s="2040"/>
      <c r="H32" s="2040"/>
      <c r="I32" s="2040"/>
      <c r="J32" s="2210"/>
      <c r="K32" s="1981"/>
      <c r="L32" s="2262" t="s">
        <v>1514</v>
      </c>
      <c r="M32" s="2263">
        <f>ROUND($E$24*(1+M31),3)</f>
        <v>0.054</v>
      </c>
      <c r="N32" s="2263">
        <f>ROUND($E$24*(1+N31),3)</f>
        <v>0.052</v>
      </c>
      <c r="O32" s="2263">
        <f>ROUND($E$24*(1+O31),3)</f>
        <v>0.05</v>
      </c>
      <c r="P32" s="2263">
        <f>ROUND($E$24*(1+P31),3)</f>
        <v>0.048</v>
      </c>
      <c r="Q32" s="2299">
        <f>ROUND($E$24*(1+Q31),3)</f>
        <v>0.05</v>
      </c>
      <c r="R32" s="2296"/>
      <c r="S32" s="2296"/>
      <c r="T32" s="2158"/>
      <c r="U32" s="2158"/>
      <c r="V32" s="2158"/>
      <c r="W32" s="1981"/>
      <c r="X32" s="1981"/>
      <c r="Y32" s="1981"/>
      <c r="Z32" s="2226"/>
      <c r="AA32" s="2226"/>
      <c r="AB32" s="2226"/>
      <c r="AC32" s="2226"/>
      <c r="AD32" s="2226"/>
      <c r="AE32" s="1981"/>
      <c r="AF32" s="1981"/>
      <c r="AG32" s="1982"/>
      <c r="AH32" s="1982"/>
      <c r="AI32" s="1982"/>
      <c r="AJ32" s="1982"/>
    </row>
    <row r="33" ht="14.25" spans="1:36">
      <c r="A33" s="2135"/>
      <c r="B33" s="2136" t="s">
        <v>1546</v>
      </c>
      <c r="C33" s="2137">
        <f>ROUND(C5*C22*C23*C24*C25*C28,0)</f>
        <v>34125</v>
      </c>
      <c r="D33" s="2138">
        <f>'数据-汇总表'!F27</f>
        <v>695.5</v>
      </c>
      <c r="E33" s="939">
        <f>ROUND(C33*D33/10000,0)</f>
        <v>2373</v>
      </c>
      <c r="F33" s="2139" t="s">
        <v>1547</v>
      </c>
      <c r="G33" s="2140"/>
      <c r="H33" s="2140"/>
      <c r="I33" s="2140"/>
      <c r="J33" s="2264"/>
      <c r="K33" s="1981"/>
      <c r="L33" s="2265" t="s">
        <v>1548</v>
      </c>
      <c r="M33" s="2266">
        <v>0.055</v>
      </c>
      <c r="N33" s="2266">
        <v>0.055</v>
      </c>
      <c r="O33" s="2266">
        <v>0.05</v>
      </c>
      <c r="P33" s="2266">
        <v>0.05</v>
      </c>
      <c r="Q33" s="2266">
        <v>0.05</v>
      </c>
      <c r="R33" s="2296"/>
      <c r="S33" s="2296"/>
      <c r="T33" s="2158"/>
      <c r="U33" s="2158"/>
      <c r="V33" s="2158"/>
      <c r="W33" s="1981"/>
      <c r="X33" s="1981"/>
      <c r="Y33" s="1981"/>
      <c r="Z33" s="2226"/>
      <c r="AA33" s="2226"/>
      <c r="AB33" s="2226"/>
      <c r="AC33" s="2226"/>
      <c r="AD33" s="2226"/>
      <c r="AE33" s="2158"/>
      <c r="AF33" s="2158"/>
      <c r="AG33" s="2313"/>
      <c r="AH33" s="2313"/>
      <c r="AI33" s="2313"/>
      <c r="AJ33" s="2313"/>
    </row>
    <row r="34" ht="25.5" spans="1:36">
      <c r="A34" s="2141"/>
      <c r="B34" s="2142" t="s">
        <v>1549</v>
      </c>
      <c r="C34" s="2082">
        <f>ROUND(IF(E2="工业",C33*M42,IF(B25="楼层修正",SUM(V2:V16)*M41*10000/D34,C33*M41)),0)</f>
        <v>8531</v>
      </c>
      <c r="D34" s="2143">
        <f>D33</f>
        <v>695.5</v>
      </c>
      <c r="E34" s="939">
        <f>ROUND(IF(B25="楼层修正",SUM(V2:V16)*M40,C34*D34/10000),0)</f>
        <v>593</v>
      </c>
      <c r="F34" s="2144" t="s">
        <v>1550</v>
      </c>
      <c r="G34" s="2145"/>
      <c r="H34" s="2145"/>
      <c r="I34" s="2145"/>
      <c r="J34" s="2267"/>
      <c r="K34" s="1981"/>
      <c r="L34" s="2265" t="s">
        <v>1551</v>
      </c>
      <c r="M34" s="2266">
        <v>0.065</v>
      </c>
      <c r="N34" s="2266">
        <v>0.065</v>
      </c>
      <c r="O34" s="2266">
        <v>0.06</v>
      </c>
      <c r="P34" s="2266">
        <v>0.06</v>
      </c>
      <c r="Q34" s="2266">
        <v>0.06</v>
      </c>
      <c r="R34" s="2296"/>
      <c r="S34" s="2296"/>
      <c r="T34" s="2158"/>
      <c r="U34" s="2158"/>
      <c r="V34" s="2158"/>
      <c r="W34" s="1981"/>
      <c r="X34" s="1981"/>
      <c r="Y34" s="1981"/>
      <c r="Z34" s="2226"/>
      <c r="AA34" s="2226"/>
      <c r="AB34" s="2226"/>
      <c r="AC34" s="2226"/>
      <c r="AD34" s="2226"/>
      <c r="AE34" s="2158"/>
      <c r="AF34" s="2158"/>
      <c r="AG34" s="2313"/>
      <c r="AH34" s="2313"/>
      <c r="AI34" s="2313"/>
      <c r="AJ34" s="2313"/>
    </row>
    <row r="35" spans="1:36">
      <c r="A35" s="2146"/>
      <c r="B35" s="2147" t="s">
        <v>1552</v>
      </c>
      <c r="C35" s="2148" t="s">
        <v>1553</v>
      </c>
      <c r="D35" s="2040"/>
      <c r="E35" s="2149"/>
      <c r="F35" s="2149"/>
      <c r="G35" s="2038" t="s">
        <v>1550</v>
      </c>
      <c r="H35" s="2040"/>
      <c r="I35" s="2268"/>
      <c r="J35" s="2210"/>
      <c r="K35" s="1981"/>
      <c r="L35" s="1981"/>
      <c r="M35" s="1981"/>
      <c r="N35" s="1981"/>
      <c r="O35" s="2228"/>
      <c r="P35" s="2228"/>
      <c r="Q35" s="2296"/>
      <c r="R35" s="1981"/>
      <c r="S35" s="1981"/>
      <c r="T35" s="1981"/>
      <c r="U35" s="1981"/>
      <c r="V35" s="1981"/>
      <c r="W35" s="1981"/>
      <c r="X35" s="1981"/>
      <c r="Y35" s="1981"/>
      <c r="Z35" s="2158"/>
      <c r="AA35" s="2158"/>
      <c r="AB35" s="2158"/>
      <c r="AC35" s="2158"/>
      <c r="AD35" s="2158"/>
      <c r="AE35" s="2158"/>
      <c r="AF35" s="2158"/>
      <c r="AG35" s="2313"/>
      <c r="AH35" s="2313"/>
      <c r="AI35" s="2313"/>
      <c r="AJ35" s="2313"/>
    </row>
    <row r="36" ht="24.75" spans="1:36">
      <c r="A36" s="2135"/>
      <c r="B36" s="2150"/>
      <c r="C36" s="845" t="s">
        <v>1544</v>
      </c>
      <c r="D36" s="842" t="s">
        <v>568</v>
      </c>
      <c r="E36" s="842" t="s">
        <v>1545</v>
      </c>
      <c r="F36" s="1651" t="s">
        <v>1554</v>
      </c>
      <c r="G36" s="2151" t="s">
        <v>1544</v>
      </c>
      <c r="H36" s="2151" t="s">
        <v>568</v>
      </c>
      <c r="I36" s="2151" t="s">
        <v>1545</v>
      </c>
      <c r="J36" s="444"/>
      <c r="K36" s="2269" t="s">
        <v>1555</v>
      </c>
      <c r="L36" s="2270">
        <f ca="1">'数据-取费表'!B40</f>
        <v>0.0345</v>
      </c>
      <c r="M36" s="2271">
        <f ca="1">ROUND($L$36*(1+M31),3)</f>
        <v>0.043</v>
      </c>
      <c r="N36" s="2271">
        <f ca="1">ROUND($L$36*(1+N31),3)</f>
        <v>0.041</v>
      </c>
      <c r="O36" s="2271">
        <f ca="1">ROUND($L$36*(1+O31),3)</f>
        <v>0.04</v>
      </c>
      <c r="P36" s="2271">
        <f ca="1">ROUND($L$36*(1+P31),3)</f>
        <v>0.038</v>
      </c>
      <c r="Q36" s="2271">
        <f ca="1">ROUND($L$36*(1+Q31),3)</f>
        <v>0.04</v>
      </c>
      <c r="R36" s="1981"/>
      <c r="S36" s="1981"/>
      <c r="T36" s="1981"/>
      <c r="U36" s="1981"/>
      <c r="V36" s="1981"/>
      <c r="W36" s="1981"/>
      <c r="X36" s="1981"/>
      <c r="Y36" s="1981"/>
      <c r="Z36" s="2158"/>
      <c r="AA36" s="2158"/>
      <c r="AB36" s="2158"/>
      <c r="AC36" s="2158"/>
      <c r="AD36" s="2158"/>
      <c r="AE36" s="2158"/>
      <c r="AF36" s="2158"/>
      <c r="AG36" s="2313"/>
      <c r="AH36" s="2313"/>
      <c r="AI36" s="2313"/>
      <c r="AJ36" s="2313"/>
    </row>
    <row r="37" ht="24.75" spans="1:36">
      <c r="A37" s="2152"/>
      <c r="B37" s="2153" t="s">
        <v>1556</v>
      </c>
      <c r="C37" s="2137">
        <f>ROUND(D5*C22*C23*C24*C28*F37,0)</f>
        <v>19490</v>
      </c>
      <c r="D37" s="2138"/>
      <c r="E37" s="865">
        <f>ROUND(C37*D37/10000,0)</f>
        <v>0</v>
      </c>
      <c r="F37" s="865">
        <f>SUMIF(修正!A57:A68,G2,修正!B57:B68)</f>
        <v>0.7</v>
      </c>
      <c r="G37" s="865">
        <f>ROUND(IF(E2="工业",C37*$M$42,C37*$M$41),0)</f>
        <v>4873</v>
      </c>
      <c r="H37" s="865">
        <f>D37</f>
        <v>0</v>
      </c>
      <c r="I37" s="865">
        <f>ROUND(G37*H37/10000,0)</f>
        <v>0</v>
      </c>
      <c r="J37" s="2272"/>
      <c r="K37" s="2273" t="s">
        <v>1557</v>
      </c>
      <c r="L37" s="2269">
        <f ca="1">L36+K38</f>
        <v>0.0395</v>
      </c>
      <c r="M37" s="2271">
        <f ca="1">ROUND($L$37*(1+M31),3)</f>
        <v>0.049</v>
      </c>
      <c r="N37" s="2271">
        <f ca="1" t="shared" ref="N37:Q37" si="3">ROUND($L$37*(1+N31),3)</f>
        <v>0.047</v>
      </c>
      <c r="O37" s="2271">
        <f ca="1" t="shared" si="3"/>
        <v>0.045</v>
      </c>
      <c r="P37" s="2271">
        <f ca="1" t="shared" si="3"/>
        <v>0.043</v>
      </c>
      <c r="Q37" s="2271">
        <f ca="1" t="shared" si="3"/>
        <v>0.045</v>
      </c>
      <c r="R37" s="1981"/>
      <c r="S37" s="1981"/>
      <c r="T37" s="1981"/>
      <c r="U37" s="1981"/>
      <c r="V37" s="1981"/>
      <c r="W37" s="1981"/>
      <c r="X37" s="1981"/>
      <c r="Y37" s="1981"/>
      <c r="Z37" s="2158"/>
      <c r="AA37" s="2158"/>
      <c r="AB37" s="2158"/>
      <c r="AC37" s="2158"/>
      <c r="AD37" s="2158"/>
      <c r="AE37" s="2158"/>
      <c r="AF37" s="2158"/>
      <c r="AG37" s="2313"/>
      <c r="AH37" s="2313"/>
      <c r="AI37" s="2313"/>
      <c r="AJ37" s="2313"/>
    </row>
    <row r="38" spans="1:30">
      <c r="A38" s="2154"/>
      <c r="B38" s="2043" t="s">
        <v>1558</v>
      </c>
      <c r="C38" s="2137">
        <f>ROUND(D5*C22*C23*C24*C28*F38,0)</f>
        <v>11137</v>
      </c>
      <c r="D38" s="2138"/>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4"/>
      <c r="K38" s="2269">
        <v>0.005</v>
      </c>
      <c r="L38" s="2269"/>
      <c r="M38" s="2269"/>
      <c r="N38" s="2269"/>
      <c r="O38" s="2269"/>
      <c r="P38" s="2269"/>
      <c r="Q38" s="2269"/>
      <c r="R38" s="1981"/>
      <c r="S38" s="1981"/>
      <c r="T38" s="1981"/>
      <c r="U38" s="1981"/>
      <c r="V38" s="1981"/>
      <c r="W38" s="1981"/>
      <c r="X38" s="1981"/>
      <c r="Y38" s="1981"/>
      <c r="Z38" s="2158"/>
      <c r="AA38" s="2158"/>
      <c r="AB38" s="2158"/>
      <c r="AC38" s="2158"/>
      <c r="AD38" s="2158"/>
    </row>
    <row r="39" ht="13.5" spans="1:30">
      <c r="A39" s="2154"/>
      <c r="B39" s="2043" t="s">
        <v>1559</v>
      </c>
      <c r="C39" s="2137">
        <f>ROUND(D5*C22*C23*C24*C28*F39,0)</f>
        <v>8353</v>
      </c>
      <c r="D39" s="2138"/>
      <c r="E39" s="865">
        <f t="shared" si="4"/>
        <v>0</v>
      </c>
      <c r="F39" s="865">
        <f>SUMIF(修正!A57:A68,G2,修正!D57:D68)</f>
        <v>0.3</v>
      </c>
      <c r="G39" s="865">
        <f>ROUND(IF(E2="工业",C39*$M$42,C39*$M$41),0)</f>
        <v>2088</v>
      </c>
      <c r="H39" s="865">
        <f t="shared" si="5"/>
        <v>0</v>
      </c>
      <c r="I39" s="865">
        <f t="shared" si="6"/>
        <v>0</v>
      </c>
      <c r="J39" s="2154"/>
      <c r="K39" s="1981"/>
      <c r="L39" s="1981"/>
      <c r="M39" s="1981"/>
      <c r="N39" s="1981"/>
      <c r="O39" s="1981"/>
      <c r="P39" s="1981"/>
      <c r="Q39" s="1981"/>
      <c r="R39" s="1981"/>
      <c r="S39" s="1981"/>
      <c r="T39" s="1981"/>
      <c r="U39" s="1981"/>
      <c r="V39" s="1981"/>
      <c r="W39" s="1981"/>
      <c r="X39" s="1981"/>
      <c r="Y39" s="1981"/>
      <c r="Z39" s="2158"/>
      <c r="AA39" s="2158"/>
      <c r="AB39" s="2158"/>
      <c r="AC39" s="2158"/>
      <c r="AD39" s="2158"/>
    </row>
    <row r="40" s="1981" customFormat="1" spans="1:36">
      <c r="A40" s="2155"/>
      <c r="B40" s="2043" t="s">
        <v>1560</v>
      </c>
      <c r="C40" s="865">
        <f>ROUND(D5*C22*C23*C24*C28*F40,0)</f>
        <v>8353</v>
      </c>
      <c r="D40" s="2138"/>
      <c r="E40" s="865">
        <f t="shared" si="4"/>
        <v>0</v>
      </c>
      <c r="F40" s="2137">
        <f>SUMIF(修正!A57:A68,G2,修正!E57:E68)</f>
        <v>0.3</v>
      </c>
      <c r="G40" s="865">
        <f>ROUND(IF(E2="工业",C40*$M$42,C40*$M$41),0)</f>
        <v>2088</v>
      </c>
      <c r="H40" s="865">
        <f t="shared" si="5"/>
        <v>0</v>
      </c>
      <c r="I40" s="865">
        <f t="shared" si="6"/>
        <v>0</v>
      </c>
      <c r="J40" s="2274"/>
      <c r="L40" s="2275" t="s">
        <v>1561</v>
      </c>
      <c r="M40" s="2276"/>
      <c r="Z40" s="2158"/>
      <c r="AA40" s="2158"/>
      <c r="AB40" s="2158"/>
      <c r="AC40" s="2158"/>
      <c r="AD40" s="2158"/>
      <c r="AE40" s="2158"/>
      <c r="AF40" s="2158"/>
      <c r="AG40" s="2158"/>
      <c r="AH40" s="2158"/>
      <c r="AI40" s="2158"/>
      <c r="AJ40" s="2158"/>
    </row>
    <row r="41" s="1981" customFormat="1" spans="1:36">
      <c r="A41" s="2155"/>
      <c r="B41" s="2043" t="s">
        <v>1562</v>
      </c>
      <c r="C41" s="865">
        <f>ROUND(D5*C22*C23*C44*C28*F41,0)</f>
        <v>0</v>
      </c>
      <c r="D41" s="2138"/>
      <c r="E41" s="865">
        <f t="shared" si="4"/>
        <v>0</v>
      </c>
      <c r="F41" s="2137">
        <f>SUMIF(修正!A57:A68,G2,修正!F57:F68)</f>
        <v>0.3</v>
      </c>
      <c r="G41" s="865">
        <f>ROUND(IF(E2="工业",C41*$M$42,C41*$M$41),0)</f>
        <v>0</v>
      </c>
      <c r="H41" s="865">
        <f t="shared" si="5"/>
        <v>0</v>
      </c>
      <c r="I41" s="865">
        <f t="shared" si="6"/>
        <v>0</v>
      </c>
      <c r="J41" s="2274"/>
      <c r="L41" s="2277" t="s">
        <v>1563</v>
      </c>
      <c r="M41" s="2278">
        <v>0.25</v>
      </c>
      <c r="Z41" s="2158"/>
      <c r="AA41" s="2158"/>
      <c r="AB41" s="2158"/>
      <c r="AC41" s="2158"/>
      <c r="AD41" s="2158"/>
      <c r="AE41" s="2158"/>
      <c r="AF41" s="2158"/>
      <c r="AG41" s="2158"/>
      <c r="AH41" s="2158"/>
      <c r="AI41" s="2158"/>
      <c r="AJ41" s="2158"/>
    </row>
    <row r="42" s="1981" customFormat="1" ht="13.5" spans="1:36">
      <c r="A42" s="2141"/>
      <c r="B42" s="2156" t="s">
        <v>1564</v>
      </c>
      <c r="C42" s="2082">
        <f>ROUND(D5*C22*C23*C44*C28*F42,0)</f>
        <v>0</v>
      </c>
      <c r="D42" s="2143"/>
      <c r="E42" s="2082">
        <f t="shared" si="4"/>
        <v>0</v>
      </c>
      <c r="F42" s="2157">
        <f>SUMIF(修正!A57:A68,G2,修正!G57:G68)</f>
        <v>0.2</v>
      </c>
      <c r="G42" s="2082">
        <f>ROUND(IF(E2="工业",C42*$M$42,C42*$M$41),0)</f>
        <v>0</v>
      </c>
      <c r="H42" s="2082">
        <f t="shared" si="5"/>
        <v>0</v>
      </c>
      <c r="I42" s="2082">
        <f t="shared" si="6"/>
        <v>0</v>
      </c>
      <c r="J42" s="2279"/>
      <c r="L42" s="2280" t="s">
        <v>1540</v>
      </c>
      <c r="M42" s="2281">
        <v>0.15</v>
      </c>
      <c r="Z42" s="2158"/>
      <c r="AA42" s="2158"/>
      <c r="AB42" s="2158"/>
      <c r="AC42" s="2158"/>
      <c r="AD42" s="2158"/>
      <c r="AE42" s="2158"/>
      <c r="AF42" s="2158"/>
      <c r="AG42" s="2158"/>
      <c r="AH42" s="2158"/>
      <c r="AI42" s="2158"/>
      <c r="AJ42" s="2158"/>
    </row>
    <row r="43" s="1981" customFormat="1" spans="26:36">
      <c r="Z43" s="2158"/>
      <c r="AA43" s="2158"/>
      <c r="AB43" s="2158"/>
      <c r="AC43" s="2158"/>
      <c r="AD43" s="2158"/>
      <c r="AE43" s="2158"/>
      <c r="AF43" s="2158"/>
      <c r="AG43" s="2158"/>
      <c r="AH43" s="2158"/>
      <c r="AI43" s="2158"/>
      <c r="AJ43" s="2158"/>
    </row>
    <row r="44" s="1981" customFormat="1" spans="1:36">
      <c r="A44" s="2158"/>
      <c r="B44" s="2159" t="s">
        <v>1565</v>
      </c>
      <c r="C44" s="1651">
        <f>ROUND(POWER(1+E44,H44-G44)*(POWER(1+E44,G44)-1)/(POWER(1+E44,H44)-1),4)</f>
        <v>0</v>
      </c>
      <c r="D44" s="865" t="s">
        <v>1514</v>
      </c>
      <c r="E44" s="2160">
        <f>G24</f>
        <v>0.055</v>
      </c>
      <c r="F44" s="865" t="s">
        <v>1515</v>
      </c>
      <c r="G44" s="2161"/>
      <c r="H44" s="865">
        <v>50</v>
      </c>
      <c r="Z44" s="2158"/>
      <c r="AA44" s="2158"/>
      <c r="AB44" s="2158"/>
      <c r="AC44" s="2158"/>
      <c r="AD44" s="2158"/>
      <c r="AE44" s="2158"/>
      <c r="AF44" s="2158"/>
      <c r="AG44" s="2158"/>
      <c r="AH44" s="2158"/>
      <c r="AI44" s="2158"/>
      <c r="AJ44" s="2158"/>
    </row>
    <row r="45" s="1981" customFormat="1" spans="1:36">
      <c r="A45" s="2158"/>
      <c r="B45" s="2162"/>
      <c r="Z45" s="2158"/>
      <c r="AA45" s="2158"/>
      <c r="AB45" s="2158"/>
      <c r="AC45" s="2158"/>
      <c r="AD45" s="2158"/>
      <c r="AE45" s="2158"/>
      <c r="AF45" s="2158"/>
      <c r="AG45" s="2158"/>
      <c r="AH45" s="2158"/>
      <c r="AI45" s="2158"/>
      <c r="AJ45" s="2158"/>
    </row>
    <row r="46" s="1981" customFormat="1" spans="1:37">
      <c r="A46" s="2158"/>
      <c r="B46" s="2162"/>
      <c r="AA46" s="2158"/>
      <c r="AB46" s="2158"/>
      <c r="AC46" s="2158"/>
      <c r="AD46" s="2158"/>
      <c r="AE46" s="2158"/>
      <c r="AF46" s="2158"/>
      <c r="AG46" s="2158"/>
      <c r="AH46" s="2158"/>
      <c r="AI46" s="2158"/>
      <c r="AJ46" s="2158"/>
      <c r="AK46" s="2158"/>
    </row>
    <row r="47" s="1981" customFormat="1" ht="15" spans="1:37">
      <c r="A47" s="2163" t="s">
        <v>1566</v>
      </c>
      <c r="B47" s="2164"/>
      <c r="C47" s="2165"/>
      <c r="D47" s="2165"/>
      <c r="E47" s="2165"/>
      <c r="F47" s="2166"/>
      <c r="G47" s="2166"/>
      <c r="H47" s="2166"/>
      <c r="I47" s="2282"/>
      <c r="J47" s="2282"/>
      <c r="K47" s="2282"/>
      <c r="L47" s="2282"/>
      <c r="M47" s="2282"/>
      <c r="AA47" s="2158"/>
      <c r="AB47" s="2158"/>
      <c r="AC47" s="2158"/>
      <c r="AD47" s="2158"/>
      <c r="AE47" s="2158"/>
      <c r="AF47" s="2158"/>
      <c r="AG47" s="2158"/>
      <c r="AH47" s="2158"/>
      <c r="AI47" s="2158"/>
      <c r="AJ47" s="2158"/>
      <c r="AK47" s="2158"/>
    </row>
    <row r="48" s="1981" customFormat="1" ht="15" spans="1:37">
      <c r="A48" s="2167" t="s">
        <v>1567</v>
      </c>
      <c r="B48" s="2168">
        <f>1+E50</f>
        <v>1</v>
      </c>
      <c r="C48" s="2169"/>
      <c r="D48" s="2170"/>
      <c r="E48" s="2171"/>
      <c r="F48" s="2172"/>
      <c r="G48" s="2166"/>
      <c r="H48" s="2165"/>
      <c r="I48" s="2282"/>
      <c r="J48" s="2282"/>
      <c r="K48" s="2282"/>
      <c r="L48" s="2282"/>
      <c r="M48" s="2282"/>
      <c r="AA48" s="2158"/>
      <c r="AB48" s="2158"/>
      <c r="AC48" s="2158"/>
      <c r="AD48" s="2158"/>
      <c r="AE48" s="2158"/>
      <c r="AF48" s="2158"/>
      <c r="AG48" s="2158"/>
      <c r="AH48" s="2158"/>
      <c r="AI48" s="2158"/>
      <c r="AJ48" s="2158"/>
      <c r="AK48" s="2158"/>
    </row>
    <row r="49" s="1981" customFormat="1" ht="24.75" spans="1:37">
      <c r="A49" s="2173" t="s">
        <v>1568</v>
      </c>
      <c r="B49" s="2174" t="s">
        <v>1569</v>
      </c>
      <c r="C49" s="2174" t="s">
        <v>1570</v>
      </c>
      <c r="D49" s="2174" t="s">
        <v>1571</v>
      </c>
      <c r="E49" s="2175" t="s">
        <v>1572</v>
      </c>
      <c r="F49" s="2176" t="s">
        <v>1573</v>
      </c>
      <c r="G49" s="2174" t="s">
        <v>1487</v>
      </c>
      <c r="H49" s="2177" t="s">
        <v>1574</v>
      </c>
      <c r="I49" s="2174" t="s">
        <v>1575</v>
      </c>
      <c r="J49" s="988" t="s">
        <v>1576</v>
      </c>
      <c r="K49" s="988" t="s">
        <v>1577</v>
      </c>
      <c r="L49" s="988" t="s">
        <v>1578</v>
      </c>
      <c r="M49" s="988" t="s">
        <v>1579</v>
      </c>
      <c r="N49" s="988" t="s">
        <v>1580</v>
      </c>
      <c r="AA49" s="2158"/>
      <c r="AB49" s="2158"/>
      <c r="AC49" s="2158"/>
      <c r="AD49" s="2158"/>
      <c r="AE49" s="2158"/>
      <c r="AF49" s="2158"/>
      <c r="AG49" s="2158"/>
      <c r="AH49" s="2158"/>
      <c r="AI49" s="2158"/>
      <c r="AJ49" s="2158"/>
      <c r="AK49" s="2158"/>
    </row>
    <row r="50" s="1981" customFormat="1" ht="36.75" spans="1:37">
      <c r="A50" s="2173" t="s">
        <v>1581</v>
      </c>
      <c r="B50" s="2178" t="str">
        <f>估价对象房地状况!C4</f>
        <v>估价对象位于XX商圈，周边商业氛围成熟，人流量大，商业繁华度好</v>
      </c>
      <c r="C50" s="2049"/>
      <c r="D50" s="2179">
        <f t="shared" ref="D50:D58" si="7">SUMIF($J$49:$N$49,C50,J50:N50)</f>
        <v>0</v>
      </c>
      <c r="E50" s="2180">
        <f>ROUND(SUM(D50:D58),4)</f>
        <v>0</v>
      </c>
      <c r="F50" s="2181" t="str">
        <f>IF(E2="商业",SUMIF(L1:L12,G2,N1:N12),"——")</f>
        <v>——</v>
      </c>
      <c r="G50" s="2182"/>
      <c r="H50" s="2183" t="str">
        <f t="shared" ref="H50:H58" si="8">IFERROR(ROUNDDOWN($F$50*I50/2,4),"——")</f>
        <v>——</v>
      </c>
      <c r="I50" s="2283">
        <v>0.3</v>
      </c>
      <c r="J50" s="2284">
        <f t="shared" ref="J50:J58" si="9">K50+$G50</f>
        <v>0</v>
      </c>
      <c r="K50" s="2284">
        <f t="shared" ref="K50:K58" si="10">$L50+$G50</f>
        <v>0</v>
      </c>
      <c r="L50" s="2284">
        <v>0</v>
      </c>
      <c r="M50" s="2284">
        <f t="shared" ref="M50:N58" si="11">L50-$G50</f>
        <v>0</v>
      </c>
      <c r="N50" s="2284">
        <f t="shared" si="11"/>
        <v>0</v>
      </c>
      <c r="AA50" s="2158"/>
      <c r="AB50" s="2158"/>
      <c r="AC50" s="2158"/>
      <c r="AD50" s="2158"/>
      <c r="AE50" s="2158"/>
      <c r="AF50" s="2158"/>
      <c r="AG50" s="2158"/>
      <c r="AH50" s="2158"/>
      <c r="AI50" s="2158"/>
      <c r="AJ50" s="2158"/>
      <c r="AK50" s="2158"/>
    </row>
    <row r="51" s="1981" customFormat="1" ht="36" spans="1:37">
      <c r="A51" s="2173" t="s">
        <v>1582</v>
      </c>
      <c r="B51" s="2184" t="str">
        <f>估价对象房地状况!C18</f>
        <v>估价对象周边道路状况、公共交通通达情况、停车便捷程度，综合评价交通便捷度较好</v>
      </c>
      <c r="C51" s="2049"/>
      <c r="D51" s="2179">
        <f t="shared" si="7"/>
        <v>0</v>
      </c>
      <c r="E51" s="2185"/>
      <c r="F51" s="2181"/>
      <c r="G51" s="2182"/>
      <c r="H51" s="2183" t="str">
        <f t="shared" si="8"/>
        <v>——</v>
      </c>
      <c r="I51" s="2283">
        <v>0.22</v>
      </c>
      <c r="J51" s="2284">
        <f t="shared" si="9"/>
        <v>0</v>
      </c>
      <c r="K51" s="2284">
        <f t="shared" si="10"/>
        <v>0</v>
      </c>
      <c r="L51" s="2284">
        <v>0</v>
      </c>
      <c r="M51" s="2284">
        <f t="shared" si="11"/>
        <v>0</v>
      </c>
      <c r="N51" s="2284">
        <f t="shared" si="11"/>
        <v>0</v>
      </c>
      <c r="AA51" s="2158"/>
      <c r="AB51" s="2158"/>
      <c r="AC51" s="2158"/>
      <c r="AD51" s="2158"/>
      <c r="AE51" s="2158"/>
      <c r="AF51" s="2158"/>
      <c r="AG51" s="2158"/>
      <c r="AH51" s="2158"/>
      <c r="AI51" s="2158"/>
      <c r="AJ51" s="2158"/>
      <c r="AK51" s="2158"/>
    </row>
    <row r="52" s="1981" customFormat="1" ht="36" spans="1:37">
      <c r="A52" s="2186" t="s">
        <v>1583</v>
      </c>
      <c r="B52" s="2184">
        <f>估价对象房地状况!C19</f>
        <v>0</v>
      </c>
      <c r="C52" s="2049"/>
      <c r="D52" s="2179">
        <f t="shared" si="7"/>
        <v>0</v>
      </c>
      <c r="E52" s="2185"/>
      <c r="F52" s="2181"/>
      <c r="G52" s="2182"/>
      <c r="H52" s="2183" t="str">
        <f t="shared" si="8"/>
        <v>——</v>
      </c>
      <c r="I52" s="2283">
        <v>0.12</v>
      </c>
      <c r="J52" s="2284">
        <f t="shared" si="9"/>
        <v>0</v>
      </c>
      <c r="K52" s="2284">
        <f t="shared" si="10"/>
        <v>0</v>
      </c>
      <c r="L52" s="2284">
        <v>0</v>
      </c>
      <c r="M52" s="2284">
        <f t="shared" si="11"/>
        <v>0</v>
      </c>
      <c r="N52" s="2284">
        <f t="shared" si="11"/>
        <v>0</v>
      </c>
      <c r="AA52" s="2158"/>
      <c r="AB52" s="2158"/>
      <c r="AC52" s="2158"/>
      <c r="AD52" s="2158"/>
      <c r="AE52" s="2158"/>
      <c r="AF52" s="2158"/>
      <c r="AG52" s="2158"/>
      <c r="AH52" s="2158"/>
      <c r="AI52" s="2158"/>
      <c r="AJ52" s="2158"/>
      <c r="AK52" s="2158"/>
    </row>
    <row r="53" s="1981" customFormat="1" ht="36.75" spans="1:37">
      <c r="A53" s="2173" t="s">
        <v>1584</v>
      </c>
      <c r="B53" s="2187" t="s">
        <v>1585</v>
      </c>
      <c r="C53" s="2049"/>
      <c r="D53" s="2179">
        <f t="shared" si="7"/>
        <v>0</v>
      </c>
      <c r="E53" s="2185"/>
      <c r="F53" s="2181"/>
      <c r="G53" s="2182"/>
      <c r="H53" s="2183" t="str">
        <f t="shared" si="8"/>
        <v>——</v>
      </c>
      <c r="I53" s="2283">
        <v>0.05</v>
      </c>
      <c r="J53" s="2284">
        <f t="shared" si="9"/>
        <v>0</v>
      </c>
      <c r="K53" s="2284">
        <f t="shared" si="10"/>
        <v>0</v>
      </c>
      <c r="L53" s="2284">
        <v>0</v>
      </c>
      <c r="M53" s="2284">
        <f t="shared" si="11"/>
        <v>0</v>
      </c>
      <c r="N53" s="2284">
        <f t="shared" si="11"/>
        <v>0</v>
      </c>
      <c r="AA53" s="2158"/>
      <c r="AB53" s="2158"/>
      <c r="AC53" s="2158"/>
      <c r="AD53" s="2158"/>
      <c r="AE53" s="2158"/>
      <c r="AF53" s="2158"/>
      <c r="AG53" s="2158"/>
      <c r="AH53" s="2158"/>
      <c r="AI53" s="2158"/>
      <c r="AJ53" s="2158"/>
      <c r="AK53" s="2158"/>
    </row>
    <row r="54" s="1981" customFormat="1" ht="24" spans="1:37">
      <c r="A54" s="2173" t="s">
        <v>1586</v>
      </c>
      <c r="B54" s="2184">
        <f>估价对象房地状况!C24</f>
        <v>0</v>
      </c>
      <c r="C54" s="2049"/>
      <c r="D54" s="2179">
        <f t="shared" si="7"/>
        <v>0</v>
      </c>
      <c r="E54" s="2185"/>
      <c r="F54" s="2181"/>
      <c r="G54" s="2182"/>
      <c r="H54" s="2183" t="str">
        <f t="shared" si="8"/>
        <v>——</v>
      </c>
      <c r="I54" s="2283">
        <v>0.08</v>
      </c>
      <c r="J54" s="2284">
        <f t="shared" si="9"/>
        <v>0</v>
      </c>
      <c r="K54" s="2284">
        <f t="shared" si="10"/>
        <v>0</v>
      </c>
      <c r="L54" s="2284">
        <v>0</v>
      </c>
      <c r="M54" s="2284">
        <f t="shared" si="11"/>
        <v>0</v>
      </c>
      <c r="N54" s="2284">
        <f t="shared" si="11"/>
        <v>0</v>
      </c>
      <c r="AA54" s="2158"/>
      <c r="AB54" s="2158"/>
      <c r="AC54" s="2158"/>
      <c r="AD54" s="2158"/>
      <c r="AE54" s="2158"/>
      <c r="AF54" s="2158"/>
      <c r="AG54" s="2158"/>
      <c r="AH54" s="2158"/>
      <c r="AI54" s="2158"/>
      <c r="AJ54" s="2158"/>
      <c r="AK54" s="2158"/>
    </row>
    <row r="55" s="1981" customFormat="1" ht="24" spans="1:37">
      <c r="A55" s="2173" t="s">
        <v>1587</v>
      </c>
      <c r="B55" s="2188" t="s">
        <v>1588</v>
      </c>
      <c r="C55" s="2049"/>
      <c r="D55" s="2179">
        <f t="shared" si="7"/>
        <v>0</v>
      </c>
      <c r="E55" s="2185"/>
      <c r="F55" s="2181"/>
      <c r="G55" s="2182"/>
      <c r="H55" s="2183" t="str">
        <f t="shared" si="8"/>
        <v>——</v>
      </c>
      <c r="I55" s="2283">
        <v>0.05</v>
      </c>
      <c r="J55" s="2284">
        <f t="shared" si="9"/>
        <v>0</v>
      </c>
      <c r="K55" s="2284">
        <f t="shared" si="10"/>
        <v>0</v>
      </c>
      <c r="L55" s="2284">
        <v>0</v>
      </c>
      <c r="M55" s="2284">
        <f t="shared" si="11"/>
        <v>0</v>
      </c>
      <c r="N55" s="2284">
        <f t="shared" si="11"/>
        <v>0</v>
      </c>
      <c r="AA55" s="2158"/>
      <c r="AB55" s="2158"/>
      <c r="AC55" s="2158"/>
      <c r="AD55" s="2158"/>
      <c r="AE55" s="2158"/>
      <c r="AF55" s="2158"/>
      <c r="AG55" s="2158"/>
      <c r="AH55" s="2158"/>
      <c r="AI55" s="2158"/>
      <c r="AJ55" s="2158"/>
      <c r="AK55" s="2158"/>
    </row>
    <row r="56" s="1981" customFormat="1" ht="24" spans="1:37">
      <c r="A56" s="2189" t="s">
        <v>1589</v>
      </c>
      <c r="B56" s="621" t="str">
        <f>估价对象房地状况!C21</f>
        <v>估价对象所在区域公共配套设施齐备情况</v>
      </c>
      <c r="C56" s="2049"/>
      <c r="D56" s="2179">
        <f t="shared" si="7"/>
        <v>0</v>
      </c>
      <c r="E56" s="2185"/>
      <c r="F56" s="2181"/>
      <c r="G56" s="2182"/>
      <c r="H56" s="2183" t="str">
        <f t="shared" si="8"/>
        <v>——</v>
      </c>
      <c r="I56" s="2283">
        <v>0.05</v>
      </c>
      <c r="J56" s="2284">
        <f t="shared" si="9"/>
        <v>0</v>
      </c>
      <c r="K56" s="2284">
        <f t="shared" si="10"/>
        <v>0</v>
      </c>
      <c r="L56" s="2284">
        <v>0</v>
      </c>
      <c r="M56" s="2284">
        <f t="shared" si="11"/>
        <v>0</v>
      </c>
      <c r="N56" s="2284">
        <f t="shared" si="11"/>
        <v>0</v>
      </c>
      <c r="AA56" s="2158"/>
      <c r="AB56" s="2158"/>
      <c r="AC56" s="2158"/>
      <c r="AD56" s="2158"/>
      <c r="AE56" s="2158"/>
      <c r="AF56" s="2158"/>
      <c r="AG56" s="2158"/>
      <c r="AH56" s="2158"/>
      <c r="AI56" s="2158"/>
      <c r="AJ56" s="2158"/>
      <c r="AK56" s="2158"/>
    </row>
    <row r="57" s="1981" customFormat="1" ht="24" spans="1:37">
      <c r="A57" s="2189" t="s">
        <v>1590</v>
      </c>
      <c r="B57" s="2184" t="str">
        <f>估价对象房地状况!C22</f>
        <v>估价对象所在区域基础设施水平</v>
      </c>
      <c r="C57" s="2049"/>
      <c r="D57" s="2179">
        <f t="shared" si="7"/>
        <v>0</v>
      </c>
      <c r="E57" s="2185"/>
      <c r="F57" s="2181"/>
      <c r="G57" s="2182"/>
      <c r="H57" s="2183" t="str">
        <f t="shared" si="8"/>
        <v>——</v>
      </c>
      <c r="I57" s="2283">
        <v>0.08</v>
      </c>
      <c r="J57" s="2284">
        <f t="shared" si="9"/>
        <v>0</v>
      </c>
      <c r="K57" s="2284">
        <f t="shared" si="10"/>
        <v>0</v>
      </c>
      <c r="L57" s="2284">
        <v>0</v>
      </c>
      <c r="M57" s="2284">
        <f t="shared" si="11"/>
        <v>0</v>
      </c>
      <c r="N57" s="2284">
        <f t="shared" si="11"/>
        <v>0</v>
      </c>
      <c r="AA57" s="2158"/>
      <c r="AB57" s="2158"/>
      <c r="AC57" s="2158"/>
      <c r="AD57" s="2158"/>
      <c r="AE57" s="2158"/>
      <c r="AF57" s="2158"/>
      <c r="AG57" s="2158"/>
      <c r="AH57" s="2158"/>
      <c r="AI57" s="2158"/>
      <c r="AJ57" s="2158"/>
      <c r="AK57" s="2158"/>
    </row>
    <row r="58" s="1981" customFormat="1" ht="24.75" spans="1:37">
      <c r="A58" s="2190" t="s">
        <v>1591</v>
      </c>
      <c r="B58" s="2191" t="str">
        <f>估价对象房地状况!C20</f>
        <v>区域自然环境：；人文环境；综合评价环境状况一般</v>
      </c>
      <c r="C58" s="2049"/>
      <c r="D58" s="2179">
        <f t="shared" si="7"/>
        <v>0</v>
      </c>
      <c r="E58" s="2192"/>
      <c r="F58" s="2181"/>
      <c r="G58" s="2182"/>
      <c r="H58" s="2183" t="str">
        <f t="shared" si="8"/>
        <v>——</v>
      </c>
      <c r="I58" s="2285">
        <v>0.05</v>
      </c>
      <c r="J58" s="2284">
        <f t="shared" si="9"/>
        <v>0</v>
      </c>
      <c r="K58" s="2284">
        <f t="shared" si="10"/>
        <v>0</v>
      </c>
      <c r="L58" s="2284">
        <v>0</v>
      </c>
      <c r="M58" s="2284">
        <f t="shared" si="11"/>
        <v>0</v>
      </c>
      <c r="N58" s="2284">
        <f t="shared" si="11"/>
        <v>0</v>
      </c>
      <c r="AA58" s="2158"/>
      <c r="AB58" s="2158"/>
      <c r="AC58" s="2158"/>
      <c r="AD58" s="2158"/>
      <c r="AE58" s="2158"/>
      <c r="AF58" s="2158"/>
      <c r="AG58" s="2158"/>
      <c r="AH58" s="2158"/>
      <c r="AI58" s="2158"/>
      <c r="AJ58" s="2158"/>
      <c r="AK58" s="2158"/>
    </row>
    <row r="59" s="1981" customFormat="1" ht="15" spans="1:37">
      <c r="A59" s="2167" t="s">
        <v>1592</v>
      </c>
      <c r="B59" s="2168">
        <f>1+E61</f>
        <v>1.0153</v>
      </c>
      <c r="C59" s="2170"/>
      <c r="D59" s="2170"/>
      <c r="E59" s="2171"/>
      <c r="F59" s="2172"/>
      <c r="G59" s="2166"/>
      <c r="H59" s="2166"/>
      <c r="I59" s="2166"/>
      <c r="J59" s="2165"/>
      <c r="K59" s="2165"/>
      <c r="L59" s="2165"/>
      <c r="M59" s="2165"/>
      <c r="N59" s="2165"/>
      <c r="AA59" s="2158"/>
      <c r="AB59" s="2158"/>
      <c r="AC59" s="2158"/>
      <c r="AD59" s="2158"/>
      <c r="AE59" s="2158"/>
      <c r="AF59" s="2158"/>
      <c r="AG59" s="2158"/>
      <c r="AH59" s="2158"/>
      <c r="AI59" s="2158"/>
      <c r="AJ59" s="2158"/>
      <c r="AK59" s="2158"/>
    </row>
    <row r="60" s="1981" customFormat="1" ht="24.75" spans="1:37">
      <c r="A60" s="2173" t="s">
        <v>1568</v>
      </c>
      <c r="B60" s="2174"/>
      <c r="C60" s="2174" t="s">
        <v>1570</v>
      </c>
      <c r="D60" s="2174" t="s">
        <v>1571</v>
      </c>
      <c r="E60" s="2175" t="s">
        <v>1572</v>
      </c>
      <c r="F60" s="2176" t="s">
        <v>1593</v>
      </c>
      <c r="G60" s="2174" t="s">
        <v>1487</v>
      </c>
      <c r="H60" s="2177" t="s">
        <v>1574</v>
      </c>
      <c r="I60" s="2174" t="s">
        <v>1575</v>
      </c>
      <c r="J60" s="988" t="s">
        <v>1576</v>
      </c>
      <c r="K60" s="988" t="s">
        <v>1577</v>
      </c>
      <c r="L60" s="988" t="s">
        <v>1578</v>
      </c>
      <c r="M60" s="988" t="s">
        <v>1579</v>
      </c>
      <c r="N60" s="988" t="s">
        <v>1580</v>
      </c>
      <c r="AA60" s="2158"/>
      <c r="AB60" s="2158"/>
      <c r="AC60" s="2158"/>
      <c r="AD60" s="2158"/>
      <c r="AE60" s="2158"/>
      <c r="AF60" s="2158"/>
      <c r="AG60" s="2158"/>
      <c r="AH60" s="2158"/>
      <c r="AI60" s="2158"/>
      <c r="AJ60" s="2158"/>
      <c r="AK60" s="2158"/>
    </row>
    <row r="61" s="1981" customFormat="1" ht="36.75" spans="1:37">
      <c r="A61" s="2173" t="s">
        <v>1594</v>
      </c>
      <c r="B61" s="2178" t="str">
        <f>估价对象房地状况!C17</f>
        <v>估价对象位于XX商圈，周边办公楼项目较多，入驻率高，办公集聚程度较好</v>
      </c>
      <c r="C61" s="2049" t="s">
        <v>1595</v>
      </c>
      <c r="D61" s="2179">
        <f t="shared" ref="D61:D69" si="12">SUMIF($J$60:$N$60,C61,J61:N61)</f>
        <v>0</v>
      </c>
      <c r="E61" s="2180">
        <f>ROUND(SUM(D61:D69),4)</f>
        <v>0.0153</v>
      </c>
      <c r="F61" s="2181">
        <f>IF(E2="办公",SUMIF(L1:L12,G2,N1:N12),"——")</f>
        <v>0.091</v>
      </c>
      <c r="G61" s="2182">
        <f>H61</f>
        <v>0.0113</v>
      </c>
      <c r="H61" s="2183">
        <f t="shared" ref="H61:H69" si="13">IFERROR(ROUNDDOWN($F$61*I61/2,4),"——")</f>
        <v>0.0113</v>
      </c>
      <c r="I61" s="2283">
        <v>0.25</v>
      </c>
      <c r="J61" s="2284">
        <f t="shared" ref="J61:J69" si="14">K61+$G61</f>
        <v>0.0226</v>
      </c>
      <c r="K61" s="2284">
        <f t="shared" ref="K61:K69" si="15">$L61+$G61</f>
        <v>0.0113</v>
      </c>
      <c r="L61" s="2284">
        <v>0</v>
      </c>
      <c r="M61" s="2284">
        <f t="shared" ref="M61:N69" si="16">L61-$G61</f>
        <v>-0.0113</v>
      </c>
      <c r="N61" s="2284">
        <f t="shared" si="16"/>
        <v>-0.0226</v>
      </c>
      <c r="AA61" s="2158"/>
      <c r="AB61" s="2158"/>
      <c r="AC61" s="2158"/>
      <c r="AD61" s="2158"/>
      <c r="AE61" s="2158"/>
      <c r="AF61" s="2158"/>
      <c r="AG61" s="2158"/>
      <c r="AH61" s="2158"/>
      <c r="AI61" s="2158"/>
      <c r="AJ61" s="2158"/>
      <c r="AK61" s="2158"/>
    </row>
    <row r="62" s="1981" customFormat="1" ht="36" spans="1:37">
      <c r="A62" s="2173" t="s">
        <v>1582</v>
      </c>
      <c r="B62" s="2184" t="str">
        <f>估价对象房地状况!C18</f>
        <v>估价对象周边道路状况、公共交通通达情况、停车便捷程度，综合评价交通便捷度较好</v>
      </c>
      <c r="C62" s="2049" t="s">
        <v>1595</v>
      </c>
      <c r="D62" s="2179">
        <f t="shared" si="12"/>
        <v>0</v>
      </c>
      <c r="E62" s="2185"/>
      <c r="F62" s="2181"/>
      <c r="G62" s="2182">
        <f t="shared" ref="G62:G69" si="17">H62</f>
        <v>0.0118</v>
      </c>
      <c r="H62" s="2183">
        <f t="shared" si="13"/>
        <v>0.0118</v>
      </c>
      <c r="I62" s="2283">
        <v>0.26</v>
      </c>
      <c r="J62" s="2284">
        <f t="shared" si="14"/>
        <v>0.0236</v>
      </c>
      <c r="K62" s="2284">
        <f t="shared" si="15"/>
        <v>0.0118</v>
      </c>
      <c r="L62" s="2284">
        <v>0</v>
      </c>
      <c r="M62" s="2284">
        <f t="shared" si="16"/>
        <v>-0.0118</v>
      </c>
      <c r="N62" s="2284">
        <f t="shared" si="16"/>
        <v>-0.0236</v>
      </c>
      <c r="AA62" s="2158"/>
      <c r="AB62" s="2158"/>
      <c r="AC62" s="2158"/>
      <c r="AD62" s="2158"/>
      <c r="AE62" s="2158"/>
      <c r="AF62" s="2158"/>
      <c r="AG62" s="2158"/>
      <c r="AH62" s="2158"/>
      <c r="AI62" s="2158"/>
      <c r="AJ62" s="2158"/>
      <c r="AK62" s="2158"/>
    </row>
    <row r="63" s="1981" customFormat="1" ht="36" spans="1:37">
      <c r="A63" s="2186" t="s">
        <v>1583</v>
      </c>
      <c r="B63" s="2184">
        <f>估价对象房地状况!C19</f>
        <v>0</v>
      </c>
      <c r="C63" s="2049" t="s">
        <v>1596</v>
      </c>
      <c r="D63" s="2179">
        <f t="shared" si="12"/>
        <v>0.005</v>
      </c>
      <c r="E63" s="2185"/>
      <c r="F63" s="2181"/>
      <c r="G63" s="2182">
        <f t="shared" si="17"/>
        <v>0.005</v>
      </c>
      <c r="H63" s="2183">
        <f t="shared" si="13"/>
        <v>0.005</v>
      </c>
      <c r="I63" s="2283">
        <v>0.11</v>
      </c>
      <c r="J63" s="2284">
        <f t="shared" si="14"/>
        <v>0.01</v>
      </c>
      <c r="K63" s="2284">
        <f t="shared" si="15"/>
        <v>0.005</v>
      </c>
      <c r="L63" s="2284">
        <v>0</v>
      </c>
      <c r="M63" s="2284">
        <f t="shared" si="16"/>
        <v>-0.005</v>
      </c>
      <c r="N63" s="2284">
        <f t="shared" si="16"/>
        <v>-0.01</v>
      </c>
      <c r="AA63" s="2158"/>
      <c r="AB63" s="2158"/>
      <c r="AC63" s="2158"/>
      <c r="AD63" s="2158"/>
      <c r="AE63" s="2158"/>
      <c r="AF63" s="2158"/>
      <c r="AG63" s="2158"/>
      <c r="AH63" s="2158"/>
      <c r="AI63" s="2158"/>
      <c r="AJ63" s="2158"/>
      <c r="AK63" s="2158"/>
    </row>
    <row r="64" s="1981" customFormat="1" ht="36.75" spans="1:37">
      <c r="A64" s="2173" t="s">
        <v>1584</v>
      </c>
      <c r="B64" s="2187" t="s">
        <v>1585</v>
      </c>
      <c r="C64" s="2049" t="s">
        <v>1596</v>
      </c>
      <c r="D64" s="2179">
        <f t="shared" si="12"/>
        <v>0.0022</v>
      </c>
      <c r="E64" s="2185"/>
      <c r="F64" s="2181"/>
      <c r="G64" s="2182">
        <f t="shared" si="17"/>
        <v>0.0022</v>
      </c>
      <c r="H64" s="2183">
        <f t="shared" si="13"/>
        <v>0.0022</v>
      </c>
      <c r="I64" s="2283">
        <v>0.05</v>
      </c>
      <c r="J64" s="2284">
        <f t="shared" si="14"/>
        <v>0.0044</v>
      </c>
      <c r="K64" s="2284">
        <f t="shared" si="15"/>
        <v>0.0022</v>
      </c>
      <c r="L64" s="2284">
        <v>0</v>
      </c>
      <c r="M64" s="2284">
        <f t="shared" si="16"/>
        <v>-0.0022</v>
      </c>
      <c r="N64" s="2284">
        <f t="shared" si="16"/>
        <v>-0.0044</v>
      </c>
      <c r="AA64" s="2158"/>
      <c r="AB64" s="2158"/>
      <c r="AC64" s="2158"/>
      <c r="AD64" s="2158"/>
      <c r="AE64" s="2158"/>
      <c r="AF64" s="2158"/>
      <c r="AG64" s="2158"/>
      <c r="AH64" s="2158"/>
      <c r="AI64" s="2158"/>
      <c r="AJ64" s="2158"/>
      <c r="AK64" s="2158"/>
    </row>
    <row r="65" s="1981" customFormat="1" ht="24" spans="1:37">
      <c r="A65" s="2173" t="s">
        <v>1586</v>
      </c>
      <c r="B65" s="2184">
        <f>估价对象房地状况!C24</f>
        <v>0</v>
      </c>
      <c r="C65" s="2049" t="s">
        <v>1597</v>
      </c>
      <c r="D65" s="2179">
        <f t="shared" si="12"/>
        <v>-0.0044</v>
      </c>
      <c r="E65" s="2185"/>
      <c r="F65" s="2181"/>
      <c r="G65" s="2182">
        <f t="shared" si="17"/>
        <v>0.0022</v>
      </c>
      <c r="H65" s="2183">
        <f t="shared" si="13"/>
        <v>0.0022</v>
      </c>
      <c r="I65" s="2283">
        <v>0.05</v>
      </c>
      <c r="J65" s="2284">
        <f t="shared" si="14"/>
        <v>0.0044</v>
      </c>
      <c r="K65" s="2284">
        <f t="shared" si="15"/>
        <v>0.0022</v>
      </c>
      <c r="L65" s="2284">
        <v>0</v>
      </c>
      <c r="M65" s="2284">
        <f t="shared" si="16"/>
        <v>-0.0022</v>
      </c>
      <c r="N65" s="2284">
        <f t="shared" si="16"/>
        <v>-0.0044</v>
      </c>
      <c r="AA65" s="2158"/>
      <c r="AB65" s="2158"/>
      <c r="AC65" s="2158"/>
      <c r="AD65" s="2158"/>
      <c r="AE65" s="2158"/>
      <c r="AF65" s="2158"/>
      <c r="AG65" s="2158"/>
      <c r="AH65" s="2158"/>
      <c r="AI65" s="2158"/>
      <c r="AJ65" s="2158"/>
      <c r="AK65" s="2158"/>
    </row>
    <row r="66" s="1981" customFormat="1" ht="24" spans="1:37">
      <c r="A66" s="2173" t="s">
        <v>1587</v>
      </c>
      <c r="B66" s="2188" t="s">
        <v>1588</v>
      </c>
      <c r="C66" s="2049" t="s">
        <v>1596</v>
      </c>
      <c r="D66" s="2179">
        <f t="shared" si="12"/>
        <v>0.0027</v>
      </c>
      <c r="E66" s="2185"/>
      <c r="F66" s="2181"/>
      <c r="G66" s="2182">
        <f t="shared" si="17"/>
        <v>0.0027</v>
      </c>
      <c r="H66" s="2183">
        <f t="shared" si="13"/>
        <v>0.0027</v>
      </c>
      <c r="I66" s="2283">
        <v>0.06</v>
      </c>
      <c r="J66" s="2284">
        <f t="shared" si="14"/>
        <v>0.0054</v>
      </c>
      <c r="K66" s="2284">
        <f t="shared" si="15"/>
        <v>0.0027</v>
      </c>
      <c r="L66" s="2284">
        <v>0</v>
      </c>
      <c r="M66" s="2284">
        <f t="shared" si="16"/>
        <v>-0.0027</v>
      </c>
      <c r="N66" s="2284">
        <f t="shared" si="16"/>
        <v>-0.0054</v>
      </c>
      <c r="AA66" s="2158"/>
      <c r="AB66" s="2158"/>
      <c r="AC66" s="2158"/>
      <c r="AD66" s="2158"/>
      <c r="AE66" s="2158"/>
      <c r="AF66" s="2158"/>
      <c r="AG66" s="2158"/>
      <c r="AH66" s="2158"/>
      <c r="AI66" s="2158"/>
      <c r="AJ66" s="2158"/>
      <c r="AK66" s="2158"/>
    </row>
    <row r="67" s="1981" customFormat="1" ht="24" spans="1:37">
      <c r="A67" s="2173" t="s">
        <v>1589</v>
      </c>
      <c r="B67" s="621" t="str">
        <f>估价对象房地状况!C21</f>
        <v>估价对象所在区域公共配套设施齐备情况</v>
      </c>
      <c r="C67" s="2049" t="s">
        <v>1596</v>
      </c>
      <c r="D67" s="2179">
        <f t="shared" si="12"/>
        <v>0.0027</v>
      </c>
      <c r="E67" s="2185"/>
      <c r="F67" s="2181"/>
      <c r="G67" s="2182">
        <f t="shared" si="17"/>
        <v>0.0027</v>
      </c>
      <c r="H67" s="2183">
        <f t="shared" si="13"/>
        <v>0.0027</v>
      </c>
      <c r="I67" s="2283">
        <v>0.06</v>
      </c>
      <c r="J67" s="2284">
        <f t="shared" si="14"/>
        <v>0.0054</v>
      </c>
      <c r="K67" s="2284">
        <f t="shared" si="15"/>
        <v>0.0027</v>
      </c>
      <c r="L67" s="2284">
        <v>0</v>
      </c>
      <c r="M67" s="2284">
        <f t="shared" si="16"/>
        <v>-0.0027</v>
      </c>
      <c r="N67" s="2284">
        <f t="shared" si="16"/>
        <v>-0.0054</v>
      </c>
      <c r="AA67" s="2158"/>
      <c r="AB67" s="2158"/>
      <c r="AC67" s="2158"/>
      <c r="AD67" s="2158"/>
      <c r="AE67" s="2158"/>
      <c r="AF67" s="2158"/>
      <c r="AG67" s="2158"/>
      <c r="AH67" s="2158"/>
      <c r="AI67" s="2158"/>
      <c r="AJ67" s="2158"/>
      <c r="AK67" s="2158"/>
    </row>
    <row r="68" s="1981" customFormat="1" ht="24" spans="1:37">
      <c r="A68" s="2173" t="s">
        <v>1590</v>
      </c>
      <c r="B68" s="621" t="str">
        <f>估价对象房地状况!C22</f>
        <v>估价对象所在区域基础设施水平</v>
      </c>
      <c r="C68" s="2049" t="s">
        <v>1596</v>
      </c>
      <c r="D68" s="2179">
        <f t="shared" si="12"/>
        <v>0.004</v>
      </c>
      <c r="E68" s="2185"/>
      <c r="F68" s="2181"/>
      <c r="G68" s="2182">
        <f t="shared" si="17"/>
        <v>0.004</v>
      </c>
      <c r="H68" s="2183">
        <f t="shared" si="13"/>
        <v>0.004</v>
      </c>
      <c r="I68" s="2283">
        <v>0.09</v>
      </c>
      <c r="J68" s="2284">
        <f t="shared" si="14"/>
        <v>0.008</v>
      </c>
      <c r="K68" s="2284">
        <f t="shared" si="15"/>
        <v>0.004</v>
      </c>
      <c r="L68" s="2284">
        <v>0</v>
      </c>
      <c r="M68" s="2284">
        <f t="shared" si="16"/>
        <v>-0.004</v>
      </c>
      <c r="N68" s="2284">
        <f t="shared" si="16"/>
        <v>-0.008</v>
      </c>
      <c r="AA68" s="2158"/>
      <c r="AB68" s="2158"/>
      <c r="AC68" s="2158"/>
      <c r="AD68" s="2158"/>
      <c r="AE68" s="2158"/>
      <c r="AF68" s="2158"/>
      <c r="AG68" s="2158"/>
      <c r="AH68" s="2158"/>
      <c r="AI68" s="2158"/>
      <c r="AJ68" s="2158"/>
      <c r="AK68" s="2158"/>
    </row>
    <row r="69" s="1981" customFormat="1" ht="24.75" spans="1:37">
      <c r="A69" s="2190" t="s">
        <v>1591</v>
      </c>
      <c r="B69" s="2317" t="str">
        <f>估价对象房地状况!C20</f>
        <v>区域自然环境：；人文环境；综合评价环境状况一般</v>
      </c>
      <c r="C69" s="2049" t="s">
        <v>1596</v>
      </c>
      <c r="D69" s="2179">
        <f t="shared" si="12"/>
        <v>0.0031</v>
      </c>
      <c r="E69" s="2192"/>
      <c r="F69" s="2181"/>
      <c r="G69" s="2182">
        <f t="shared" si="17"/>
        <v>0.0031</v>
      </c>
      <c r="H69" s="2183">
        <f t="shared" si="13"/>
        <v>0.0031</v>
      </c>
      <c r="I69" s="2285">
        <v>0.07</v>
      </c>
      <c r="J69" s="2284">
        <f t="shared" si="14"/>
        <v>0.0062</v>
      </c>
      <c r="K69" s="2284">
        <f t="shared" si="15"/>
        <v>0.0031</v>
      </c>
      <c r="L69" s="2284">
        <v>0</v>
      </c>
      <c r="M69" s="2284">
        <f t="shared" si="16"/>
        <v>-0.0031</v>
      </c>
      <c r="N69" s="2284">
        <f t="shared" si="16"/>
        <v>-0.0062</v>
      </c>
      <c r="AA69" s="2158"/>
      <c r="AB69" s="2158"/>
      <c r="AC69" s="2158"/>
      <c r="AD69" s="2158"/>
      <c r="AE69" s="2158"/>
      <c r="AF69" s="2158"/>
      <c r="AG69" s="2158"/>
      <c r="AH69" s="2158"/>
      <c r="AI69" s="2158"/>
      <c r="AJ69" s="2158"/>
      <c r="AK69" s="2158"/>
    </row>
    <row r="70" s="1981" customFormat="1" ht="15" spans="1:37">
      <c r="A70" s="2167" t="s">
        <v>1598</v>
      </c>
      <c r="B70" s="2168">
        <f>1+E72</f>
        <v>1</v>
      </c>
      <c r="C70" s="2170"/>
      <c r="D70" s="2170"/>
      <c r="E70" s="2171"/>
      <c r="F70" s="2172"/>
      <c r="G70" s="2166"/>
      <c r="H70" s="2166"/>
      <c r="I70" s="2166"/>
      <c r="J70" s="2165"/>
      <c r="K70" s="2165"/>
      <c r="L70" s="2165"/>
      <c r="M70" s="2165"/>
      <c r="N70" s="2165"/>
      <c r="AA70" s="2158"/>
      <c r="AB70" s="2158"/>
      <c r="AC70" s="2158"/>
      <c r="AD70" s="2158"/>
      <c r="AE70" s="2158"/>
      <c r="AF70" s="2158"/>
      <c r="AG70" s="2158"/>
      <c r="AH70" s="2158"/>
      <c r="AI70" s="2158"/>
      <c r="AJ70" s="2158"/>
      <c r="AK70" s="2158"/>
    </row>
    <row r="71" s="1981" customFormat="1" ht="24.75" spans="1:37">
      <c r="A71" s="2173" t="s">
        <v>1568</v>
      </c>
      <c r="B71" s="2174"/>
      <c r="C71" s="2174" t="s">
        <v>1570</v>
      </c>
      <c r="D71" s="2174" t="s">
        <v>1571</v>
      </c>
      <c r="E71" s="2175" t="s">
        <v>1572</v>
      </c>
      <c r="F71" s="2176" t="s">
        <v>1593</v>
      </c>
      <c r="G71" s="2174" t="s">
        <v>1487</v>
      </c>
      <c r="H71" s="2177" t="s">
        <v>1574</v>
      </c>
      <c r="I71" s="2174" t="s">
        <v>1575</v>
      </c>
      <c r="J71" s="988" t="s">
        <v>1576</v>
      </c>
      <c r="K71" s="988" t="s">
        <v>1577</v>
      </c>
      <c r="L71" s="988" t="s">
        <v>1578</v>
      </c>
      <c r="M71" s="988" t="s">
        <v>1579</v>
      </c>
      <c r="N71" s="988" t="s">
        <v>1580</v>
      </c>
      <c r="AA71" s="2158"/>
      <c r="AB71" s="2158"/>
      <c r="AC71" s="2158"/>
      <c r="AD71" s="2158"/>
      <c r="AE71" s="2158"/>
      <c r="AF71" s="2158"/>
      <c r="AG71" s="2158"/>
      <c r="AH71" s="2158"/>
      <c r="AI71" s="2158"/>
      <c r="AJ71" s="2158"/>
      <c r="AK71" s="2158"/>
    </row>
    <row r="72" s="1981" customFormat="1" ht="48" spans="1:37">
      <c r="A72" s="2173" t="s">
        <v>1599</v>
      </c>
      <c r="B72" s="2178" t="str">
        <f>估价对象房地状况!C15</f>
        <v>估价对象周边居住用地比例、居住小区规模和社区发展完善程度，综合评价居住社区成熟度一般</v>
      </c>
      <c r="C72" s="2049"/>
      <c r="D72" s="2179">
        <f t="shared" ref="D72:D80" si="18">SUMIF($J$71:$N$71,C72,J72:N72)</f>
        <v>0</v>
      </c>
      <c r="E72" s="2180">
        <f>ROUND(SUM(D72:D80),4)</f>
        <v>0</v>
      </c>
      <c r="F72" s="2181" t="str">
        <f>IF(E2="住宅",SUMIF(L1:L12,G2,N1:N12),"——")</f>
        <v>——</v>
      </c>
      <c r="G72" s="2182"/>
      <c r="H72" s="2183" t="str">
        <f t="shared" ref="H72:H80" si="19">IFERROR(ROUNDDOWN($F$72*I72/2,4),"——")</f>
        <v>——</v>
      </c>
      <c r="I72" s="2283">
        <v>0.2</v>
      </c>
      <c r="J72" s="2284">
        <f t="shared" ref="J72:J80" si="20">K72+$G72</f>
        <v>0</v>
      </c>
      <c r="K72" s="2284">
        <f t="shared" ref="K72:K80" si="21">$L72+$G72</f>
        <v>0</v>
      </c>
      <c r="L72" s="2284">
        <v>0</v>
      </c>
      <c r="M72" s="2284">
        <f t="shared" ref="M72:N80" si="22">L72-$G72</f>
        <v>0</v>
      </c>
      <c r="N72" s="2284">
        <f t="shared" si="22"/>
        <v>0</v>
      </c>
      <c r="AA72" s="2158"/>
      <c r="AB72" s="2158"/>
      <c r="AC72" s="2158"/>
      <c r="AD72" s="2158"/>
      <c r="AE72" s="2158"/>
      <c r="AF72" s="2158"/>
      <c r="AG72" s="2158"/>
      <c r="AH72" s="2158"/>
      <c r="AI72" s="2158"/>
      <c r="AJ72" s="2158"/>
      <c r="AK72" s="2158"/>
    </row>
    <row r="73" s="1981" customFormat="1" ht="36" spans="1:37">
      <c r="A73" s="2173" t="s">
        <v>1582</v>
      </c>
      <c r="B73" s="2184" t="str">
        <f>估价对象房地状况!C18</f>
        <v>估价对象周边道路状况、公共交通通达情况、停车便捷程度，综合评价交通便捷度较好</v>
      </c>
      <c r="C73" s="2049"/>
      <c r="D73" s="2179">
        <f t="shared" si="18"/>
        <v>0</v>
      </c>
      <c r="E73" s="2318"/>
      <c r="F73" s="2181"/>
      <c r="G73" s="2182"/>
      <c r="H73" s="2183" t="str">
        <f t="shared" si="19"/>
        <v>——</v>
      </c>
      <c r="I73" s="2283">
        <v>0.26</v>
      </c>
      <c r="J73" s="2284">
        <f t="shared" si="20"/>
        <v>0</v>
      </c>
      <c r="K73" s="2284">
        <f t="shared" si="21"/>
        <v>0</v>
      </c>
      <c r="L73" s="2284">
        <v>0</v>
      </c>
      <c r="M73" s="2284">
        <f t="shared" si="22"/>
        <v>0</v>
      </c>
      <c r="N73" s="2284">
        <f t="shared" si="22"/>
        <v>0</v>
      </c>
      <c r="AA73" s="2158"/>
      <c r="AB73" s="2158"/>
      <c r="AC73" s="2158"/>
      <c r="AD73" s="2158"/>
      <c r="AE73" s="2158"/>
      <c r="AF73" s="2158"/>
      <c r="AG73" s="2158"/>
      <c r="AH73" s="2158"/>
      <c r="AI73" s="2158"/>
      <c r="AJ73" s="2158"/>
      <c r="AK73" s="2158"/>
    </row>
    <row r="74" s="1982" customFormat="1" ht="36" spans="1:37">
      <c r="A74" s="2186" t="s">
        <v>1583</v>
      </c>
      <c r="B74" s="2184">
        <f>估价对象房地状况!C19</f>
        <v>0</v>
      </c>
      <c r="C74" s="2049"/>
      <c r="D74" s="2179">
        <f t="shared" si="18"/>
        <v>0</v>
      </c>
      <c r="E74" s="2318"/>
      <c r="F74" s="2181"/>
      <c r="G74" s="2182"/>
      <c r="H74" s="2183" t="str">
        <f t="shared" si="19"/>
        <v>——</v>
      </c>
      <c r="I74" s="2283">
        <v>0.1</v>
      </c>
      <c r="J74" s="2284">
        <f t="shared" si="20"/>
        <v>0</v>
      </c>
      <c r="K74" s="2284">
        <f t="shared" si="21"/>
        <v>0</v>
      </c>
      <c r="L74" s="2284">
        <v>0</v>
      </c>
      <c r="M74" s="2284">
        <f t="shared" si="22"/>
        <v>0</v>
      </c>
      <c r="N74" s="2284">
        <f t="shared" si="22"/>
        <v>0</v>
      </c>
      <c r="O74" s="1981"/>
      <c r="P74" s="1981"/>
      <c r="Q74" s="1981"/>
      <c r="AA74" s="2313"/>
      <c r="AB74" s="2158"/>
      <c r="AC74" s="2158"/>
      <c r="AD74" s="2158"/>
      <c r="AE74" s="2158"/>
      <c r="AF74" s="2158"/>
      <c r="AG74" s="2158"/>
      <c r="AH74" s="2313"/>
      <c r="AI74" s="2313"/>
      <c r="AJ74" s="2313"/>
      <c r="AK74" s="2313"/>
    </row>
    <row r="75" ht="14.25" spans="1:37">
      <c r="A75" s="2173" t="s">
        <v>1600</v>
      </c>
      <c r="B75" s="2184">
        <f>估价对象房地状况!C24</f>
        <v>0</v>
      </c>
      <c r="C75" s="2049"/>
      <c r="D75" s="2179">
        <f t="shared" si="18"/>
        <v>0</v>
      </c>
      <c r="E75" s="2318"/>
      <c r="F75" s="2181"/>
      <c r="G75" s="2182"/>
      <c r="H75" s="2183" t="str">
        <f t="shared" si="19"/>
        <v>——</v>
      </c>
      <c r="I75" s="2283">
        <v>0.05</v>
      </c>
      <c r="J75" s="2284">
        <f t="shared" si="20"/>
        <v>0</v>
      </c>
      <c r="K75" s="2284">
        <f t="shared" si="21"/>
        <v>0</v>
      </c>
      <c r="L75" s="2284">
        <v>0</v>
      </c>
      <c r="M75" s="2284">
        <f t="shared" si="22"/>
        <v>0</v>
      </c>
      <c r="N75" s="2284">
        <f t="shared" si="22"/>
        <v>0</v>
      </c>
      <c r="O75" s="1981"/>
      <c r="P75" s="1981"/>
      <c r="Q75" s="1982"/>
      <c r="Z75" s="1985"/>
      <c r="AA75" s="1983"/>
      <c r="AG75" s="1987"/>
      <c r="AK75" s="1983"/>
    </row>
    <row r="76" ht="24" spans="1:37">
      <c r="A76" s="2173" t="s">
        <v>1589</v>
      </c>
      <c r="B76" s="621" t="str">
        <f>估价对象房地状况!C21</f>
        <v>估价对象所在区域公共配套设施齐备情况</v>
      </c>
      <c r="C76" s="2049"/>
      <c r="D76" s="2179">
        <f t="shared" si="18"/>
        <v>0</v>
      </c>
      <c r="E76" s="2318"/>
      <c r="F76" s="2181"/>
      <c r="G76" s="2182"/>
      <c r="H76" s="2183" t="str">
        <f t="shared" si="19"/>
        <v>——</v>
      </c>
      <c r="I76" s="2283">
        <v>0.08</v>
      </c>
      <c r="J76" s="2284">
        <f t="shared" si="20"/>
        <v>0</v>
      </c>
      <c r="K76" s="2284">
        <f t="shared" si="21"/>
        <v>0</v>
      </c>
      <c r="L76" s="2284">
        <v>0</v>
      </c>
      <c r="M76" s="2284">
        <f t="shared" si="22"/>
        <v>0</v>
      </c>
      <c r="N76" s="2284">
        <f t="shared" si="22"/>
        <v>0</v>
      </c>
      <c r="O76" s="1981"/>
      <c r="P76" s="1981"/>
      <c r="Z76" s="1985"/>
      <c r="AA76" s="1983"/>
      <c r="AG76" s="1987"/>
      <c r="AK76" s="1983"/>
    </row>
    <row r="77" ht="24" spans="1:37">
      <c r="A77" s="2173" t="s">
        <v>1590</v>
      </c>
      <c r="B77" s="621" t="str">
        <f>估价对象房地状况!C22</f>
        <v>估价对象所在区域基础设施水平</v>
      </c>
      <c r="C77" s="2049"/>
      <c r="D77" s="2179">
        <f t="shared" si="18"/>
        <v>0</v>
      </c>
      <c r="E77" s="2318"/>
      <c r="F77" s="2181"/>
      <c r="G77" s="2182"/>
      <c r="H77" s="2183" t="str">
        <f t="shared" si="19"/>
        <v>——</v>
      </c>
      <c r="I77" s="2283">
        <v>0.09</v>
      </c>
      <c r="J77" s="2284">
        <f t="shared" si="20"/>
        <v>0</v>
      </c>
      <c r="K77" s="2284">
        <f t="shared" si="21"/>
        <v>0</v>
      </c>
      <c r="L77" s="2284">
        <v>0</v>
      </c>
      <c r="M77" s="2284">
        <f t="shared" si="22"/>
        <v>0</v>
      </c>
      <c r="N77" s="2284">
        <f t="shared" si="22"/>
        <v>0</v>
      </c>
      <c r="O77" s="1981"/>
      <c r="P77" s="1981"/>
      <c r="Z77" s="1985"/>
      <c r="AA77" s="1983"/>
      <c r="AG77" s="1987"/>
      <c r="AK77" s="1983"/>
    </row>
    <row r="78" ht="24" spans="1:37">
      <c r="A78" s="2173" t="s">
        <v>1587</v>
      </c>
      <c r="B78" s="2188" t="s">
        <v>1588</v>
      </c>
      <c r="C78" s="2049"/>
      <c r="D78" s="2179">
        <f t="shared" si="18"/>
        <v>0</v>
      </c>
      <c r="E78" s="2318"/>
      <c r="F78" s="2181"/>
      <c r="G78" s="2182"/>
      <c r="H78" s="2183" t="str">
        <f t="shared" si="19"/>
        <v>——</v>
      </c>
      <c r="I78" s="2283">
        <v>0.05</v>
      </c>
      <c r="J78" s="2284">
        <f t="shared" si="20"/>
        <v>0</v>
      </c>
      <c r="K78" s="2284">
        <f t="shared" si="21"/>
        <v>0</v>
      </c>
      <c r="L78" s="2284">
        <v>0</v>
      </c>
      <c r="M78" s="2284">
        <f t="shared" si="22"/>
        <v>0</v>
      </c>
      <c r="N78" s="2284">
        <f t="shared" si="22"/>
        <v>0</v>
      </c>
      <c r="O78" s="1982"/>
      <c r="P78" s="1982"/>
      <c r="Z78" s="1985"/>
      <c r="AA78" s="1983"/>
      <c r="AG78" s="1987"/>
      <c r="AK78" s="1983"/>
    </row>
    <row r="79" ht="24" spans="1:37">
      <c r="A79" s="2173" t="s">
        <v>1591</v>
      </c>
      <c r="B79" s="2178" t="str">
        <f>估价对象房地状况!C20</f>
        <v>区域自然环境：；人文环境；综合评价环境状况一般</v>
      </c>
      <c r="C79" s="2049"/>
      <c r="D79" s="2179">
        <f t="shared" si="18"/>
        <v>0</v>
      </c>
      <c r="E79" s="2318"/>
      <c r="F79" s="2181"/>
      <c r="G79" s="2182"/>
      <c r="H79" s="2183" t="str">
        <f t="shared" si="19"/>
        <v>——</v>
      </c>
      <c r="I79" s="2283">
        <v>0.12</v>
      </c>
      <c r="J79" s="2284">
        <f t="shared" si="20"/>
        <v>0</v>
      </c>
      <c r="K79" s="2284">
        <f t="shared" si="21"/>
        <v>0</v>
      </c>
      <c r="L79" s="2284">
        <v>0</v>
      </c>
      <c r="M79" s="2284">
        <f t="shared" si="22"/>
        <v>0</v>
      </c>
      <c r="N79" s="2284">
        <f t="shared" si="22"/>
        <v>0</v>
      </c>
      <c r="Z79" s="1985"/>
      <c r="AA79" s="1983"/>
      <c r="AG79" s="1987"/>
      <c r="AK79" s="1983"/>
    </row>
    <row r="80" ht="24.75" spans="1:37">
      <c r="A80" s="2190" t="s">
        <v>1601</v>
      </c>
      <c r="B80" s="2319"/>
      <c r="C80" s="2049"/>
      <c r="D80" s="2179">
        <f t="shared" si="18"/>
        <v>0</v>
      </c>
      <c r="E80" s="2320"/>
      <c r="F80" s="2181"/>
      <c r="G80" s="2182"/>
      <c r="H80" s="2183" t="str">
        <f t="shared" si="19"/>
        <v>——</v>
      </c>
      <c r="I80" s="2285">
        <v>0.05</v>
      </c>
      <c r="J80" s="2284">
        <f t="shared" si="20"/>
        <v>0</v>
      </c>
      <c r="K80" s="2284">
        <f t="shared" si="21"/>
        <v>0</v>
      </c>
      <c r="L80" s="2284">
        <v>0</v>
      </c>
      <c r="M80" s="2284">
        <f t="shared" si="22"/>
        <v>0</v>
      </c>
      <c r="N80" s="2284">
        <f t="shared" si="22"/>
        <v>0</v>
      </c>
      <c r="Z80" s="1985"/>
      <c r="AA80" s="1983"/>
      <c r="AG80" s="1987"/>
      <c r="AK80" s="1983"/>
    </row>
    <row r="81" ht="15" spans="1:37">
      <c r="A81" s="2167" t="s">
        <v>1602</v>
      </c>
      <c r="B81" s="2168">
        <f>1+E83</f>
        <v>1</v>
      </c>
      <c r="C81" s="2170"/>
      <c r="D81" s="2170"/>
      <c r="E81" s="2171"/>
      <c r="F81" s="2172"/>
      <c r="G81" s="2166"/>
      <c r="H81" s="2166"/>
      <c r="I81" s="2166"/>
      <c r="J81" s="2165"/>
      <c r="K81" s="2165"/>
      <c r="L81" s="2165"/>
      <c r="M81" s="2165"/>
      <c r="N81" s="2165"/>
      <c r="Z81" s="1985"/>
      <c r="AA81" s="1983"/>
      <c r="AG81" s="1987"/>
      <c r="AK81" s="1983"/>
    </row>
    <row r="82" ht="24.75" spans="1:37">
      <c r="A82" s="2173" t="s">
        <v>1568</v>
      </c>
      <c r="B82" s="2174"/>
      <c r="C82" s="2174" t="s">
        <v>1570</v>
      </c>
      <c r="D82" s="2174" t="s">
        <v>1571</v>
      </c>
      <c r="E82" s="2175" t="s">
        <v>1572</v>
      </c>
      <c r="F82" s="2176" t="s">
        <v>1593</v>
      </c>
      <c r="G82" s="2174" t="s">
        <v>1487</v>
      </c>
      <c r="H82" s="2177" t="s">
        <v>1574</v>
      </c>
      <c r="I82" s="2174" t="s">
        <v>1575</v>
      </c>
      <c r="J82" s="988" t="s">
        <v>1576</v>
      </c>
      <c r="K82" s="988" t="s">
        <v>1577</v>
      </c>
      <c r="L82" s="988" t="s">
        <v>1578</v>
      </c>
      <c r="M82" s="988" t="s">
        <v>1579</v>
      </c>
      <c r="N82" s="988" t="s">
        <v>1580</v>
      </c>
      <c r="Z82" s="1985"/>
      <c r="AA82" s="1983"/>
      <c r="AG82" s="1987"/>
      <c r="AK82" s="1983"/>
    </row>
    <row r="83" ht="38.25" spans="1:37">
      <c r="A83" s="2173" t="s">
        <v>1603</v>
      </c>
      <c r="B83" s="2184" t="str">
        <f>估价对象房地状况!G15</f>
        <v>估价对象位于XX开发区，园区建设成熟度XX，产业集聚程度XX</v>
      </c>
      <c r="C83" s="2049"/>
      <c r="D83" s="2179">
        <f t="shared" ref="D83:D90" si="23">SUMIF($J$82:$N$82,C83,J83:N83)</f>
        <v>0</v>
      </c>
      <c r="E83" s="2180">
        <f>ROUND(SUM(D83:D90),4)</f>
        <v>0</v>
      </c>
      <c r="F83" s="2181" t="str">
        <f>IF(E2="工业",SUMIF(L1:L12,G2,N1:N12),"——")</f>
        <v>——</v>
      </c>
      <c r="G83" s="2182"/>
      <c r="H83" s="2183" t="str">
        <f t="shared" ref="H83:H90" si="24">IFERROR(ROUNDDOWN($F$83*I83/2,4),"——")</f>
        <v>——</v>
      </c>
      <c r="I83" s="2283">
        <v>0.26</v>
      </c>
      <c r="J83" s="2284">
        <f t="shared" ref="J83:J90" si="25">K83+$G83</f>
        <v>0</v>
      </c>
      <c r="K83" s="2284">
        <f t="shared" ref="K83:K90" si="26">$L83+$G83</f>
        <v>0</v>
      </c>
      <c r="L83" s="2284">
        <v>0</v>
      </c>
      <c r="M83" s="2284">
        <f t="shared" ref="M83:N90" si="27">L83-$G83</f>
        <v>0</v>
      </c>
      <c r="N83" s="2284">
        <f t="shared" si="27"/>
        <v>0</v>
      </c>
      <c r="Z83" s="1985"/>
      <c r="AA83" s="1983"/>
      <c r="AG83" s="1987"/>
      <c r="AK83" s="1983"/>
    </row>
    <row r="84" ht="36" spans="1:37">
      <c r="A84" s="2173" t="s">
        <v>1582</v>
      </c>
      <c r="B84" s="2184" t="str">
        <f>估价对象房地状况!G16</f>
        <v>估价对象周边道路状况、公共交通通达情况、停车便捷程度，综合评价交通便捷度较好</v>
      </c>
      <c r="C84" s="2049"/>
      <c r="D84" s="2179">
        <f t="shared" si="23"/>
        <v>0</v>
      </c>
      <c r="E84" s="2318"/>
      <c r="F84" s="2181"/>
      <c r="G84" s="2182"/>
      <c r="H84" s="2183" t="str">
        <f t="shared" si="24"/>
        <v>——</v>
      </c>
      <c r="I84" s="2283">
        <v>0.3</v>
      </c>
      <c r="J84" s="2284">
        <f t="shared" si="25"/>
        <v>0</v>
      </c>
      <c r="K84" s="2284">
        <f t="shared" si="26"/>
        <v>0</v>
      </c>
      <c r="L84" s="2284">
        <v>0</v>
      </c>
      <c r="M84" s="2284">
        <f t="shared" si="27"/>
        <v>0</v>
      </c>
      <c r="N84" s="2284">
        <f t="shared" si="27"/>
        <v>0</v>
      </c>
      <c r="Z84" s="1985"/>
      <c r="AA84" s="1983"/>
      <c r="AG84" s="1987"/>
      <c r="AK84" s="1983"/>
    </row>
    <row r="85" ht="36" spans="1:37">
      <c r="A85" s="2186" t="s">
        <v>1583</v>
      </c>
      <c r="B85" s="2184">
        <f>估价对象房地状况!G17</f>
        <v>0</v>
      </c>
      <c r="C85" s="2049"/>
      <c r="D85" s="2179">
        <f t="shared" si="23"/>
        <v>0</v>
      </c>
      <c r="E85" s="2318"/>
      <c r="F85" s="2181"/>
      <c r="G85" s="2182"/>
      <c r="H85" s="2183" t="str">
        <f t="shared" si="24"/>
        <v>——</v>
      </c>
      <c r="I85" s="2283">
        <v>0.1</v>
      </c>
      <c r="J85" s="2284">
        <f t="shared" si="25"/>
        <v>0</v>
      </c>
      <c r="K85" s="2284">
        <f t="shared" si="26"/>
        <v>0</v>
      </c>
      <c r="L85" s="2284">
        <v>0</v>
      </c>
      <c r="M85" s="2284">
        <f t="shared" si="27"/>
        <v>0</v>
      </c>
      <c r="N85" s="2284">
        <f t="shared" si="27"/>
        <v>0</v>
      </c>
      <c r="Z85" s="1985"/>
      <c r="AA85" s="1983"/>
      <c r="AG85" s="1987"/>
      <c r="AK85" s="1983"/>
    </row>
    <row r="86" ht="14.25" spans="1:37">
      <c r="A86" s="2173" t="s">
        <v>1600</v>
      </c>
      <c r="B86" s="2184">
        <f>估价对象房地状况!G22</f>
        <v>0</v>
      </c>
      <c r="C86" s="2049"/>
      <c r="D86" s="2179">
        <f t="shared" si="23"/>
        <v>0</v>
      </c>
      <c r="E86" s="2318"/>
      <c r="F86" s="2181"/>
      <c r="G86" s="2182"/>
      <c r="H86" s="2183" t="str">
        <f t="shared" si="24"/>
        <v>——</v>
      </c>
      <c r="I86" s="2283">
        <v>0.05</v>
      </c>
      <c r="J86" s="2284">
        <f t="shared" si="25"/>
        <v>0</v>
      </c>
      <c r="K86" s="2284">
        <f t="shared" si="26"/>
        <v>0</v>
      </c>
      <c r="L86" s="2284">
        <v>0</v>
      </c>
      <c r="M86" s="2284">
        <f t="shared" si="27"/>
        <v>0</v>
      </c>
      <c r="N86" s="2284">
        <f t="shared" si="27"/>
        <v>0</v>
      </c>
      <c r="Z86" s="1985"/>
      <c r="AA86" s="1983"/>
      <c r="AG86" s="1987"/>
      <c r="AK86" s="1983"/>
    </row>
    <row r="87" ht="24" spans="1:14">
      <c r="A87" s="2173" t="s">
        <v>1589</v>
      </c>
      <c r="B87" s="621" t="str">
        <f>估价对象房地状况!G19</f>
        <v>估价对象所在区域公共配套设施齐备情况</v>
      </c>
      <c r="C87" s="2049"/>
      <c r="D87" s="2179">
        <f t="shared" si="23"/>
        <v>0</v>
      </c>
      <c r="E87" s="2318"/>
      <c r="F87" s="2181"/>
      <c r="G87" s="2182"/>
      <c r="H87" s="2183" t="str">
        <f t="shared" si="24"/>
        <v>——</v>
      </c>
      <c r="I87" s="2283">
        <v>0.06</v>
      </c>
      <c r="J87" s="2284">
        <f t="shared" si="25"/>
        <v>0</v>
      </c>
      <c r="K87" s="2284">
        <f t="shared" si="26"/>
        <v>0</v>
      </c>
      <c r="L87" s="2284">
        <v>0</v>
      </c>
      <c r="M87" s="2284">
        <f t="shared" si="27"/>
        <v>0</v>
      </c>
      <c r="N87" s="2284">
        <f t="shared" si="27"/>
        <v>0</v>
      </c>
    </row>
    <row r="88" ht="24" spans="1:14">
      <c r="A88" s="2173" t="s">
        <v>1590</v>
      </c>
      <c r="B88" s="621" t="str">
        <f>估价对象房地状况!G20</f>
        <v>估价对象所在区域基础设施水平</v>
      </c>
      <c r="C88" s="2049"/>
      <c r="D88" s="2179">
        <f t="shared" si="23"/>
        <v>0</v>
      </c>
      <c r="E88" s="2318"/>
      <c r="F88" s="2181"/>
      <c r="G88" s="2182"/>
      <c r="H88" s="2183" t="str">
        <f t="shared" si="24"/>
        <v>——</v>
      </c>
      <c r="I88" s="2283">
        <v>0.12</v>
      </c>
      <c r="J88" s="2284">
        <f t="shared" si="25"/>
        <v>0</v>
      </c>
      <c r="K88" s="2284">
        <f t="shared" si="26"/>
        <v>0</v>
      </c>
      <c r="L88" s="2284">
        <v>0</v>
      </c>
      <c r="M88" s="2284">
        <f t="shared" si="27"/>
        <v>0</v>
      </c>
      <c r="N88" s="2284">
        <f t="shared" si="27"/>
        <v>0</v>
      </c>
    </row>
    <row r="89" ht="24" spans="1:14">
      <c r="A89" s="2173" t="s">
        <v>1587</v>
      </c>
      <c r="B89" s="2188" t="s">
        <v>1604</v>
      </c>
      <c r="C89" s="2049"/>
      <c r="D89" s="2179">
        <f t="shared" si="23"/>
        <v>0</v>
      </c>
      <c r="E89" s="2318"/>
      <c r="F89" s="2181"/>
      <c r="G89" s="2182"/>
      <c r="H89" s="2183" t="str">
        <f t="shared" si="24"/>
        <v>——</v>
      </c>
      <c r="I89" s="2283">
        <v>0.06</v>
      </c>
      <c r="J89" s="2284">
        <f t="shared" si="25"/>
        <v>0</v>
      </c>
      <c r="K89" s="2284">
        <f t="shared" si="26"/>
        <v>0</v>
      </c>
      <c r="L89" s="2284">
        <v>0</v>
      </c>
      <c r="M89" s="2284">
        <f t="shared" si="27"/>
        <v>0</v>
      </c>
      <c r="N89" s="2284">
        <f t="shared" si="27"/>
        <v>0</v>
      </c>
    </row>
    <row r="90" ht="36.75" spans="1:14">
      <c r="A90" s="2190" t="s">
        <v>1605</v>
      </c>
      <c r="B90" s="2321" t="str">
        <f>估价对象房地状况!G18</f>
        <v>该园区内是否有污染型企业，绿化情况，卫生条件，整体环境状况判断</v>
      </c>
      <c r="C90" s="2049"/>
      <c r="D90" s="2179">
        <f t="shared" si="23"/>
        <v>0</v>
      </c>
      <c r="E90" s="2320"/>
      <c r="F90" s="2181"/>
      <c r="G90" s="2182"/>
      <c r="H90" s="2183" t="str">
        <f t="shared" si="24"/>
        <v>——</v>
      </c>
      <c r="I90" s="2285">
        <v>0.05</v>
      </c>
      <c r="J90" s="2284">
        <f t="shared" si="25"/>
        <v>0</v>
      </c>
      <c r="K90" s="2284">
        <f t="shared" si="26"/>
        <v>0</v>
      </c>
      <c r="L90" s="2284">
        <v>0</v>
      </c>
      <c r="M90" s="2284">
        <f t="shared" si="27"/>
        <v>0</v>
      </c>
      <c r="N90" s="2284">
        <f t="shared" si="27"/>
        <v>0</v>
      </c>
    </row>
    <row r="91" ht="15" spans="1:14">
      <c r="A91" s="2322" t="s">
        <v>280</v>
      </c>
      <c r="B91" s="2323">
        <f>1+E93</f>
        <v>1</v>
      </c>
      <c r="C91" s="2324"/>
      <c r="D91" s="2325"/>
      <c r="E91" s="2181"/>
      <c r="F91" s="2181"/>
      <c r="G91" s="2326"/>
      <c r="H91" s="2327"/>
      <c r="I91" s="2364"/>
      <c r="J91" s="2365"/>
      <c r="K91" s="2365"/>
      <c r="L91" s="2365"/>
      <c r="M91" s="2365"/>
      <c r="N91" s="2365"/>
    </row>
    <row r="92" ht="24.75" spans="1:14">
      <c r="A92" s="2328" t="s">
        <v>1568</v>
      </c>
      <c r="B92" s="2329"/>
      <c r="C92" s="2329" t="s">
        <v>1570</v>
      </c>
      <c r="D92" s="2329" t="s">
        <v>1571</v>
      </c>
      <c r="E92" s="2298" t="s">
        <v>1572</v>
      </c>
      <c r="F92" s="2330" t="s">
        <v>1593</v>
      </c>
      <c r="G92" s="2329" t="s">
        <v>1487</v>
      </c>
      <c r="H92" s="2331" t="s">
        <v>1574</v>
      </c>
      <c r="I92" s="2329" t="s">
        <v>1575</v>
      </c>
      <c r="J92" s="2366" t="s">
        <v>1576</v>
      </c>
      <c r="K92" s="2366" t="s">
        <v>1577</v>
      </c>
      <c r="L92" s="2366" t="s">
        <v>1578</v>
      </c>
      <c r="M92" s="2366" t="s">
        <v>1579</v>
      </c>
      <c r="N92" s="2366" t="s">
        <v>1580</v>
      </c>
    </row>
    <row r="93" ht="24" spans="1:14">
      <c r="A93" s="2186" t="s">
        <v>1606</v>
      </c>
      <c r="B93" s="653"/>
      <c r="C93" s="2049"/>
      <c r="D93" s="2329">
        <f>SUMIF($J$92:$N$92,C93,J93:N93)</f>
        <v>0</v>
      </c>
      <c r="E93" s="2332">
        <f>ROUND(SUM(D93:D101),4)</f>
        <v>0</v>
      </c>
      <c r="F93" s="2181" t="str">
        <f>IF(E2="公共服务",SUMIF(L1:L12,G2,N1:N12),"——")</f>
        <v>——</v>
      </c>
      <c r="G93" s="2326"/>
      <c r="H93" s="2333" t="str">
        <f>IFERROR(ROUNDDOWN($F$93*I93/2,4),"——")</f>
        <v>——</v>
      </c>
      <c r="I93" s="2283">
        <v>0.25</v>
      </c>
      <c r="J93" s="2109">
        <f t="shared" ref="J93:J101" si="28">K93+$G93</f>
        <v>0</v>
      </c>
      <c r="K93" s="2109">
        <f t="shared" ref="K93:K101" si="29">$L93+$G93</f>
        <v>0</v>
      </c>
      <c r="L93" s="2109">
        <v>0</v>
      </c>
      <c r="M93" s="2109">
        <f t="shared" ref="M93:N101" si="30">L93-$G93</f>
        <v>0</v>
      </c>
      <c r="N93" s="2109">
        <f t="shared" si="30"/>
        <v>0</v>
      </c>
    </row>
    <row r="94" ht="36" spans="1:14">
      <c r="A94" s="2328" t="s">
        <v>1582</v>
      </c>
      <c r="B94" s="2334" t="str">
        <f>估价对象房地状况!C18</f>
        <v>估价对象周边道路状况、公共交通通达情况、停车便捷程度，综合评价交通便捷度较好</v>
      </c>
      <c r="C94" s="2049"/>
      <c r="D94" s="2329">
        <f t="shared" ref="D94:D101" si="31">SUMIF($J$60:$N$60,C94,J94:N94)</f>
        <v>0</v>
      </c>
      <c r="E94" s="2335"/>
      <c r="F94" s="2181"/>
      <c r="G94" s="2326"/>
      <c r="H94" s="2333" t="str">
        <f>IFERROR(ROUNDDOWN($F$93*I94/2,4),"——")</f>
        <v>——</v>
      </c>
      <c r="I94" s="2283">
        <v>0.26</v>
      </c>
      <c r="J94" s="2109">
        <f t="shared" si="28"/>
        <v>0</v>
      </c>
      <c r="K94" s="2109">
        <f t="shared" si="29"/>
        <v>0</v>
      </c>
      <c r="L94" s="2109">
        <v>0</v>
      </c>
      <c r="M94" s="2109">
        <f t="shared" si="30"/>
        <v>0</v>
      </c>
      <c r="N94" s="2109">
        <f t="shared" si="30"/>
        <v>0</v>
      </c>
    </row>
    <row r="95" ht="36" spans="1:14">
      <c r="A95" s="2186" t="s">
        <v>1583</v>
      </c>
      <c r="B95" s="2334">
        <f>估价对象房地状况!C19</f>
        <v>0</v>
      </c>
      <c r="C95" s="2049"/>
      <c r="D95" s="2329">
        <f t="shared" si="31"/>
        <v>0</v>
      </c>
      <c r="E95" s="2335"/>
      <c r="F95" s="2181"/>
      <c r="G95" s="2326"/>
      <c r="H95" s="2333" t="str">
        <f t="shared" ref="H95:H101" si="32">IFERROR(ROUNDDOWN($F$93*I95/2,4),"——")</f>
        <v>——</v>
      </c>
      <c r="I95" s="2283">
        <v>0.11</v>
      </c>
      <c r="J95" s="2109">
        <f t="shared" si="28"/>
        <v>0</v>
      </c>
      <c r="K95" s="2109">
        <f t="shared" si="29"/>
        <v>0</v>
      </c>
      <c r="L95" s="2109">
        <v>0</v>
      </c>
      <c r="M95" s="2109">
        <f t="shared" si="30"/>
        <v>0</v>
      </c>
      <c r="N95" s="2109">
        <f t="shared" si="30"/>
        <v>0</v>
      </c>
    </row>
    <row r="96" ht="36.75" spans="1:14">
      <c r="A96" s="2328" t="s">
        <v>1584</v>
      </c>
      <c r="B96" s="2336" t="s">
        <v>1585</v>
      </c>
      <c r="C96" s="2049"/>
      <c r="D96" s="2329">
        <f t="shared" si="31"/>
        <v>0</v>
      </c>
      <c r="E96" s="2335"/>
      <c r="F96" s="2181"/>
      <c r="G96" s="2326"/>
      <c r="H96" s="2333" t="str">
        <f t="shared" si="32"/>
        <v>——</v>
      </c>
      <c r="I96" s="2283">
        <v>0.05</v>
      </c>
      <c r="J96" s="2109">
        <f t="shared" si="28"/>
        <v>0</v>
      </c>
      <c r="K96" s="2109">
        <f t="shared" si="29"/>
        <v>0</v>
      </c>
      <c r="L96" s="2109">
        <v>0</v>
      </c>
      <c r="M96" s="2109">
        <f t="shared" si="30"/>
        <v>0</v>
      </c>
      <c r="N96" s="2109">
        <f t="shared" si="30"/>
        <v>0</v>
      </c>
    </row>
    <row r="97" ht="24" spans="1:14">
      <c r="A97" s="2328" t="s">
        <v>1586</v>
      </c>
      <c r="B97" s="2334">
        <f>估价对象房地状况!C24</f>
        <v>0</v>
      </c>
      <c r="C97" s="2049"/>
      <c r="D97" s="2329">
        <f t="shared" si="31"/>
        <v>0</v>
      </c>
      <c r="E97" s="2335"/>
      <c r="F97" s="2181"/>
      <c r="G97" s="2326"/>
      <c r="H97" s="2333" t="str">
        <f t="shared" si="32"/>
        <v>——</v>
      </c>
      <c r="I97" s="2283">
        <v>0.05</v>
      </c>
      <c r="J97" s="2109">
        <f t="shared" si="28"/>
        <v>0</v>
      </c>
      <c r="K97" s="2109">
        <f t="shared" si="29"/>
        <v>0</v>
      </c>
      <c r="L97" s="2109">
        <v>0</v>
      </c>
      <c r="M97" s="2109">
        <f t="shared" si="30"/>
        <v>0</v>
      </c>
      <c r="N97" s="2109">
        <f t="shared" si="30"/>
        <v>0</v>
      </c>
    </row>
    <row r="98" ht="24" spans="1:14">
      <c r="A98" s="2328" t="s">
        <v>1587</v>
      </c>
      <c r="B98" s="2337" t="s">
        <v>1588</v>
      </c>
      <c r="C98" s="2049"/>
      <c r="D98" s="2329">
        <f t="shared" si="31"/>
        <v>0</v>
      </c>
      <c r="E98" s="2335"/>
      <c r="F98" s="2181"/>
      <c r="G98" s="2326"/>
      <c r="H98" s="2333" t="str">
        <f t="shared" si="32"/>
        <v>——</v>
      </c>
      <c r="I98" s="2283">
        <v>0.06</v>
      </c>
      <c r="J98" s="2109">
        <f t="shared" si="28"/>
        <v>0</v>
      </c>
      <c r="K98" s="2109">
        <f t="shared" si="29"/>
        <v>0</v>
      </c>
      <c r="L98" s="2109">
        <v>0</v>
      </c>
      <c r="M98" s="2109">
        <f t="shared" si="30"/>
        <v>0</v>
      </c>
      <c r="N98" s="2109">
        <f t="shared" si="30"/>
        <v>0</v>
      </c>
    </row>
    <row r="99" ht="24" spans="1:14">
      <c r="A99" s="2328" t="s">
        <v>1589</v>
      </c>
      <c r="B99" s="2334" t="str">
        <f>估价对象房地状况!C21</f>
        <v>估价对象所在区域公共配套设施齐备情况</v>
      </c>
      <c r="C99" s="2049"/>
      <c r="D99" s="2329">
        <f t="shared" si="31"/>
        <v>0</v>
      </c>
      <c r="E99" s="2335"/>
      <c r="F99" s="2181"/>
      <c r="G99" s="2326"/>
      <c r="H99" s="2333" t="str">
        <f t="shared" si="32"/>
        <v>——</v>
      </c>
      <c r="I99" s="2283">
        <v>0.06</v>
      </c>
      <c r="J99" s="2109">
        <f t="shared" si="28"/>
        <v>0</v>
      </c>
      <c r="K99" s="2109">
        <f t="shared" si="29"/>
        <v>0</v>
      </c>
      <c r="L99" s="2109">
        <v>0</v>
      </c>
      <c r="M99" s="2109">
        <f t="shared" si="30"/>
        <v>0</v>
      </c>
      <c r="N99" s="2109">
        <f t="shared" si="30"/>
        <v>0</v>
      </c>
    </row>
    <row r="100" ht="24" spans="1:14">
      <c r="A100" s="2328" t="s">
        <v>1590</v>
      </c>
      <c r="B100" s="2334" t="str">
        <f>估价对象房地状况!C22</f>
        <v>估价对象所在区域基础设施水平</v>
      </c>
      <c r="C100" s="2049"/>
      <c r="D100" s="2329">
        <f t="shared" si="31"/>
        <v>0</v>
      </c>
      <c r="E100" s="2335"/>
      <c r="F100" s="2181"/>
      <c r="G100" s="2326"/>
      <c r="H100" s="2333" t="str">
        <f t="shared" si="32"/>
        <v>——</v>
      </c>
      <c r="I100" s="2283">
        <v>0.09</v>
      </c>
      <c r="J100" s="2109">
        <f t="shared" si="28"/>
        <v>0</v>
      </c>
      <c r="K100" s="2109">
        <f t="shared" si="29"/>
        <v>0</v>
      </c>
      <c r="L100" s="2109">
        <v>0</v>
      </c>
      <c r="M100" s="2109">
        <f t="shared" si="30"/>
        <v>0</v>
      </c>
      <c r="N100" s="2109">
        <f t="shared" si="30"/>
        <v>0</v>
      </c>
    </row>
    <row r="101" ht="24.75" spans="1:14">
      <c r="A101" s="2338" t="s">
        <v>1591</v>
      </c>
      <c r="B101" s="2339" t="str">
        <f>估价对象房地状况!C20</f>
        <v>区域自然环境：；人文环境；综合评价环境状况一般</v>
      </c>
      <c r="C101" s="2049"/>
      <c r="D101" s="2329">
        <f t="shared" si="31"/>
        <v>0</v>
      </c>
      <c r="E101" s="2340"/>
      <c r="F101" s="2181"/>
      <c r="G101" s="2326"/>
      <c r="H101" s="2333" t="str">
        <f t="shared" si="32"/>
        <v>——</v>
      </c>
      <c r="I101" s="2285">
        <v>0.07</v>
      </c>
      <c r="J101" s="2109">
        <f t="shared" si="28"/>
        <v>0</v>
      </c>
      <c r="K101" s="2109">
        <f t="shared" si="29"/>
        <v>0</v>
      </c>
      <c r="L101" s="2109">
        <v>0</v>
      </c>
      <c r="M101" s="2109">
        <f t="shared" si="30"/>
        <v>0</v>
      </c>
      <c r="N101" s="2109">
        <f t="shared" si="30"/>
        <v>0</v>
      </c>
    </row>
    <row r="103" spans="1:14">
      <c r="A103" s="2341" t="s">
        <v>1607</v>
      </c>
      <c r="B103" s="2341"/>
      <c r="C103" s="2341"/>
      <c r="D103" s="2341"/>
      <c r="E103" s="2341"/>
      <c r="F103" s="2341"/>
      <c r="G103" s="2341"/>
      <c r="H103" s="2341"/>
      <c r="I103" s="2341"/>
      <c r="J103" s="2341"/>
      <c r="K103" s="2341"/>
      <c r="L103" s="2341"/>
      <c r="M103" s="2341"/>
      <c r="N103" s="2341"/>
    </row>
    <row r="104" spans="1:14">
      <c r="A104" s="2342" t="s">
        <v>1608</v>
      </c>
      <c r="B104" s="2342" t="s">
        <v>1609</v>
      </c>
      <c r="C104" s="2343" t="s">
        <v>1610</v>
      </c>
      <c r="D104" s="2344"/>
      <c r="E104" s="2344"/>
      <c r="F104" s="2344"/>
      <c r="G104" s="2344"/>
      <c r="H104" s="2344"/>
      <c r="I104" s="2344"/>
      <c r="J104" s="2367"/>
      <c r="K104" s="2368"/>
      <c r="L104" s="2368"/>
      <c r="M104" s="2368"/>
      <c r="N104" s="2368"/>
    </row>
    <row r="105" spans="1:14">
      <c r="A105" s="2342"/>
      <c r="B105" s="2342"/>
      <c r="C105" s="2342" t="s">
        <v>1448</v>
      </c>
      <c r="D105" s="2342" t="s">
        <v>1449</v>
      </c>
      <c r="E105" s="2342" t="s">
        <v>1450</v>
      </c>
      <c r="F105" s="2342" t="s">
        <v>1451</v>
      </c>
      <c r="G105" s="2342" t="s">
        <v>1452</v>
      </c>
      <c r="H105" s="2342" t="s">
        <v>1453</v>
      </c>
      <c r="I105" s="2342" t="s">
        <v>1454</v>
      </c>
      <c r="J105" s="2342" t="s">
        <v>1455</v>
      </c>
      <c r="K105" s="2342" t="s">
        <v>1456</v>
      </c>
      <c r="L105" s="2342" t="s">
        <v>1457</v>
      </c>
      <c r="M105" s="2342" t="s">
        <v>1458</v>
      </c>
      <c r="N105" s="2342" t="s">
        <v>1459</v>
      </c>
    </row>
    <row r="106" spans="1:14">
      <c r="A106" s="2345" t="s">
        <v>1611</v>
      </c>
      <c r="B106" s="2342">
        <v>1</v>
      </c>
      <c r="C106" s="2342">
        <v>1.5206</v>
      </c>
      <c r="D106" s="2342">
        <v>1.5206</v>
      </c>
      <c r="E106" s="2342">
        <v>1.5019</v>
      </c>
      <c r="F106" s="2342">
        <v>1.5019</v>
      </c>
      <c r="G106" s="2342">
        <v>1.5019</v>
      </c>
      <c r="H106" s="2342">
        <v>1.5019</v>
      </c>
      <c r="I106" s="2342">
        <v>1.5019</v>
      </c>
      <c r="J106" s="2342">
        <v>1.5418</v>
      </c>
      <c r="K106" s="2342">
        <v>1.5418</v>
      </c>
      <c r="L106" s="2342">
        <v>1.5418</v>
      </c>
      <c r="M106" s="2342">
        <v>1.5418</v>
      </c>
      <c r="N106" s="2342">
        <v>1.5418</v>
      </c>
    </row>
    <row r="107" spans="1:14">
      <c r="A107" s="2346"/>
      <c r="B107" s="2342">
        <v>2</v>
      </c>
      <c r="C107" s="2342">
        <v>1.2072</v>
      </c>
      <c r="D107" s="2342">
        <v>1.2072</v>
      </c>
      <c r="E107" s="2342">
        <v>1.1838</v>
      </c>
      <c r="F107" s="2342">
        <v>1.1838</v>
      </c>
      <c r="G107" s="2342">
        <v>1.1838</v>
      </c>
      <c r="H107" s="2342">
        <v>1.1838</v>
      </c>
      <c r="I107" s="2342">
        <v>1.1838</v>
      </c>
      <c r="J107" s="2342">
        <v>1.1884</v>
      </c>
      <c r="K107" s="2342">
        <v>1.1884</v>
      </c>
      <c r="L107" s="2342">
        <v>1.1884</v>
      </c>
      <c r="M107" s="2342">
        <v>1.1884</v>
      </c>
      <c r="N107" s="2342">
        <v>1.1884</v>
      </c>
    </row>
    <row r="108" spans="1:14">
      <c r="A108" s="2346"/>
      <c r="B108" s="2342">
        <v>3</v>
      </c>
      <c r="C108" s="2342">
        <v>1.0431</v>
      </c>
      <c r="D108" s="2342">
        <v>1.0431</v>
      </c>
      <c r="E108" s="2342">
        <v>1.0005</v>
      </c>
      <c r="F108" s="2342">
        <v>1.0005</v>
      </c>
      <c r="G108" s="2342">
        <v>1.0005</v>
      </c>
      <c r="H108" s="2342">
        <v>1.0005</v>
      </c>
      <c r="I108" s="2342">
        <v>1.0005</v>
      </c>
      <c r="J108" s="2342">
        <v>0.9694</v>
      </c>
      <c r="K108" s="2342">
        <v>0.9694</v>
      </c>
      <c r="L108" s="2342">
        <v>0.9694</v>
      </c>
      <c r="M108" s="2342">
        <v>0.9694</v>
      </c>
      <c r="N108" s="2342">
        <v>0.9694</v>
      </c>
    </row>
    <row r="109" spans="1:14">
      <c r="A109" s="2346"/>
      <c r="B109" s="2342">
        <v>4</v>
      </c>
      <c r="C109" s="2342">
        <v>0.9439</v>
      </c>
      <c r="D109" s="2342">
        <v>0.9439</v>
      </c>
      <c r="E109" s="2342">
        <v>0.8824</v>
      </c>
      <c r="F109" s="2342">
        <v>0.8824</v>
      </c>
      <c r="G109" s="2342">
        <v>0.8824</v>
      </c>
      <c r="H109" s="2342">
        <v>0.8824</v>
      </c>
      <c r="I109" s="2342">
        <v>0.8824</v>
      </c>
      <c r="J109" s="2342">
        <v>0.823</v>
      </c>
      <c r="K109" s="2342">
        <v>0.823</v>
      </c>
      <c r="L109" s="2342">
        <v>0.823</v>
      </c>
      <c r="M109" s="2342">
        <v>0.823</v>
      </c>
      <c r="N109" s="2342">
        <v>0.823</v>
      </c>
    </row>
    <row r="110" spans="1:14">
      <c r="A110" s="2346"/>
      <c r="B110" s="2342">
        <v>5</v>
      </c>
      <c r="C110" s="2342">
        <v>0.8996</v>
      </c>
      <c r="D110" s="2342">
        <v>0.8996</v>
      </c>
      <c r="E110" s="2342">
        <v>0.848</v>
      </c>
      <c r="F110" s="2342">
        <v>0.848</v>
      </c>
      <c r="G110" s="2342">
        <v>0.848</v>
      </c>
      <c r="H110" s="2342">
        <v>0.848</v>
      </c>
      <c r="I110" s="2342">
        <v>0.848</v>
      </c>
      <c r="J110" s="2342">
        <v>0.7498</v>
      </c>
      <c r="K110" s="2342">
        <v>0.7498</v>
      </c>
      <c r="L110" s="2342">
        <v>0.7498</v>
      </c>
      <c r="M110" s="2342">
        <v>0.7498</v>
      </c>
      <c r="N110" s="2342">
        <v>0.7498</v>
      </c>
    </row>
    <row r="111" spans="1:14">
      <c r="A111" s="2346"/>
      <c r="B111" s="2342" t="s">
        <v>1464</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2348"/>
      <c r="B112" s="2342">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49" t="s">
        <v>1612</v>
      </c>
      <c r="B113" s="2349"/>
      <c r="C113" s="2349"/>
      <c r="D113" s="2349"/>
      <c r="E113" s="2349"/>
      <c r="F113" s="2349"/>
      <c r="G113" s="2349"/>
      <c r="H113" s="2349"/>
      <c r="I113" s="2349"/>
      <c r="J113" s="2349"/>
      <c r="K113" s="2349"/>
      <c r="L113" s="2349"/>
      <c r="M113" s="2349"/>
      <c r="N113" s="2349"/>
    </row>
    <row r="114" spans="1:14">
      <c r="A114" s="2350"/>
      <c r="B114" s="2350"/>
      <c r="C114" s="2350"/>
      <c r="D114" s="2350"/>
      <c r="E114" s="2350"/>
      <c r="F114" s="2350"/>
      <c r="G114" s="2350"/>
      <c r="H114" s="2350"/>
      <c r="I114" s="2350"/>
      <c r="J114" s="2350"/>
      <c r="K114" s="2269"/>
      <c r="L114" s="2350"/>
      <c r="M114" s="2350"/>
      <c r="N114" s="2350"/>
    </row>
    <row r="115" ht="13.5" spans="1:14">
      <c r="A115" s="2350"/>
      <c r="B115" s="2350"/>
      <c r="C115" s="2350"/>
      <c r="D115" s="2350"/>
      <c r="E115" s="2350"/>
      <c r="F115" s="2350"/>
      <c r="G115" s="2350"/>
      <c r="H115" s="2350"/>
      <c r="I115" s="2350"/>
      <c r="J115" s="2350"/>
      <c r="K115" s="2269"/>
      <c r="L115" s="2350"/>
      <c r="M115" s="2350"/>
      <c r="N115" s="2350"/>
    </row>
    <row r="116" ht="25.5" spans="1:14">
      <c r="A116" s="2351" t="s">
        <v>1613</v>
      </c>
      <c r="B116" s="2352">
        <f>G3</f>
        <v>1.13</v>
      </c>
      <c r="C116" s="2353" t="s">
        <v>1614</v>
      </c>
      <c r="D116" s="2354">
        <f>SUMPRODUCT((A118:A122=F116)*(B117:M117=H116)*B118:M122)</f>
        <v>0.9803</v>
      </c>
      <c r="E116" s="1990" t="s">
        <v>1421</v>
      </c>
      <c r="F116" s="2355" t="str">
        <f>E2</f>
        <v>办公</v>
      </c>
      <c r="G116" s="1990" t="s">
        <v>1422</v>
      </c>
      <c r="H116" s="2355" t="str">
        <f>G2</f>
        <v>二级</v>
      </c>
      <c r="I116" s="1990"/>
      <c r="J116" s="2369"/>
      <c r="K116" s="2369"/>
      <c r="L116" s="2369"/>
      <c r="M116" s="2369"/>
      <c r="N116" s="2350"/>
    </row>
    <row r="117" spans="1:14">
      <c r="A117" s="2356"/>
      <c r="B117" s="2357" t="s">
        <v>1615</v>
      </c>
      <c r="C117" s="2357" t="s">
        <v>1616</v>
      </c>
      <c r="D117" s="2357" t="s">
        <v>1617</v>
      </c>
      <c r="E117" s="2358" t="s">
        <v>1618</v>
      </c>
      <c r="F117" s="2358" t="s">
        <v>1619</v>
      </c>
      <c r="G117" s="2358" t="s">
        <v>1620</v>
      </c>
      <c r="H117" s="2359" t="s">
        <v>1621</v>
      </c>
      <c r="I117" s="2359" t="s">
        <v>1622</v>
      </c>
      <c r="J117" s="2370" t="s">
        <v>1623</v>
      </c>
      <c r="K117" s="2370" t="s">
        <v>1624</v>
      </c>
      <c r="L117" s="2370" t="s">
        <v>1625</v>
      </c>
      <c r="M117" s="2371" t="s">
        <v>1626</v>
      </c>
      <c r="N117" s="2350"/>
    </row>
    <row r="118" spans="1:14">
      <c r="A118" s="2360" t="s">
        <v>1537</v>
      </c>
      <c r="B118" s="2331">
        <f>ROUND(0.9968-0.011*B116,4)</f>
        <v>0.9844</v>
      </c>
      <c r="C118" s="2331">
        <f>B118</f>
        <v>0.9844</v>
      </c>
      <c r="D118" s="2331">
        <f>ROUND(0.949-0.014*B116,4)</f>
        <v>0.9332</v>
      </c>
      <c r="E118" s="2331">
        <f>D118</f>
        <v>0.9332</v>
      </c>
      <c r="F118" s="2331">
        <f>E118</f>
        <v>0.9332</v>
      </c>
      <c r="G118" s="2331">
        <f>F118</f>
        <v>0.9332</v>
      </c>
      <c r="H118" s="2331">
        <f>G118</f>
        <v>0.9332</v>
      </c>
      <c r="I118" s="2331">
        <f>ROUND(0.8486-0.018*B116,4)</f>
        <v>0.8283</v>
      </c>
      <c r="J118" s="2331">
        <f t="shared" ref="J118:M122" si="36">I118</f>
        <v>0.8283</v>
      </c>
      <c r="K118" s="2331">
        <f t="shared" si="36"/>
        <v>0.8283</v>
      </c>
      <c r="L118" s="2331">
        <f t="shared" si="36"/>
        <v>0.8283</v>
      </c>
      <c r="M118" s="2372">
        <f t="shared" si="36"/>
        <v>0.8283</v>
      </c>
      <c r="N118" s="2350"/>
    </row>
    <row r="119" spans="1:14">
      <c r="A119" s="2360" t="s">
        <v>1538</v>
      </c>
      <c r="B119" s="2331">
        <f>ROUND(0.993-0.0112*B116,4)</f>
        <v>0.9803</v>
      </c>
      <c r="C119" s="2331">
        <f>B119</f>
        <v>0.9803</v>
      </c>
      <c r="D119" s="2331">
        <f>ROUND(0.9415-0.0142*B116,4)</f>
        <v>0.9255</v>
      </c>
      <c r="E119" s="2331">
        <f t="shared" ref="E119:H120" si="37">D119</f>
        <v>0.9255</v>
      </c>
      <c r="F119" s="2331">
        <f t="shared" si="37"/>
        <v>0.9255</v>
      </c>
      <c r="G119" s="2331">
        <f t="shared" si="37"/>
        <v>0.9255</v>
      </c>
      <c r="H119" s="2331">
        <f t="shared" si="37"/>
        <v>0.9255</v>
      </c>
      <c r="I119" s="2331">
        <f>ROUND(0.838-0.0182*B116,4)</f>
        <v>0.8174</v>
      </c>
      <c r="J119" s="2331">
        <f t="shared" si="36"/>
        <v>0.8174</v>
      </c>
      <c r="K119" s="2331">
        <f t="shared" si="36"/>
        <v>0.8174</v>
      </c>
      <c r="L119" s="2331">
        <f t="shared" si="36"/>
        <v>0.8174</v>
      </c>
      <c r="M119" s="2372">
        <f t="shared" si="36"/>
        <v>0.8174</v>
      </c>
      <c r="N119" s="2350"/>
    </row>
    <row r="120" spans="1:14">
      <c r="A120" s="2360" t="s">
        <v>1539</v>
      </c>
      <c r="B120" s="2331">
        <f>ROUND(0.9448-0.0115*B116,4)</f>
        <v>0.9318</v>
      </c>
      <c r="C120" s="2331">
        <f>B120</f>
        <v>0.9318</v>
      </c>
      <c r="D120" s="2331">
        <f>ROUND(0.937-0.0145*B116,4)</f>
        <v>0.9206</v>
      </c>
      <c r="E120" s="2331">
        <f t="shared" si="37"/>
        <v>0.9206</v>
      </c>
      <c r="F120" s="2331">
        <f t="shared" si="37"/>
        <v>0.9206</v>
      </c>
      <c r="G120" s="2331">
        <f t="shared" si="37"/>
        <v>0.9206</v>
      </c>
      <c r="H120" s="2331">
        <f t="shared" si="37"/>
        <v>0.9206</v>
      </c>
      <c r="I120" s="2331">
        <f>ROUND(0.7965-0.0185*B116,4)</f>
        <v>0.7756</v>
      </c>
      <c r="J120" s="2331">
        <f t="shared" si="36"/>
        <v>0.7756</v>
      </c>
      <c r="K120" s="2331">
        <f t="shared" si="36"/>
        <v>0.7756</v>
      </c>
      <c r="L120" s="2331">
        <f t="shared" si="36"/>
        <v>0.7756</v>
      </c>
      <c r="M120" s="2372">
        <f t="shared" si="36"/>
        <v>0.7756</v>
      </c>
      <c r="N120" s="2350"/>
    </row>
    <row r="121" ht="13.5" spans="1:14">
      <c r="A121" s="2361" t="s">
        <v>1540</v>
      </c>
      <c r="B121" s="2362">
        <f>ROUND(0.7836-0.012*B116,4)</f>
        <v>0.77</v>
      </c>
      <c r="C121" s="2362">
        <f>B121</f>
        <v>0.77</v>
      </c>
      <c r="D121" s="2362">
        <f>ROUND(0.753-0.015*B116,4)</f>
        <v>0.7361</v>
      </c>
      <c r="E121" s="2362">
        <f>D121</f>
        <v>0.7361</v>
      </c>
      <c r="F121" s="2362">
        <f>E121</f>
        <v>0.7361</v>
      </c>
      <c r="G121" s="2362">
        <f>ROUND(0.6612-0.018*B116,4)</f>
        <v>0.6409</v>
      </c>
      <c r="H121" s="2362">
        <f>G121</f>
        <v>0.6409</v>
      </c>
      <c r="I121" s="2362">
        <f>ROUND(0.5905-0.019*B116,4)</f>
        <v>0.569</v>
      </c>
      <c r="J121" s="2362">
        <f t="shared" si="36"/>
        <v>0.569</v>
      </c>
      <c r="K121" s="2362">
        <f t="shared" si="36"/>
        <v>0.569</v>
      </c>
      <c r="L121" s="2362">
        <f t="shared" si="36"/>
        <v>0.569</v>
      </c>
      <c r="M121" s="2373">
        <f t="shared" si="36"/>
        <v>0.569</v>
      </c>
      <c r="N121" s="2350"/>
    </row>
    <row r="122" spans="1:14">
      <c r="A122" s="2363" t="s">
        <v>280</v>
      </c>
      <c r="B122" s="2331">
        <f>ROUND(0.9404-0.0106*B116,4)</f>
        <v>0.9284</v>
      </c>
      <c r="C122" s="2331">
        <f>B122</f>
        <v>0.9284</v>
      </c>
      <c r="D122" s="2331">
        <f>ROUND(0.8955-0.0135*B116,4)</f>
        <v>0.8802</v>
      </c>
      <c r="E122" s="2331">
        <f t="shared" ref="E122:H122" si="38">D122</f>
        <v>0.8802</v>
      </c>
      <c r="F122" s="2331">
        <f t="shared" si="38"/>
        <v>0.8802</v>
      </c>
      <c r="G122" s="2331">
        <f t="shared" si="38"/>
        <v>0.8802</v>
      </c>
      <c r="H122" s="2331">
        <f t="shared" si="38"/>
        <v>0.8802</v>
      </c>
      <c r="I122" s="2331">
        <f>ROUND(0.7632-0.0166*B116,4)</f>
        <v>0.7444</v>
      </c>
      <c r="J122" s="2331">
        <f t="shared" si="36"/>
        <v>0.7444</v>
      </c>
      <c r="K122" s="2331">
        <f t="shared" si="36"/>
        <v>0.7444</v>
      </c>
      <c r="L122" s="2331">
        <f t="shared" si="36"/>
        <v>0.7444</v>
      </c>
      <c r="M122" s="2372">
        <f t="shared" si="36"/>
        <v>0.7444</v>
      </c>
      <c r="N122" s="23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0" sqref="N3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1627</v>
      </c>
      <c r="B1" s="1955"/>
      <c r="C1" s="1955"/>
      <c r="D1" s="1955"/>
      <c r="E1" s="1956"/>
      <c r="F1" s="1957"/>
      <c r="G1" s="1958"/>
      <c r="H1" s="1958"/>
      <c r="I1" s="1958"/>
      <c r="J1" s="1958"/>
      <c r="K1" s="1958"/>
      <c r="L1" s="1958"/>
      <c r="M1" s="1958"/>
      <c r="N1" s="1958"/>
      <c r="O1" s="1958"/>
      <c r="P1" s="1958"/>
      <c r="Q1" s="1958"/>
      <c r="R1" s="1958"/>
      <c r="S1" s="1958"/>
    </row>
    <row r="2" spans="1:19">
      <c r="A2" s="1959" t="s">
        <v>1069</v>
      </c>
      <c r="B2" s="1960">
        <f ca="1">SUMIF(B6:B13,"&lt;&gt;#ref!",B6:B13)</f>
        <v>3074.8665</v>
      </c>
      <c r="C2" s="1961" t="s">
        <v>1628</v>
      </c>
      <c r="D2" s="1962" t="s">
        <v>1629</v>
      </c>
      <c r="E2" s="1963">
        <f>SUM(E6:E13)</f>
        <v>695.5</v>
      </c>
      <c r="F2" s="1957"/>
      <c r="G2" s="1958"/>
      <c r="H2" s="1958"/>
      <c r="I2" s="1958"/>
      <c r="J2" s="1958"/>
      <c r="K2" s="1958"/>
      <c r="L2" s="1958"/>
      <c r="M2" s="1958"/>
      <c r="N2" s="1958"/>
      <c r="O2" s="1958"/>
      <c r="P2" s="1958"/>
      <c r="Q2" s="1958"/>
      <c r="R2" s="1958"/>
      <c r="S2" s="1958"/>
    </row>
    <row r="3" spans="1:19">
      <c r="A3" s="1959" t="s">
        <v>1071</v>
      </c>
      <c r="B3" s="1964">
        <f ca="1">ROUND(B2*10000/E2,0)</f>
        <v>44211</v>
      </c>
      <c r="C3" s="1961" t="s">
        <v>1630</v>
      </c>
      <c r="D3" s="1965"/>
      <c r="E3" s="1966"/>
      <c r="F3" s="1957"/>
      <c r="G3" s="1958"/>
      <c r="H3" s="1958"/>
      <c r="I3" s="1958"/>
      <c r="J3" s="1958"/>
      <c r="K3" s="1958"/>
      <c r="L3" s="1958"/>
      <c r="M3" s="1958"/>
      <c r="N3" s="1958"/>
      <c r="O3" s="1958"/>
      <c r="P3" s="1958"/>
      <c r="Q3" s="1958"/>
      <c r="R3" s="1958"/>
      <c r="S3" s="1958"/>
    </row>
    <row r="4" ht="15.75" spans="1:19">
      <c r="A4" s="1967"/>
      <c r="B4" s="1965"/>
      <c r="C4" s="1965"/>
      <c r="D4" s="1965"/>
      <c r="E4" s="1966"/>
      <c r="F4" s="1957"/>
      <c r="G4" s="1958"/>
      <c r="H4" s="1958"/>
      <c r="I4" s="1958"/>
      <c r="J4" s="1958"/>
      <c r="K4" s="1958"/>
      <c r="L4" s="1958"/>
      <c r="M4" s="1958"/>
      <c r="N4" s="1958"/>
      <c r="O4" s="1958"/>
      <c r="P4" s="1958"/>
      <c r="Q4" s="1958"/>
      <c r="R4" s="1958"/>
      <c r="S4" s="1958"/>
    </row>
    <row r="5" ht="15" spans="1:19">
      <c r="A5" s="1968" t="s">
        <v>1631</v>
      </c>
      <c r="B5" s="1969" t="s">
        <v>1632</v>
      </c>
      <c r="C5" s="1970"/>
      <c r="D5" s="1971"/>
      <c r="E5" s="1972" t="s">
        <v>1633</v>
      </c>
      <c r="F5" s="1973" t="s">
        <v>1634</v>
      </c>
      <c r="G5" s="1958"/>
      <c r="H5" s="1958"/>
      <c r="I5" s="1958"/>
      <c r="J5" s="1958"/>
      <c r="K5" s="1958"/>
      <c r="L5" s="1958"/>
      <c r="M5" s="1958"/>
      <c r="N5" s="1958"/>
      <c r="O5" s="1958"/>
      <c r="P5" s="1958"/>
      <c r="Q5" s="1958"/>
      <c r="R5" s="1958"/>
      <c r="S5" s="1958"/>
    </row>
    <row r="6" spans="1:19">
      <c r="A6" s="1974" t="str">
        <f>'数据-取费表'!AN6</f>
        <v>收益法 (元)-3号楼</v>
      </c>
      <c r="B6" s="571">
        <f ca="1">IF(F6="是",'数据-取费表'!AO6,0)</f>
        <v>2977.8256</v>
      </c>
      <c r="C6" s="1961" t="s">
        <v>1628</v>
      </c>
      <c r="D6" s="1965"/>
      <c r="E6" s="1975">
        <f>IF(OR(A6=0,F6="否"),0,'数据-取费表'!K6+'数据-取费表'!S6)</f>
        <v>684.1</v>
      </c>
      <c r="F6" s="1976" t="s">
        <v>1635</v>
      </c>
      <c r="G6" s="1958"/>
      <c r="H6" s="1958"/>
      <c r="I6" s="1958"/>
      <c r="J6" s="1958"/>
      <c r="K6" s="1958"/>
      <c r="L6" s="1958"/>
      <c r="M6" s="1958"/>
      <c r="N6" s="1958"/>
      <c r="O6" s="1958"/>
      <c r="P6" s="1958"/>
      <c r="Q6" s="1958"/>
      <c r="R6" s="1958"/>
      <c r="S6" s="1958"/>
    </row>
    <row r="7" spans="1:19">
      <c r="A7" s="1974" t="str">
        <f>'数据-取费表'!AN7</f>
        <v>收益法 (元)-4号楼</v>
      </c>
      <c r="B7" s="571">
        <f ca="1">IF(F7="是",'数据-取费表'!AO7,0)</f>
        <v>97.0409</v>
      </c>
      <c r="C7" s="1961" t="s">
        <v>1628</v>
      </c>
      <c r="D7" s="1965"/>
      <c r="E7" s="1975">
        <f>IF(OR(A7=0,F7="否"),0,'数据-取费表'!K7+'数据-取费表'!S7)</f>
        <v>11.4</v>
      </c>
      <c r="F7" s="1976" t="s">
        <v>1635</v>
      </c>
      <c r="G7" s="1958"/>
      <c r="H7" s="1958"/>
      <c r="I7" s="1958"/>
      <c r="J7" s="1958"/>
      <c r="K7" s="1958"/>
      <c r="L7" s="1958"/>
      <c r="M7" s="1958"/>
      <c r="N7" s="1958"/>
      <c r="O7" s="1958"/>
      <c r="P7" s="1958"/>
      <c r="Q7" s="1958"/>
      <c r="R7" s="1958"/>
      <c r="S7" s="1958"/>
    </row>
    <row r="8" spans="1:19">
      <c r="A8" s="1974">
        <f>'数据-取费表'!AN8</f>
        <v>0</v>
      </c>
      <c r="B8" s="571" t="e">
        <f ca="1">IF(F8="是",'数据-取费表'!AO8,0)</f>
        <v>#REF!</v>
      </c>
      <c r="C8" s="1961" t="s">
        <v>1628</v>
      </c>
      <c r="D8" s="1965"/>
      <c r="E8" s="1975">
        <f>IF(OR(A8=0,F8="否"),0,'数据-取费表'!K8+'数据-取费表'!S8)</f>
        <v>0</v>
      </c>
      <c r="F8" s="1976" t="s">
        <v>1635</v>
      </c>
      <c r="G8" s="1958"/>
      <c r="H8" s="1958"/>
      <c r="I8" s="1958"/>
      <c r="J8" s="1958"/>
      <c r="K8" s="1958"/>
      <c r="L8" s="1958"/>
      <c r="M8" s="1958"/>
      <c r="N8" s="1958"/>
      <c r="O8" s="1958"/>
      <c r="P8" s="1958"/>
      <c r="Q8" s="1958"/>
      <c r="R8" s="1958"/>
      <c r="S8" s="1958"/>
    </row>
    <row r="9" spans="1:19">
      <c r="A9" s="1974">
        <f>'数据-取费表'!AN9</f>
        <v>0</v>
      </c>
      <c r="B9" s="571" t="e">
        <f ca="1">IF(F9="是",'数据-取费表'!AO9,0)</f>
        <v>#REF!</v>
      </c>
      <c r="C9" s="1961" t="s">
        <v>1628</v>
      </c>
      <c r="D9" s="1965"/>
      <c r="E9" s="1975">
        <f>IF(OR(A9=0,F9="否"),0,'数据-取费表'!K9+'数据-取费表'!S9)</f>
        <v>0</v>
      </c>
      <c r="F9" s="1976" t="s">
        <v>1635</v>
      </c>
      <c r="G9" s="1958"/>
      <c r="H9" s="1958"/>
      <c r="I9" s="1958"/>
      <c r="J9" s="1958"/>
      <c r="K9" s="1958"/>
      <c r="L9" s="1958"/>
      <c r="M9" s="1958"/>
      <c r="N9" s="1958"/>
      <c r="O9" s="1958"/>
      <c r="P9" s="1958"/>
      <c r="Q9" s="1958"/>
      <c r="R9" s="1958"/>
      <c r="S9" s="1958"/>
    </row>
    <row r="10" spans="1:19">
      <c r="A10" s="1974">
        <f>'数据-取费表'!AN10</f>
        <v>0</v>
      </c>
      <c r="B10" s="571" t="e">
        <f ca="1">IF(F10="是",'数据-取费表'!AO10,0)</f>
        <v>#REF!</v>
      </c>
      <c r="C10" s="1961" t="s">
        <v>1628</v>
      </c>
      <c r="D10" s="1965"/>
      <c r="E10" s="1975">
        <f>IF(OR(A10=0,F10="否"),0,'数据-取费表'!K10+'数据-取费表'!S10)</f>
        <v>0</v>
      </c>
      <c r="F10" s="1976" t="s">
        <v>1635</v>
      </c>
      <c r="G10" s="1958"/>
      <c r="H10" s="1958"/>
      <c r="I10" s="1958"/>
      <c r="J10" s="1958"/>
      <c r="K10" s="1958"/>
      <c r="L10" s="1958"/>
      <c r="M10" s="1958"/>
      <c r="N10" s="1958"/>
      <c r="O10" s="1958"/>
      <c r="P10" s="1958"/>
      <c r="Q10" s="1958"/>
      <c r="R10" s="1958"/>
      <c r="S10" s="1958"/>
    </row>
    <row r="11" spans="1:19">
      <c r="A11" s="1974">
        <f>'数据-取费表'!AN11</f>
        <v>0</v>
      </c>
      <c r="B11" s="571" t="e">
        <f ca="1">IF(F11="是",'数据-取费表'!AO11,0)</f>
        <v>#REF!</v>
      </c>
      <c r="C11" s="1961" t="s">
        <v>1628</v>
      </c>
      <c r="D11" s="1965"/>
      <c r="E11" s="1975">
        <f>IF(OR(A11=0,F11="否"),0,'数据-取费表'!K11+'数据-取费表'!S11)</f>
        <v>0</v>
      </c>
      <c r="F11" s="1976" t="s">
        <v>1635</v>
      </c>
      <c r="G11" s="1958"/>
      <c r="H11" s="1958"/>
      <c r="I11" s="1958"/>
      <c r="J11" s="1958"/>
      <c r="K11" s="1958"/>
      <c r="L11" s="1958"/>
      <c r="M11" s="1958"/>
      <c r="N11" s="1958"/>
      <c r="O11" s="1958"/>
      <c r="P11" s="1958"/>
      <c r="Q11" s="1958"/>
      <c r="R11" s="1958"/>
      <c r="S11" s="1958"/>
    </row>
    <row r="12" spans="1:19">
      <c r="A12" s="1974">
        <f>'数据-取费表'!AN12</f>
        <v>0</v>
      </c>
      <c r="B12" s="571" t="e">
        <f ca="1">IF(F12="是",'数据-取费表'!AO12,0)</f>
        <v>#REF!</v>
      </c>
      <c r="C12" s="1961" t="s">
        <v>1628</v>
      </c>
      <c r="D12" s="1965"/>
      <c r="E12" s="1975">
        <f>IF(OR(A12=0,F12="否"),0,'数据-取费表'!K12+'数据-取费表'!S12)</f>
        <v>0</v>
      </c>
      <c r="F12" s="1976" t="s">
        <v>1635</v>
      </c>
      <c r="G12" s="1958"/>
      <c r="H12" s="1958"/>
      <c r="I12" s="1958"/>
      <c r="J12" s="1958"/>
      <c r="K12" s="1958"/>
      <c r="L12" s="1958"/>
      <c r="M12" s="1958"/>
      <c r="N12" s="1958"/>
      <c r="O12" s="1958"/>
      <c r="P12" s="1958"/>
      <c r="Q12" s="1958"/>
      <c r="R12" s="1958"/>
      <c r="S12" s="1958"/>
    </row>
    <row r="13" ht="15" spans="1:19">
      <c r="A13" s="1977">
        <f>'数据-取费表'!AN13</f>
        <v>0</v>
      </c>
      <c r="B13" s="571" t="e">
        <f ca="1">IF(F13="是",'数据-取费表'!AO13,0)</f>
        <v>#REF!</v>
      </c>
      <c r="C13" s="1978" t="s">
        <v>1628</v>
      </c>
      <c r="D13" s="1979"/>
      <c r="E13" s="1975">
        <f>IF(OR(A13=0,F13="否"),0,'数据-取费表'!K13+'数据-取费表'!S13)</f>
        <v>0</v>
      </c>
      <c r="F13" s="1976" t="s">
        <v>1635</v>
      </c>
      <c r="G13" s="1958"/>
      <c r="H13" s="1958"/>
      <c r="I13" s="1958"/>
      <c r="J13" s="1958"/>
      <c r="K13" s="1958"/>
      <c r="L13" s="1958"/>
      <c r="M13" s="1958"/>
      <c r="N13" s="1958"/>
      <c r="O13" s="1958"/>
      <c r="P13" s="1958"/>
      <c r="Q13" s="1958"/>
      <c r="R13" s="1958"/>
      <c r="S13" s="1958"/>
    </row>
    <row r="14" spans="1:22">
      <c r="A14" s="1958"/>
      <c r="B14" s="1958"/>
      <c r="C14" s="1958"/>
      <c r="D14" s="1958"/>
      <c r="E14" s="1958"/>
      <c r="F14" s="1958"/>
      <c r="G14" s="1958"/>
      <c r="H14" s="1958"/>
      <c r="I14" s="1958"/>
      <c r="J14" s="1958"/>
      <c r="K14" s="1958"/>
      <c r="L14" s="1958"/>
      <c r="M14" s="1958"/>
      <c r="N14" s="1958"/>
      <c r="O14" s="1958"/>
      <c r="P14" s="1958"/>
      <c r="Q14" s="1958"/>
      <c r="R14" s="1958"/>
      <c r="S14" s="1958"/>
      <c r="T14" s="1958"/>
      <c r="U14" s="1958"/>
      <c r="V14" s="1958"/>
    </row>
    <row r="15" spans="1:22">
      <c r="A15" s="1958"/>
      <c r="B15" s="1958"/>
      <c r="C15" s="1958"/>
      <c r="D15" s="1958"/>
      <c r="E15" s="1958"/>
      <c r="F15" s="1958"/>
      <c r="G15" s="1958"/>
      <c r="H15" s="1958"/>
      <c r="I15" s="1958"/>
      <c r="J15" s="1958"/>
      <c r="K15" s="1958"/>
      <c r="L15" s="1958"/>
      <c r="M15" s="1958"/>
      <c r="N15" s="1958"/>
      <c r="O15" s="1958"/>
      <c r="P15" s="1958"/>
      <c r="Q15" s="1958"/>
      <c r="R15" s="1958"/>
      <c r="S15" s="1958"/>
      <c r="T15" s="1958"/>
      <c r="U15" s="1958"/>
      <c r="V15" s="1958"/>
    </row>
    <row r="16" spans="1:22">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row>
    <row r="17" spans="1:22">
      <c r="A17" s="1958"/>
      <c r="B17" s="1958"/>
      <c r="C17" s="1958"/>
      <c r="D17" s="1958"/>
      <c r="E17" s="1958"/>
      <c r="F17" s="1958"/>
      <c r="G17" s="1958"/>
      <c r="H17" s="1958"/>
      <c r="I17" s="1958"/>
      <c r="J17" s="1958"/>
      <c r="K17" s="1958"/>
      <c r="L17" s="1958"/>
      <c r="M17" s="1958"/>
      <c r="N17" s="1958"/>
      <c r="O17" s="1958"/>
      <c r="P17" s="1958"/>
      <c r="Q17" s="1958"/>
      <c r="R17" s="1958"/>
      <c r="S17" s="1958"/>
      <c r="T17" s="1958"/>
      <c r="U17" s="1958"/>
      <c r="V17" s="1958"/>
    </row>
    <row r="18" spans="1:22">
      <c r="A18" s="1958"/>
      <c r="B18" s="1958"/>
      <c r="C18" s="1958"/>
      <c r="D18" s="1958"/>
      <c r="E18" s="1958"/>
      <c r="F18" s="1958"/>
      <c r="G18" s="1958"/>
      <c r="H18" s="1958"/>
      <c r="I18" s="1958"/>
      <c r="J18" s="1958"/>
      <c r="K18" s="1958"/>
      <c r="L18" s="1958"/>
      <c r="M18" s="1958"/>
      <c r="N18" s="1958"/>
      <c r="O18" s="1958"/>
      <c r="P18" s="1958"/>
      <c r="Q18" s="1958"/>
      <c r="R18" s="1958"/>
      <c r="S18" s="1958"/>
      <c r="T18" s="1958"/>
      <c r="U18" s="1958"/>
      <c r="V18" s="1958"/>
    </row>
    <row r="19" spans="1:22">
      <c r="A19" s="1958"/>
      <c r="B19" s="1958"/>
      <c r="C19" s="1958"/>
      <c r="D19" s="1958"/>
      <c r="E19" s="1958"/>
      <c r="F19" s="1958"/>
      <c r="G19" s="1958"/>
      <c r="H19" s="1958"/>
      <c r="I19" s="1958"/>
      <c r="J19" s="1958"/>
      <c r="K19" s="1958"/>
      <c r="L19" s="1958"/>
      <c r="M19" s="1958"/>
      <c r="N19" s="1958"/>
      <c r="O19" s="1958"/>
      <c r="P19" s="1958"/>
      <c r="Q19" s="1958"/>
      <c r="R19" s="1958"/>
      <c r="S19" s="1958"/>
      <c r="T19" s="1958"/>
      <c r="U19" s="1958"/>
      <c r="V19" s="1958"/>
    </row>
    <row r="20" spans="1:22">
      <c r="A20" s="1958"/>
      <c r="B20" s="1958"/>
      <c r="C20" s="1958"/>
      <c r="D20" s="1958"/>
      <c r="E20" s="1958"/>
      <c r="F20" s="1958"/>
      <c r="G20" s="1958"/>
      <c r="H20" s="1958"/>
      <c r="I20" s="1958"/>
      <c r="J20" s="1958"/>
      <c r="K20" s="1958"/>
      <c r="L20" s="1958"/>
      <c r="M20" s="1958"/>
      <c r="N20" s="1958"/>
      <c r="O20" s="1958"/>
      <c r="P20" s="1958"/>
      <c r="Q20" s="1958"/>
      <c r="R20" s="1958"/>
      <c r="S20" s="1958"/>
      <c r="T20" s="1958"/>
      <c r="U20" s="1958"/>
      <c r="V20" s="1958"/>
    </row>
    <row r="21" spans="1:22">
      <c r="A21" s="1958"/>
      <c r="B21" s="1958"/>
      <c r="C21" s="1958"/>
      <c r="D21" s="1958"/>
      <c r="E21" s="1958"/>
      <c r="F21" s="1958"/>
      <c r="G21" s="1958"/>
      <c r="H21" s="1958"/>
      <c r="I21" s="1958"/>
      <c r="J21" s="1958"/>
      <c r="K21" s="1958"/>
      <c r="L21" s="1958"/>
      <c r="M21" s="1958"/>
      <c r="N21" s="1958"/>
      <c r="O21" s="1958"/>
      <c r="P21" s="1958"/>
      <c r="Q21" s="1958"/>
      <c r="R21" s="1958"/>
      <c r="S21" s="1958"/>
      <c r="T21" s="1958"/>
      <c r="U21" s="1958"/>
      <c r="V21" s="1958"/>
    </row>
    <row r="22" spans="1:22">
      <c r="A22" s="1958"/>
      <c r="B22" s="1958"/>
      <c r="C22" s="1958"/>
      <c r="D22" s="1958"/>
      <c r="E22" s="1958"/>
      <c r="F22" s="1958"/>
      <c r="G22" s="1958"/>
      <c r="H22" s="1958"/>
      <c r="I22" s="1958"/>
      <c r="J22" s="1958"/>
      <c r="K22" s="1958"/>
      <c r="L22" s="1958"/>
      <c r="M22" s="1958"/>
      <c r="N22" s="1958"/>
      <c r="O22" s="1958"/>
      <c r="P22" s="1958"/>
      <c r="Q22" s="1958"/>
      <c r="R22" s="1958"/>
      <c r="S22" s="1958"/>
      <c r="T22" s="1958"/>
      <c r="U22" s="1958"/>
      <c r="V22" s="1958"/>
    </row>
    <row r="23" spans="1:22">
      <c r="A23" s="1958"/>
      <c r="B23" s="1958"/>
      <c r="C23" s="1958"/>
      <c r="D23" s="1958"/>
      <c r="E23" s="1958"/>
      <c r="F23" s="1958"/>
      <c r="G23" s="1958"/>
      <c r="H23" s="1958"/>
      <c r="I23" s="1958"/>
      <c r="J23" s="1958"/>
      <c r="K23" s="1958"/>
      <c r="L23" s="1958"/>
      <c r="M23" s="1958"/>
      <c r="N23" s="1958"/>
      <c r="O23" s="1958"/>
      <c r="P23" s="1958"/>
      <c r="Q23" s="1958"/>
      <c r="R23" s="1958"/>
      <c r="S23" s="1958"/>
      <c r="T23" s="1958"/>
      <c r="U23" s="1958"/>
      <c r="V23" s="1958"/>
    </row>
    <row r="24" spans="1:22">
      <c r="A24" s="1958"/>
      <c r="B24" s="1958"/>
      <c r="C24" s="1958"/>
      <c r="D24" s="1958"/>
      <c r="E24" s="1958"/>
      <c r="F24" s="1958"/>
      <c r="G24" s="1958"/>
      <c r="H24" s="1958"/>
      <c r="I24" s="1958"/>
      <c r="J24" s="1958"/>
      <c r="K24" s="1958"/>
      <c r="L24" s="1958"/>
      <c r="M24" s="1958"/>
      <c r="N24" s="1958"/>
      <c r="O24" s="1958"/>
      <c r="P24" s="1958"/>
      <c r="Q24" s="1958"/>
      <c r="R24" s="1958"/>
      <c r="S24" s="1958"/>
      <c r="T24" s="1958"/>
      <c r="U24" s="1958"/>
      <c r="V24" s="1958"/>
    </row>
    <row r="25" spans="1:22">
      <c r="A25" s="1958"/>
      <c r="B25" s="1958"/>
      <c r="C25" s="1958"/>
      <c r="D25" s="1958"/>
      <c r="E25" s="1958"/>
      <c r="F25" s="1958"/>
      <c r="G25" s="1958"/>
      <c r="H25" s="1958"/>
      <c r="I25" s="1958"/>
      <c r="J25" s="1958"/>
      <c r="K25" s="1958"/>
      <c r="L25" s="1958"/>
      <c r="M25" s="1958"/>
      <c r="N25" s="1958"/>
      <c r="O25" s="1958"/>
      <c r="P25" s="1958"/>
      <c r="Q25" s="1958"/>
      <c r="R25" s="1958"/>
      <c r="S25" s="1958"/>
      <c r="T25" s="1958"/>
      <c r="U25" s="1958"/>
      <c r="V25" s="1958"/>
    </row>
    <row r="26" spans="1:22">
      <c r="A26" s="1958"/>
      <c r="B26" s="1958"/>
      <c r="C26" s="1958"/>
      <c r="D26" s="1958"/>
      <c r="E26" s="1958"/>
      <c r="F26" s="1958"/>
      <c r="G26" s="1958"/>
      <c r="H26" s="1958"/>
      <c r="I26" s="1958"/>
      <c r="J26" s="1958"/>
      <c r="K26" s="1958"/>
      <c r="L26" s="1958"/>
      <c r="M26" s="1958"/>
      <c r="N26" s="1958"/>
      <c r="O26" s="1958"/>
      <c r="P26" s="1958"/>
      <c r="Q26" s="1958"/>
      <c r="R26" s="1958"/>
      <c r="S26" s="1958"/>
      <c r="T26" s="1958"/>
      <c r="U26" s="1958"/>
      <c r="V26" s="1958"/>
    </row>
    <row r="27" spans="1:22">
      <c r="A27" s="1958"/>
      <c r="B27" s="1958"/>
      <c r="C27" s="1958"/>
      <c r="D27" s="1958"/>
      <c r="E27" s="1958"/>
      <c r="F27" s="1958"/>
      <c r="G27" s="1958"/>
      <c r="H27" s="1958"/>
      <c r="I27" s="1958"/>
      <c r="J27" s="1958"/>
      <c r="K27" s="1958"/>
      <c r="L27" s="1958"/>
      <c r="M27" s="1958"/>
      <c r="N27" s="1958"/>
      <c r="O27" s="1958"/>
      <c r="P27" s="1958"/>
      <c r="Q27" s="1958"/>
      <c r="R27" s="1958"/>
      <c r="S27" s="1958"/>
      <c r="T27" s="1958"/>
      <c r="U27" s="1958"/>
      <c r="V27" s="1958"/>
    </row>
    <row r="28" spans="1:22">
      <c r="A28" s="1958"/>
      <c r="B28" s="1958"/>
      <c r="C28" s="1958"/>
      <c r="D28" s="1958"/>
      <c r="E28" s="1958"/>
      <c r="F28" s="1958"/>
      <c r="G28" s="1958"/>
      <c r="H28" s="1958"/>
      <c r="I28" s="1958"/>
      <c r="J28" s="1958"/>
      <c r="K28" s="1958"/>
      <c r="L28" s="1958"/>
      <c r="M28" s="1958"/>
      <c r="N28" s="1958"/>
      <c r="O28" s="1958"/>
      <c r="P28" s="1958"/>
      <c r="Q28" s="1958"/>
      <c r="R28" s="1958"/>
      <c r="S28" s="1958"/>
      <c r="T28" s="1958"/>
      <c r="U28" s="1958"/>
      <c r="V28" s="1958"/>
    </row>
    <row r="29" spans="1:22">
      <c r="A29" s="1958"/>
      <c r="B29" s="1958"/>
      <c r="C29" s="1958"/>
      <c r="D29" s="1958"/>
      <c r="E29" s="1958"/>
      <c r="F29" s="1958"/>
      <c r="G29" s="1958"/>
      <c r="H29" s="1958"/>
      <c r="I29" s="1958"/>
      <c r="J29" s="1958"/>
      <c r="K29" s="1958"/>
      <c r="L29" s="1958"/>
      <c r="M29" s="1958"/>
      <c r="N29" s="1958"/>
      <c r="O29" s="1958"/>
      <c r="P29" s="1958"/>
      <c r="Q29" s="1958"/>
      <c r="R29" s="1958"/>
      <c r="S29" s="1958"/>
      <c r="T29" s="1958"/>
      <c r="U29" s="1958"/>
      <c r="V29" s="1958"/>
    </row>
    <row r="30" spans="1:22">
      <c r="A30" s="1958"/>
      <c r="B30" s="1958"/>
      <c r="C30" s="1958"/>
      <c r="D30" s="1958"/>
      <c r="E30" s="1958"/>
      <c r="F30" s="1958"/>
      <c r="G30" s="1958"/>
      <c r="H30" s="1958"/>
      <c r="I30" s="1958"/>
      <c r="J30" s="1958"/>
      <c r="K30" s="1958"/>
      <c r="L30" s="1958"/>
      <c r="M30" s="1958"/>
      <c r="N30" s="1958"/>
      <c r="O30" s="1958"/>
      <c r="P30" s="1958"/>
      <c r="Q30" s="1958"/>
      <c r="R30" s="1958"/>
      <c r="S30" s="1958"/>
      <c r="T30" s="1958"/>
      <c r="U30" s="1958"/>
      <c r="V30" s="1958"/>
    </row>
    <row r="31" spans="1:22">
      <c r="A31" s="1958"/>
      <c r="B31" s="1958"/>
      <c r="C31" s="1958"/>
      <c r="D31" s="1958"/>
      <c r="E31" s="1958"/>
      <c r="F31" s="1958"/>
      <c r="G31" s="1958"/>
      <c r="H31" s="1958"/>
      <c r="I31" s="1958"/>
      <c r="J31" s="1958"/>
      <c r="K31" s="1958"/>
      <c r="L31" s="1958"/>
      <c r="M31" s="1958"/>
      <c r="N31" s="1958"/>
      <c r="O31" s="1958"/>
      <c r="P31" s="1958"/>
      <c r="Q31" s="1958"/>
      <c r="R31" s="1958"/>
      <c r="S31" s="1958"/>
      <c r="T31" s="1958"/>
      <c r="U31" s="1958"/>
      <c r="V31" s="19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610</v>
      </c>
      <c r="D1" s="1372" t="s">
        <v>124</v>
      </c>
      <c r="E1" s="1373" t="s">
        <v>1227</v>
      </c>
      <c r="F1" s="1374">
        <f ca="1">J53</f>
        <v>11</v>
      </c>
      <c r="G1" s="1375">
        <f>MATCH(C1,'数据-取费表'!A6:A16,0)+5</f>
        <v>6</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2977.8256</v>
      </c>
      <c r="C2" s="1379" t="s">
        <v>1229</v>
      </c>
      <c r="D2" s="1953">
        <f ca="1">C40+J29+L46</f>
        <v>29778256</v>
      </c>
      <c r="E2" s="1381" t="s">
        <v>1636</v>
      </c>
      <c r="F2" s="1382"/>
      <c r="G2" s="1383"/>
      <c r="H2" s="1384"/>
      <c r="I2" s="1384"/>
      <c r="J2" s="1384"/>
      <c r="K2" s="1546"/>
      <c r="L2" s="1384"/>
      <c r="M2" s="1384"/>
    </row>
    <row r="3" ht="18" customHeight="1" spans="1:13">
      <c r="A3" s="1385" t="s">
        <v>1230</v>
      </c>
      <c r="B3" s="1386">
        <f ca="1">IF(ISERROR(D2/F43),0,ROUND(D2/F43,0))</f>
        <v>43529</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652523</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651708</v>
      </c>
      <c r="D6" s="1401" t="s">
        <v>1637</v>
      </c>
      <c r="E6" s="1402" t="s">
        <v>1242</v>
      </c>
      <c r="F6" s="1403">
        <f ca="1">INDIRECT("'数据-取费表'!u"&amp;$G$1)</f>
        <v>2.9</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684.1</v>
      </c>
      <c r="G7" s="1368"/>
      <c r="H7" s="1409"/>
      <c r="I7" s="1405"/>
      <c r="J7" s="1410"/>
      <c r="K7" s="1407"/>
      <c r="L7" s="1402" t="s">
        <v>1244</v>
      </c>
      <c r="M7" s="1403">
        <f ca="1">F7</f>
        <v>684.1</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815</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1288322</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1535805</v>
      </c>
      <c r="D14" s="1435" t="s">
        <v>1257</v>
      </c>
      <c r="E14" s="1436"/>
      <c r="F14" s="1437"/>
      <c r="G14" s="1368"/>
      <c r="H14" s="1433" t="s">
        <v>979</v>
      </c>
      <c r="I14" s="1402" t="s">
        <v>1258</v>
      </c>
      <c r="J14" s="643">
        <f ca="1">C29</f>
        <v>2147203</v>
      </c>
      <c r="K14" s="1559"/>
      <c r="L14" s="1560"/>
      <c r="M14" s="1561"/>
    </row>
    <row r="15" s="1367" customFormat="1" ht="18" customHeight="1" spans="1:37">
      <c r="A15" s="1433" t="s">
        <v>1006</v>
      </c>
      <c r="B15" s="1402" t="s">
        <v>1187</v>
      </c>
      <c r="C15" s="643">
        <f ca="1">ROUND(C14*F15,0)</f>
        <v>46074</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32208</v>
      </c>
      <c r="K16" s="1454" t="s">
        <v>1263</v>
      </c>
      <c r="L16" s="1455"/>
      <c r="M16" s="1397"/>
    </row>
    <row r="17" s="1367" customFormat="1" ht="18" customHeight="1" spans="1:37">
      <c r="A17" s="1433" t="s">
        <v>1264</v>
      </c>
      <c r="B17" s="1402" t="s">
        <v>1265</v>
      </c>
      <c r="C17" s="643">
        <f ca="1">ROUND(F17*(F43+INDIRECT("'数据-取费表'!S"&amp;$G$1)),0)</f>
        <v>136820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23037</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1741736</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34835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32208</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30646</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3">
      <c r="A25" s="1433" t="s">
        <v>1035</v>
      </c>
      <c r="B25" s="1402" t="s">
        <v>1297</v>
      </c>
      <c r="C25" s="643"/>
      <c r="D25" s="1444" t="s">
        <v>1298</v>
      </c>
      <c r="E25" s="645"/>
      <c r="F25" s="1443"/>
      <c r="G25" s="1368"/>
      <c r="H25" s="1428" t="s">
        <v>1299</v>
      </c>
      <c r="I25" s="1472" t="s">
        <v>1300</v>
      </c>
      <c r="J25" s="1430">
        <f ca="1">J5-J16</f>
        <v>-32208</v>
      </c>
      <c r="K25" s="1473" t="s">
        <v>1301</v>
      </c>
      <c r="L25" s="1474"/>
      <c r="M25" s="1475"/>
    </row>
    <row r="26" ht="18" customHeight="1" spans="1:13">
      <c r="A26" s="1433" t="s">
        <v>1002</v>
      </c>
      <c r="B26" s="1402" t="s">
        <v>1302</v>
      </c>
      <c r="C26" s="643">
        <f ca="1">ROUND((C19+C20)*F26,0)</f>
        <v>177657</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2147203</v>
      </c>
      <c r="D29" s="1451"/>
      <c r="E29" s="1426"/>
      <c r="F29" s="1452"/>
      <c r="G29" s="1440"/>
      <c r="H29" s="1453" t="s">
        <v>1317</v>
      </c>
      <c r="I29" s="1483" t="s">
        <v>1318</v>
      </c>
      <c r="J29" s="1484">
        <f ca="1">ROUND(J26/(1+F40)^F41,0)</f>
        <v>0</v>
      </c>
      <c r="K29" s="1485" t="s">
        <v>1319</v>
      </c>
      <c r="L29" s="1486"/>
      <c r="M29" s="1487">
        <f ca="1">INDIRECT("'数据-取费表'!k"&amp;$G$1)</f>
        <v>684.1</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155785</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109239</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34758</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74481</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32208</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1288</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13050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496738</v>
      </c>
      <c r="D39" s="1473" t="s">
        <v>1301</v>
      </c>
      <c r="E39" s="1474"/>
      <c r="F39" s="1475"/>
      <c r="G39" s="1368"/>
      <c r="H39" s="1462"/>
      <c r="I39" s="1567">
        <f ca="1">C39/C6</f>
        <v>0.762209455768534</v>
      </c>
      <c r="J39" s="1568"/>
      <c r="K39" s="1576"/>
      <c r="L39" s="1462"/>
      <c r="M39" s="1462"/>
    </row>
    <row r="40" ht="18" customHeight="1" spans="1:13">
      <c r="A40" s="1392" t="s">
        <v>1305</v>
      </c>
      <c r="B40" s="1393" t="s">
        <v>1322</v>
      </c>
      <c r="C40" s="1549">
        <f ca="1">ROUND(C39*(1-((1+F42)/(1+F40))^F41)/(F40-F42),0)</f>
        <v>4284439</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11</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6263</v>
      </c>
      <c r="D43" s="1485" t="s">
        <v>1324</v>
      </c>
      <c r="E43" s="1486" t="s">
        <v>1325</v>
      </c>
      <c r="F43" s="1487">
        <f ca="1">INDIRECT("'数据-取费表'!k"&amp;$G$1)</f>
        <v>684.1</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-454.8618</v>
      </c>
      <c r="D45" s="1492" t="s">
        <v>1644</v>
      </c>
      <c r="E45" s="1488"/>
      <c r="F45" s="1488"/>
      <c r="O45" s="1578" t="s">
        <v>1326</v>
      </c>
      <c r="P45" s="1477"/>
      <c r="Q45" s="1477"/>
      <c r="R45" s="1477"/>
    </row>
    <row r="46" s="1368" customFormat="1" ht="13.5" spans="1:18">
      <c r="A46" s="1493" t="s">
        <v>1327</v>
      </c>
      <c r="C46" s="1494">
        <f ca="1">ROUND(C45,0)</f>
        <v>-455</v>
      </c>
      <c r="D46" s="1495" t="str">
        <f>C2</f>
        <v>万元</v>
      </c>
      <c r="I46" s="1579" t="s">
        <v>1328</v>
      </c>
      <c r="J46" s="1580"/>
      <c r="K46" s="1581"/>
      <c r="L46" s="1582">
        <f ca="1">IF(M47="住宅",0,IF(L48&gt;J51,L60,J60))</f>
        <v>25493817</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4284439</v>
      </c>
      <c r="R47" s="1632" t="s">
        <v>1336</v>
      </c>
    </row>
    <row r="48" s="1368" customFormat="1" ht="26.25" spans="1:18">
      <c r="A48" s="1500" t="s">
        <v>1337</v>
      </c>
      <c r="B48" s="1393" t="s">
        <v>1238</v>
      </c>
      <c r="C48" s="644">
        <f ca="1">C49+C53+C55</f>
        <v>0</v>
      </c>
      <c r="D48" s="1501"/>
      <c r="E48" s="1502"/>
      <c r="F48" s="1503"/>
      <c r="G48" s="1499"/>
      <c r="H48" s="1504"/>
      <c r="I48" s="1592" t="s">
        <v>1338</v>
      </c>
      <c r="J48" s="1593" t="s">
        <v>1645</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f>'数据-取费表'!N18</f>
        <v>1985</v>
      </c>
      <c r="K49" s="1594" t="s">
        <v>1346</v>
      </c>
      <c r="L49" s="1597"/>
      <c r="O49" s="1598" t="s">
        <v>1347</v>
      </c>
      <c r="P49" s="1591" t="s">
        <v>1348</v>
      </c>
      <c r="Q49" s="1632">
        <f ca="1">C29</f>
        <v>2147203</v>
      </c>
      <c r="R49" s="1632" t="s">
        <v>1336</v>
      </c>
    </row>
    <row r="50" s="1368" customFormat="1" ht="13.5" spans="1:18">
      <c r="A50" s="1512"/>
      <c r="B50" s="1513"/>
      <c r="C50" s="1514"/>
      <c r="D50" s="1515"/>
      <c r="E50" s="1516" t="s">
        <v>1244</v>
      </c>
      <c r="F50" s="1517">
        <f ca="1">F7</f>
        <v>684.1</v>
      </c>
      <c r="H50" s="1504"/>
      <c r="I50" s="1592" t="s">
        <v>1349</v>
      </c>
      <c r="J50" s="1599">
        <f>SUMPRODUCT((I63:I65=J47)*(J62:L62=J48)*(J63:L65))</f>
        <v>50</v>
      </c>
      <c r="K50" s="1594" t="s">
        <v>1350</v>
      </c>
      <c r="L50" s="1954">
        <f>ROUND(基准地价修正!C33*'数据-基础表'!I13,0)</f>
        <v>23344913</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11</v>
      </c>
      <c r="K51" s="1603" t="s">
        <v>1354</v>
      </c>
      <c r="L51" s="1604">
        <f ca="1">ROUND(-PV(INDIRECT("'数据-取费表'!h"&amp;$G$1),J51,(C39-C13*C76),0),0)</f>
        <v>3290065</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11</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11</v>
      </c>
      <c r="K53" s="1610" t="s">
        <v>1364</v>
      </c>
      <c r="L53" s="1611"/>
      <c r="O53" s="1590" t="s">
        <v>1189</v>
      </c>
      <c r="P53" s="1591" t="s">
        <v>1365</v>
      </c>
      <c r="Q53" s="1632">
        <f ca="1">Q47+Q48</f>
        <v>4284439</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1288322</v>
      </c>
      <c r="D56" s="1527"/>
      <c r="E56" s="1528"/>
      <c r="F56" s="1524"/>
      <c r="I56" s="1619" t="s">
        <v>1370</v>
      </c>
      <c r="J56" s="1620" t="s">
        <v>1649</v>
      </c>
      <c r="K56" s="1592" t="s">
        <v>1371</v>
      </c>
      <c r="L56" s="1595">
        <f ca="1">IF(L48&lt;J51,"——",L48-J51)</f>
        <v>39</v>
      </c>
      <c r="O56" s="1590" t="s">
        <v>1084</v>
      </c>
      <c r="P56" s="1591" t="s">
        <v>1335</v>
      </c>
      <c r="Q56" s="1632">
        <f ca="1">C40+J29</f>
        <v>4284439</v>
      </c>
      <c r="R56" s="1632" t="s">
        <v>1336</v>
      </c>
    </row>
    <row r="57" s="1368" customFormat="1" ht="24.75" spans="1:18">
      <c r="A57" s="1529"/>
      <c r="B57" s="1530" t="s">
        <v>1316</v>
      </c>
      <c r="C57" s="439">
        <f ca="1">C29</f>
        <v>2147203</v>
      </c>
      <c r="D57" s="1531"/>
      <c r="E57" s="1532"/>
      <c r="F57" s="1533"/>
      <c r="I57" s="1621" t="s">
        <v>1372</v>
      </c>
      <c r="J57" s="1622" t="str">
        <f ca="1">IF(OR(M47="住宅",J51&lt;L48,J56="是"),"——",J51-L48)</f>
        <v>——</v>
      </c>
      <c r="K57" s="1592" t="s">
        <v>1650</v>
      </c>
      <c r="L57" s="1595">
        <f ca="1">IF(L48&lt;J51,"——",IF(L55="比较法",L49,IF(L55="基准地价",L50,L51)))</f>
        <v>23344913</v>
      </c>
      <c r="O57" s="1590" t="s">
        <v>1087</v>
      </c>
      <c r="P57" s="1591" t="s">
        <v>1374</v>
      </c>
      <c r="Q57" s="1632">
        <f ca="1">L60</f>
        <v>25493817</v>
      </c>
      <c r="R57" s="1632" t="s">
        <v>1375</v>
      </c>
    </row>
    <row r="58" s="1368" customFormat="1" ht="24.75" spans="1:18">
      <c r="A58" s="1534" t="s">
        <v>1261</v>
      </c>
      <c r="B58" s="1526" t="s">
        <v>1262</v>
      </c>
      <c r="C58" s="642">
        <f ca="1">ROUND(C59+C64+C65+C66,0)</f>
        <v>33496</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IF(L55="比较法",L49,IF(L55="基准地价",L50,0))</f>
        <v>23344913</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0.478</v>
      </c>
      <c r="M59" s="1614">
        <f ca="1">ROUND(POWER(1+L52,L47-(J51+'数据-取费表'!B24))*(POWER(1+L52,(J51+'数据-取费表'!B24))-1)/(POWER(1+L52,L47)-1),4)</f>
        <v>0.478</v>
      </c>
      <c r="N59" s="1614">
        <f ca="1">ROUND(POWER(1+L52,L47-(J51+'数据-取费表'!B20))*(POWER(1+L52,(J51+'数据-取费表'!B20))-1)/(POWER(1+L52,L47)-1),4)</f>
        <v>0.509</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25493817</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0.478</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29778256</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32208</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1288</v>
      </c>
      <c r="D65" s="1538" t="s">
        <v>1293</v>
      </c>
      <c r="E65" s="1530" t="s">
        <v>1260</v>
      </c>
      <c r="F65" s="1471">
        <f ca="1" t="shared" si="0"/>
        <v>0.001</v>
      </c>
      <c r="I65" s="1627" t="s">
        <v>1394</v>
      </c>
      <c r="J65" s="1628">
        <v>40</v>
      </c>
      <c r="K65" s="1628">
        <v>30</v>
      </c>
      <c r="L65" s="1628">
        <v>50</v>
      </c>
      <c r="M65" s="1630">
        <v>0.02</v>
      </c>
      <c r="O65" s="1590" t="s">
        <v>1084</v>
      </c>
      <c r="P65" s="1591" t="s">
        <v>1335</v>
      </c>
      <c r="Q65" s="1632">
        <f ca="1">C40+J29</f>
        <v>4284439</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25493817</v>
      </c>
      <c r="R66" s="1632" t="s">
        <v>1375</v>
      </c>
    </row>
    <row r="67" s="1368" customFormat="1" ht="17.25" spans="1:18">
      <c r="A67" s="1525" t="s">
        <v>1299</v>
      </c>
      <c r="B67" s="1634" t="s">
        <v>1300</v>
      </c>
      <c r="C67" s="642">
        <f ca="1">C48-C58</f>
        <v>-33496</v>
      </c>
      <c r="D67" s="1537" t="s">
        <v>1301</v>
      </c>
      <c r="E67" s="1635"/>
      <c r="F67" s="1636"/>
      <c r="O67" s="1598" t="s">
        <v>1347</v>
      </c>
      <c r="P67" s="1591" t="s">
        <v>1378</v>
      </c>
      <c r="Q67" s="1657">
        <f ca="1">L51</f>
        <v>3290065</v>
      </c>
      <c r="R67" s="1632" t="s">
        <v>1395</v>
      </c>
    </row>
    <row r="68" s="1368" customFormat="1" ht="17.25" spans="1:18">
      <c r="A68" s="1637" t="s">
        <v>1305</v>
      </c>
      <c r="B68" s="1638" t="s">
        <v>1322</v>
      </c>
      <c r="C68" s="1549">
        <f ca="1">ROUND(C67*(1-((1+F70)/(1+F68))^F69)/(F68-F70),0)</f>
        <v>-264179</v>
      </c>
      <c r="D68" s="1540" t="s">
        <v>1307</v>
      </c>
      <c r="E68" s="1530" t="s">
        <v>1308</v>
      </c>
      <c r="F68" s="1412">
        <f ca="1">F40</f>
        <v>0.06</v>
      </c>
      <c r="O68" s="1598" t="s">
        <v>1351</v>
      </c>
      <c r="P68" s="1656" t="s">
        <v>1396</v>
      </c>
      <c r="Q68" s="1632">
        <f ca="1">ROUND(Q69-Q70*Q71,0)</f>
        <v>406555</v>
      </c>
      <c r="R68" s="1632" t="s">
        <v>1397</v>
      </c>
    </row>
    <row r="69" s="1368" customFormat="1" ht="13.5" spans="1:18">
      <c r="A69" s="1639"/>
      <c r="B69" s="1640"/>
      <c r="C69" s="1410"/>
      <c r="D69" s="1641" t="s">
        <v>1311</v>
      </c>
      <c r="E69" s="1530" t="s">
        <v>1312</v>
      </c>
      <c r="F69" s="1566">
        <f ca="1">F41</f>
        <v>11</v>
      </c>
      <c r="O69" s="1598" t="s">
        <v>1398</v>
      </c>
      <c r="P69" s="1656" t="s">
        <v>1399</v>
      </c>
      <c r="Q69" s="1632">
        <f ca="1">C39</f>
        <v>496738</v>
      </c>
      <c r="R69" s="1632" t="s">
        <v>1336</v>
      </c>
    </row>
    <row r="70" s="1368" customFormat="1" ht="13.5" spans="1:18">
      <c r="A70" s="1642"/>
      <c r="B70" s="1643"/>
      <c r="C70" s="1430"/>
      <c r="D70" s="1542"/>
      <c r="E70" s="1530" t="s">
        <v>1315</v>
      </c>
      <c r="F70" s="1520"/>
      <c r="O70" s="1598" t="s">
        <v>1400</v>
      </c>
      <c r="P70" s="1656" t="s">
        <v>1401</v>
      </c>
      <c r="Q70" s="1632">
        <f ca="1">C13</f>
        <v>1288322</v>
      </c>
      <c r="R70" s="1632" t="s">
        <v>1336</v>
      </c>
    </row>
    <row r="71" s="1368" customFormat="1" ht="13.5" spans="1:18">
      <c r="A71" s="1644" t="s">
        <v>1317</v>
      </c>
      <c r="B71" s="1645" t="s">
        <v>1323</v>
      </c>
      <c r="C71" s="1484">
        <f ca="1">ROUND(C68/F71,0)</f>
        <v>-386</v>
      </c>
      <c r="D71" s="1646" t="s">
        <v>1324</v>
      </c>
      <c r="E71" s="1647" t="s">
        <v>1325</v>
      </c>
      <c r="F71" s="1487">
        <f ca="1">F43</f>
        <v>684.1</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0.478</v>
      </c>
      <c r="R74" s="1632" t="s">
        <v>1385</v>
      </c>
    </row>
    <row r="75" ht="13.5" spans="1:18">
      <c r="A75" s="1368"/>
      <c r="B75" s="1649" t="s">
        <v>1406</v>
      </c>
      <c r="C75" s="1650">
        <f ca="1">ROUND(C13*C76,0)</f>
        <v>90183</v>
      </c>
      <c r="D75" s="1368"/>
      <c r="E75" s="1368"/>
      <c r="F75" s="1368"/>
      <c r="K75" s="1577"/>
      <c r="L75" s="1368"/>
      <c r="O75" s="1590" t="s">
        <v>1189</v>
      </c>
      <c r="P75" s="1591" t="s">
        <v>1365</v>
      </c>
      <c r="Q75" s="1632">
        <f ca="1">Q65+Q66</f>
        <v>29778256</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0.818</v>
      </c>
    </row>
    <row r="80" spans="2:3">
      <c r="B80" s="1649" t="s">
        <v>1411</v>
      </c>
      <c r="C80" s="475">
        <f ca="1">ROUND(C75/C39,3)</f>
        <v>0.182</v>
      </c>
    </row>
    <row r="81" spans="2:3">
      <c r="B81" s="472" t="s">
        <v>1412</v>
      </c>
      <c r="C81" s="439"/>
    </row>
    <row r="82" spans="2:3">
      <c r="B82" s="474" t="s">
        <v>1163</v>
      </c>
      <c r="C82" s="476">
        <f ca="1">1-C83</f>
        <v>0.699</v>
      </c>
    </row>
    <row r="83" spans="2:3">
      <c r="B83" s="474" t="s">
        <v>1164</v>
      </c>
      <c r="C83" s="475">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1">
      <c r="A1" s="1770" t="s">
        <v>1652</v>
      </c>
      <c r="B1" s="1771"/>
      <c r="C1" s="1772"/>
      <c r="D1" s="1772"/>
      <c r="E1" s="1773"/>
      <c r="F1" s="1774"/>
      <c r="G1" s="1775"/>
      <c r="J1" s="1881" t="s">
        <v>1653</v>
      </c>
      <c r="K1" s="1882"/>
      <c r="L1" s="1882"/>
      <c r="M1" s="1882"/>
      <c r="N1" s="1882"/>
      <c r="O1" s="1882"/>
      <c r="P1" s="1882"/>
      <c r="Q1" s="1882"/>
      <c r="R1" s="1930"/>
      <c r="S1" s="1931"/>
      <c r="T1" s="1931"/>
      <c r="U1" s="1931"/>
    </row>
    <row r="2" s="1763" customFormat="1" customHeight="1" spans="1:22">
      <c r="A2" s="1377" t="s">
        <v>1228</v>
      </c>
      <c r="B2" s="1776" t="e">
        <f>IF(D2="——",C40,C40+E2)</f>
        <v>#DIV/0!</v>
      </c>
      <c r="C2" s="1772" t="s">
        <v>1229</v>
      </c>
      <c r="D2" s="1777" t="s">
        <v>1654</v>
      </c>
      <c r="E2" s="1778"/>
      <c r="F2" s="1779"/>
      <c r="G2" s="1780"/>
      <c r="H2" s="1781"/>
      <c r="I2" s="1883"/>
      <c r="J2" s="1884" t="s">
        <v>1655</v>
      </c>
      <c r="K2" s="1885"/>
      <c r="L2" s="1886" t="s">
        <v>1656</v>
      </c>
      <c r="M2" s="1886" t="s">
        <v>1657</v>
      </c>
      <c r="N2" s="1886" t="s">
        <v>1658</v>
      </c>
      <c r="O2" s="1886" t="s">
        <v>1659</v>
      </c>
      <c r="P2" s="1886" t="s">
        <v>1660</v>
      </c>
      <c r="Q2" s="1932" t="s">
        <v>1661</v>
      </c>
      <c r="R2" s="1933" t="s">
        <v>1662</v>
      </c>
      <c r="S2" s="1931"/>
      <c r="T2" s="1931"/>
      <c r="U2" s="1931"/>
      <c r="V2" s="1883"/>
    </row>
    <row r="3" s="1763" customFormat="1" customHeight="1" spans="1:22">
      <c r="A3" s="1782" t="s">
        <v>1230</v>
      </c>
      <c r="B3" s="1783" t="e">
        <f>ROUND(B2*10000/B4,0)</f>
        <v>#DIV/0!</v>
      </c>
      <c r="C3" s="1772" t="s">
        <v>1231</v>
      </c>
      <c r="D3" s="1772"/>
      <c r="E3" s="1784"/>
      <c r="F3" s="1779"/>
      <c r="G3" s="1780"/>
      <c r="H3" s="1781"/>
      <c r="I3" s="1883"/>
      <c r="J3" s="1887" t="s">
        <v>1663</v>
      </c>
      <c r="K3" s="1888"/>
      <c r="L3" s="1889"/>
      <c r="M3" s="1889"/>
      <c r="N3" s="1889"/>
      <c r="O3" s="1889"/>
      <c r="P3" s="1889"/>
      <c r="Q3" s="1934"/>
      <c r="R3" s="1935">
        <f>SUM(L3:Q3)</f>
        <v>0</v>
      </c>
      <c r="S3" s="1931"/>
      <c r="T3" s="1931"/>
      <c r="U3" s="1931"/>
      <c r="V3" s="1883"/>
    </row>
    <row r="4" s="1763" customFormat="1" customHeight="1" spans="1:22">
      <c r="A4" s="1785" t="s">
        <v>581</v>
      </c>
      <c r="B4" s="1786"/>
      <c r="C4" s="1772"/>
      <c r="D4" s="1772"/>
      <c r="E4" s="1784"/>
      <c r="F4" s="1779"/>
      <c r="G4" s="1780"/>
      <c r="H4" s="1781"/>
      <c r="I4" s="1883"/>
      <c r="J4" s="1887" t="s">
        <v>1664</v>
      </c>
      <c r="K4" s="1888"/>
      <c r="L4" s="1890"/>
      <c r="M4" s="1890"/>
      <c r="N4" s="1890"/>
      <c r="O4" s="1890"/>
      <c r="P4" s="1890"/>
      <c r="Q4" s="1936"/>
      <c r="R4" s="1937">
        <f>SUM(L4:Q4)</f>
        <v>0</v>
      </c>
      <c r="S4" s="1931"/>
      <c r="T4" s="1931"/>
      <c r="U4" s="1931"/>
      <c r="V4" s="1883"/>
    </row>
    <row r="5" s="1763" customFormat="1" customHeight="1" spans="1:22">
      <c r="A5" s="1787" t="s">
        <v>578</v>
      </c>
      <c r="B5" s="1788"/>
      <c r="C5" s="1772"/>
      <c r="D5" s="1789"/>
      <c r="E5" s="1779"/>
      <c r="F5" s="1779"/>
      <c r="G5" s="1780"/>
      <c r="H5" s="1781"/>
      <c r="I5" s="1883"/>
      <c r="J5" s="1891" t="s">
        <v>1665</v>
      </c>
      <c r="K5" s="1892"/>
      <c r="L5" s="1892"/>
      <c r="M5" s="1893"/>
      <c r="N5" s="1893"/>
      <c r="O5" s="1893"/>
      <c r="P5" s="1893"/>
      <c r="Q5" s="1893"/>
      <c r="R5" s="1933">
        <f>SUM(R14,R19,R24,R25,R27,R28)</f>
        <v>0</v>
      </c>
      <c r="S5" s="1931"/>
      <c r="T5" s="1931" t="s">
        <v>1666</v>
      </c>
      <c r="U5" s="1931" t="e">
        <f>ROUND(R5*10000/365/R3,1)</f>
        <v>#DIV/0!</v>
      </c>
      <c r="V5" s="1883"/>
    </row>
    <row r="6" s="1763" customFormat="1" customHeight="1" spans="1:22">
      <c r="A6" s="1790" t="s">
        <v>1667</v>
      </c>
      <c r="B6" s="1791"/>
      <c r="C6" s="1792"/>
      <c r="D6" s="1793"/>
      <c r="E6" s="1794"/>
      <c r="F6" s="1795"/>
      <c r="G6" s="1796"/>
      <c r="H6" s="1781"/>
      <c r="I6" s="1883"/>
      <c r="J6" s="1894">
        <v>1</v>
      </c>
      <c r="K6" s="1895" t="s">
        <v>1668</v>
      </c>
      <c r="L6" s="1896" t="s">
        <v>1669</v>
      </c>
      <c r="M6" s="1897" t="s">
        <v>1670</v>
      </c>
      <c r="N6" s="1897" t="s">
        <v>1671</v>
      </c>
      <c r="O6" s="1897" t="s">
        <v>1672</v>
      </c>
      <c r="P6" s="1897" t="s">
        <v>1673</v>
      </c>
      <c r="Q6" s="1897" t="s">
        <v>1674</v>
      </c>
      <c r="R6" s="1935" t="s">
        <v>1675</v>
      </c>
      <c r="S6" s="1931"/>
      <c r="T6" s="1931" t="s">
        <v>1676</v>
      </c>
      <c r="U6" s="1931"/>
      <c r="V6" s="1883"/>
    </row>
    <row r="7" s="1763" customFormat="1" customHeight="1" spans="1:22">
      <c r="A7" s="1797" t="s">
        <v>1677</v>
      </c>
      <c r="B7" s="1798"/>
      <c r="C7" s="1799"/>
      <c r="D7" s="1800">
        <f>SUM(D9,D10,D11,D17,0)</f>
        <v>0</v>
      </c>
      <c r="E7" s="1801" t="e">
        <f>E9+E10+E11+E17</f>
        <v>#DIV/0!</v>
      </c>
      <c r="F7" s="1802"/>
      <c r="G7" s="1803"/>
      <c r="H7" s="1781"/>
      <c r="I7" s="1883"/>
      <c r="J7" s="1894"/>
      <c r="K7" s="1898"/>
      <c r="L7" s="1899" t="s">
        <v>1678</v>
      </c>
      <c r="M7" s="1900"/>
      <c r="N7" s="1786"/>
      <c r="O7" s="1901"/>
      <c r="P7" s="1901"/>
      <c r="Q7" s="1822">
        <v>365</v>
      </c>
      <c r="R7" s="1938">
        <f>ROUND(M7*N7*O7*P7*Q7/10000,0)</f>
        <v>0</v>
      </c>
      <c r="S7" s="1931"/>
      <c r="T7" s="1931" t="s">
        <v>1679</v>
      </c>
      <c r="U7" s="1931"/>
      <c r="V7" s="1883"/>
    </row>
    <row r="8" s="1763" customFormat="1" customHeight="1" spans="1:22">
      <c r="A8" s="1804" t="s">
        <v>1680</v>
      </c>
      <c r="B8" s="1805" t="s">
        <v>1681</v>
      </c>
      <c r="C8" s="1806"/>
      <c r="D8" s="1807" t="s">
        <v>1682</v>
      </c>
      <c r="E8" s="1808" t="s">
        <v>1683</v>
      </c>
      <c r="F8" s="1809" t="s">
        <v>1684</v>
      </c>
      <c r="G8" s="1810"/>
      <c r="H8" s="1781"/>
      <c r="I8" s="1883"/>
      <c r="J8" s="1894"/>
      <c r="K8" s="1898"/>
      <c r="L8" s="1899" t="s">
        <v>1685</v>
      </c>
      <c r="M8" s="1900"/>
      <c r="N8" s="1786"/>
      <c r="O8" s="1901"/>
      <c r="P8" s="1901"/>
      <c r="Q8" s="1822">
        <v>365</v>
      </c>
      <c r="R8" s="1938">
        <f t="shared" ref="R8:R13" si="0">ROUND(M8*N8*O8*P8*Q8/10000,0)</f>
        <v>0</v>
      </c>
      <c r="S8" s="1931"/>
      <c r="T8" s="1931" t="s">
        <v>1686</v>
      </c>
      <c r="U8" s="1931"/>
      <c r="V8" s="1883"/>
    </row>
    <row r="9" s="1763" customFormat="1" customHeight="1" spans="1:22">
      <c r="A9" s="1804">
        <v>1</v>
      </c>
      <c r="B9" s="1805" t="s">
        <v>1687</v>
      </c>
      <c r="C9" s="1806"/>
      <c r="D9" s="1807">
        <f>ROUND(D6*E9,0)</f>
        <v>0</v>
      </c>
      <c r="E9" s="1811"/>
      <c r="F9" s="1812" t="s">
        <v>1688</v>
      </c>
      <c r="G9" s="1796"/>
      <c r="H9" s="1781"/>
      <c r="I9" s="1883"/>
      <c r="J9" s="1894"/>
      <c r="K9" s="1898"/>
      <c r="L9" s="1899" t="s">
        <v>1689</v>
      </c>
      <c r="M9" s="1900"/>
      <c r="N9" s="1786"/>
      <c r="O9" s="1901"/>
      <c r="P9" s="1901"/>
      <c r="Q9" s="1822">
        <v>365</v>
      </c>
      <c r="R9" s="1938">
        <f t="shared" si="0"/>
        <v>0</v>
      </c>
      <c r="S9" s="1931"/>
      <c r="T9" s="1931"/>
      <c r="U9" s="1931"/>
      <c r="V9" s="1883"/>
    </row>
    <row r="10" s="1763" customFormat="1" customHeight="1" spans="1:22">
      <c r="A10" s="1804">
        <v>2</v>
      </c>
      <c r="B10" s="1805" t="s">
        <v>1690</v>
      </c>
      <c r="C10" s="1806"/>
      <c r="D10" s="1807">
        <f>ROUND(D6*E10,0)</f>
        <v>0</v>
      </c>
      <c r="E10" s="1811"/>
      <c r="F10" s="1812" t="s">
        <v>1691</v>
      </c>
      <c r="G10" s="1796"/>
      <c r="H10" s="1781"/>
      <c r="I10" s="1883"/>
      <c r="J10" s="1894"/>
      <c r="K10" s="1898"/>
      <c r="L10" s="1899" t="s">
        <v>1692</v>
      </c>
      <c r="M10" s="1900"/>
      <c r="N10" s="1786"/>
      <c r="O10" s="1901"/>
      <c r="P10" s="1901"/>
      <c r="Q10" s="1822">
        <v>365</v>
      </c>
      <c r="R10" s="1938">
        <f t="shared" si="0"/>
        <v>0</v>
      </c>
      <c r="S10" s="1931"/>
      <c r="T10" s="1931"/>
      <c r="U10" s="1931"/>
      <c r="V10" s="1883"/>
    </row>
    <row r="11" s="1763" customFormat="1" customHeight="1" spans="1:22">
      <c r="A11" s="1804">
        <v>3</v>
      </c>
      <c r="B11" s="1805" t="s">
        <v>1693</v>
      </c>
      <c r="C11" s="1806"/>
      <c r="D11" s="1807">
        <f>D12+D14+D15+D16</f>
        <v>0</v>
      </c>
      <c r="E11" s="1813" t="e">
        <f>D11/D6</f>
        <v>#DIV/0!</v>
      </c>
      <c r="F11" s="1809"/>
      <c r="G11" s="1810"/>
      <c r="H11" s="1781"/>
      <c r="I11" s="1883"/>
      <c r="J11" s="1894"/>
      <c r="K11" s="1898"/>
      <c r="L11" s="1899" t="s">
        <v>1694</v>
      </c>
      <c r="M11" s="1900"/>
      <c r="N11" s="1786"/>
      <c r="O11" s="1901"/>
      <c r="P11" s="1901"/>
      <c r="Q11" s="1822">
        <v>365</v>
      </c>
      <c r="R11" s="1938">
        <f t="shared" si="0"/>
        <v>0</v>
      </c>
      <c r="S11" s="1931"/>
      <c r="T11" s="1931"/>
      <c r="U11" s="1931"/>
      <c r="V11" s="1883"/>
    </row>
    <row r="12" s="1763" customFormat="1" customHeight="1" spans="1:22">
      <c r="A12" s="1814" t="s">
        <v>1695</v>
      </c>
      <c r="B12" s="1815" t="s">
        <v>1696</v>
      </c>
      <c r="C12" s="1816"/>
      <c r="D12" s="1817">
        <f>ROUND(D13*1.2%*(1-30%),0)</f>
        <v>0</v>
      </c>
      <c r="E12" s="1818">
        <v>0.012</v>
      </c>
      <c r="F12" s="1809" t="s">
        <v>1697</v>
      </c>
      <c r="G12" s="1810"/>
      <c r="H12" s="1781"/>
      <c r="I12" s="1883"/>
      <c r="J12" s="1894"/>
      <c r="K12" s="1898"/>
      <c r="L12" s="1899" t="s">
        <v>1698</v>
      </c>
      <c r="M12" s="1900"/>
      <c r="N12" s="1786"/>
      <c r="O12" s="1901"/>
      <c r="P12" s="1901"/>
      <c r="Q12" s="1822">
        <v>365</v>
      </c>
      <c r="R12" s="1938">
        <f t="shared" si="0"/>
        <v>0</v>
      </c>
      <c r="S12" s="1931"/>
      <c r="T12" s="1931"/>
      <c r="U12" s="1931"/>
      <c r="V12" s="1883"/>
    </row>
    <row r="13" s="1763" customFormat="1" customHeight="1" spans="1:22">
      <c r="A13" s="1814"/>
      <c r="B13" s="1815"/>
      <c r="C13" s="1819" t="s">
        <v>1699</v>
      </c>
      <c r="D13" s="1820"/>
      <c r="E13" s="1821"/>
      <c r="F13" s="1809"/>
      <c r="G13" s="1810"/>
      <c r="H13" s="1781"/>
      <c r="I13" s="1883"/>
      <c r="J13" s="1894"/>
      <c r="K13" s="1898"/>
      <c r="L13" s="1899" t="s">
        <v>1700</v>
      </c>
      <c r="M13" s="1900"/>
      <c r="N13" s="1786"/>
      <c r="O13" s="1901"/>
      <c r="P13" s="1901"/>
      <c r="Q13" s="1822">
        <v>365</v>
      </c>
      <c r="R13" s="1938">
        <f t="shared" si="0"/>
        <v>0</v>
      </c>
      <c r="S13" s="1931"/>
      <c r="T13" s="1931"/>
      <c r="U13" s="1931"/>
      <c r="V13" s="1883"/>
    </row>
    <row r="14" s="1763" customFormat="1" customHeight="1" spans="1:22">
      <c r="A14" s="1814" t="s">
        <v>1701</v>
      </c>
      <c r="B14" s="1815" t="s">
        <v>1702</v>
      </c>
      <c r="C14" s="1816"/>
      <c r="D14" s="1817">
        <f>ROUND(E14*B5/10000,0)</f>
        <v>0</v>
      </c>
      <c r="E14" s="1822"/>
      <c r="F14" s="1809" t="s">
        <v>1703</v>
      </c>
      <c r="G14" s="1810"/>
      <c r="H14" s="1781"/>
      <c r="I14" s="1883"/>
      <c r="J14" s="1894"/>
      <c r="K14" s="1902"/>
      <c r="L14" s="1903" t="s">
        <v>1704</v>
      </c>
      <c r="M14" s="1904">
        <f>SUM(M7:M13)</f>
        <v>0</v>
      </c>
      <c r="N14" s="1904" t="e">
        <f>ROUND((N7*M7+N8*M8+N9*M9+N10*M10+N11*M11+N12*M12+N13*M13)/M14,0)</f>
        <v>#DIV/0!</v>
      </c>
      <c r="O14" s="1905"/>
      <c r="P14" s="1905"/>
      <c r="Q14" s="1939"/>
      <c r="R14" s="1933">
        <f>SUM(R7:R13)</f>
        <v>0</v>
      </c>
      <c r="S14" s="1931"/>
      <c r="T14" s="1931"/>
      <c r="U14" s="1931"/>
      <c r="V14" s="1883"/>
    </row>
    <row r="15" s="1763" customFormat="1" customHeight="1" spans="1:22">
      <c r="A15" s="1814" t="s">
        <v>1705</v>
      </c>
      <c r="B15" s="1815" t="s">
        <v>1706</v>
      </c>
      <c r="C15" s="1816"/>
      <c r="D15" s="1817">
        <f>ROUND(D6*E15,0)</f>
        <v>0</v>
      </c>
      <c r="E15" s="1818">
        <v>0.055</v>
      </c>
      <c r="F15" s="1809" t="s">
        <v>1707</v>
      </c>
      <c r="G15" s="1796"/>
      <c r="H15" s="1781"/>
      <c r="I15" s="1883"/>
      <c r="J15" s="1894">
        <v>2</v>
      </c>
      <c r="K15" s="1895" t="s">
        <v>1708</v>
      </c>
      <c r="L15" s="1899" t="s">
        <v>1709</v>
      </c>
      <c r="M15" s="1900" t="s">
        <v>1710</v>
      </c>
      <c r="N15" s="1900" t="s">
        <v>1711</v>
      </c>
      <c r="O15" s="1901" t="s">
        <v>1712</v>
      </c>
      <c r="P15" s="1901" t="s">
        <v>1674</v>
      </c>
      <c r="Q15" s="1786" t="s">
        <v>124</v>
      </c>
      <c r="R15" s="1940" t="s">
        <v>1675</v>
      </c>
      <c r="S15" s="1931"/>
      <c r="T15" s="1931"/>
      <c r="U15" s="1931"/>
      <c r="V15" s="1883"/>
    </row>
    <row r="16" s="1763" customFormat="1" customHeight="1" spans="1:22">
      <c r="A16" s="1814" t="s">
        <v>1713</v>
      </c>
      <c r="B16" s="1815" t="s">
        <v>1714</v>
      </c>
      <c r="C16" s="1816"/>
      <c r="D16" s="1823">
        <f>D6*E16</f>
        <v>0</v>
      </c>
      <c r="E16" s="1824"/>
      <c r="F16" s="1812" t="s">
        <v>1715</v>
      </c>
      <c r="G16" s="1796"/>
      <c r="H16" s="1781"/>
      <c r="I16" s="1883"/>
      <c r="J16" s="1894"/>
      <c r="K16" s="1898"/>
      <c r="L16" s="1899" t="s">
        <v>1716</v>
      </c>
      <c r="M16" s="1900"/>
      <c r="N16" s="1900"/>
      <c r="O16" s="1901"/>
      <c r="P16" s="1822">
        <v>365</v>
      </c>
      <c r="Q16" s="1786"/>
      <c r="R16" s="1940">
        <f>ROUND(M16*N16*O16*P16/10000,0)</f>
        <v>0</v>
      </c>
      <c r="S16" s="1931"/>
      <c r="T16" s="1931"/>
      <c r="U16" s="1931"/>
      <c r="V16" s="1883"/>
    </row>
    <row r="17" s="1763" customFormat="1" customHeight="1" spans="1:22">
      <c r="A17" s="1825">
        <v>4</v>
      </c>
      <c r="B17" s="1826" t="s">
        <v>1717</v>
      </c>
      <c r="C17" s="1827"/>
      <c r="D17" s="1828">
        <f>ROUND(D6*E17,0)</f>
        <v>0</v>
      </c>
      <c r="E17" s="1829"/>
      <c r="F17" s="1830" t="s">
        <v>1718</v>
      </c>
      <c r="G17" s="1796"/>
      <c r="H17" s="1781"/>
      <c r="I17" s="1883"/>
      <c r="J17" s="1894"/>
      <c r="K17" s="1898"/>
      <c r="L17" s="1899" t="s">
        <v>1719</v>
      </c>
      <c r="M17" s="1900"/>
      <c r="N17" s="1900"/>
      <c r="O17" s="1901"/>
      <c r="P17" s="1822">
        <v>365</v>
      </c>
      <c r="Q17" s="1786"/>
      <c r="R17" s="1940">
        <f>ROUND(M17*N17*O17*P17/10000,0)</f>
        <v>0</v>
      </c>
      <c r="S17" s="1931"/>
      <c r="T17" s="1931"/>
      <c r="U17" s="1931"/>
      <c r="V17" s="1883"/>
    </row>
    <row r="18" s="1763" customFormat="1" customHeight="1" spans="1:22">
      <c r="A18" s="1797" t="s">
        <v>1720</v>
      </c>
      <c r="B18" s="1798"/>
      <c r="C18" s="1798"/>
      <c r="D18" s="1831">
        <f>ROUND(D6*E18,0)</f>
        <v>0</v>
      </c>
      <c r="E18" s="1832"/>
      <c r="F18" s="1833" t="s">
        <v>1721</v>
      </c>
      <c r="G18" s="1796"/>
      <c r="H18" s="1781"/>
      <c r="I18" s="1883"/>
      <c r="J18" s="1894"/>
      <c r="K18" s="1898"/>
      <c r="L18" s="1899" t="s">
        <v>1722</v>
      </c>
      <c r="M18" s="1900"/>
      <c r="N18" s="1900"/>
      <c r="O18" s="1901"/>
      <c r="P18" s="1822">
        <v>365</v>
      </c>
      <c r="Q18" s="1786"/>
      <c r="R18" s="1940">
        <f>ROUND(M18*N18*O18*P18/10000,0)</f>
        <v>0</v>
      </c>
      <c r="S18" s="1931"/>
      <c r="T18" s="1931"/>
      <c r="U18" s="1931"/>
      <c r="V18" s="1883"/>
    </row>
    <row r="19" s="1763" customFormat="1" customHeight="1" spans="1:22">
      <c r="A19" s="1834" t="s">
        <v>1723</v>
      </c>
      <c r="B19" s="1794"/>
      <c r="C19" s="1794"/>
      <c r="D19" s="1794"/>
      <c r="E19" s="1794"/>
      <c r="F19" s="1795"/>
      <c r="G19" s="1810"/>
      <c r="H19" s="1781"/>
      <c r="I19" s="1883"/>
      <c r="J19" s="1894"/>
      <c r="K19" s="1902"/>
      <c r="L19" s="1903" t="s">
        <v>1704</v>
      </c>
      <c r="M19" s="1904"/>
      <c r="N19" s="1904">
        <f>SUM(N16:N18)</f>
        <v>0</v>
      </c>
      <c r="O19" s="1905"/>
      <c r="P19" s="1906" t="s">
        <v>1724</v>
      </c>
      <c r="Q19" s="1901">
        <v>0</v>
      </c>
      <c r="R19" s="1941">
        <f>ROUND(IF(P19="按比例",R14*Q19,SUM(R16:R18)),0)</f>
        <v>0</v>
      </c>
      <c r="S19" s="1931"/>
      <c r="T19" s="1931"/>
      <c r="U19" s="1931"/>
      <c r="V19" s="1883"/>
    </row>
    <row r="20" s="1763" customFormat="1" customHeight="1" spans="1:22">
      <c r="A20" s="1797"/>
      <c r="B20" s="1798"/>
      <c r="C20" s="1798"/>
      <c r="D20" s="1798"/>
      <c r="E20" s="1798"/>
      <c r="F20" s="1835"/>
      <c r="G20" s="1810"/>
      <c r="H20" s="1781"/>
      <c r="I20" s="1883"/>
      <c r="J20" s="1894">
        <v>3</v>
      </c>
      <c r="K20" s="1895" t="s">
        <v>1725</v>
      </c>
      <c r="L20" s="1899" t="s">
        <v>1726</v>
      </c>
      <c r="M20" s="1900" t="s">
        <v>1727</v>
      </c>
      <c r="N20" s="1907" t="s">
        <v>1728</v>
      </c>
      <c r="O20" s="1901" t="s">
        <v>1729</v>
      </c>
      <c r="P20" s="1822" t="s">
        <v>1674</v>
      </c>
      <c r="Q20" s="1786" t="s">
        <v>124</v>
      </c>
      <c r="R20" s="1940" t="s">
        <v>1675</v>
      </c>
      <c r="S20" s="1928"/>
      <c r="T20" s="1928"/>
      <c r="U20" s="1928"/>
      <c r="V20" s="1883"/>
    </row>
    <row r="21" s="1763" customFormat="1" customHeight="1" spans="1:22">
      <c r="A21" s="1797"/>
      <c r="B21" s="1798"/>
      <c r="C21" s="1805" t="s">
        <v>1730</v>
      </c>
      <c r="D21" s="1836" t="s">
        <v>1731</v>
      </c>
      <c r="E21" s="1806" t="s">
        <v>1732</v>
      </c>
      <c r="F21" s="1835"/>
      <c r="G21" s="1810"/>
      <c r="H21" s="1781"/>
      <c r="I21" s="1883"/>
      <c r="J21" s="1894"/>
      <c r="K21" s="1898"/>
      <c r="L21" s="1899" t="s">
        <v>1733</v>
      </c>
      <c r="M21" s="1900"/>
      <c r="N21" s="1900"/>
      <c r="O21" s="1901"/>
      <c r="P21" s="1822">
        <v>365</v>
      </c>
      <c r="Q21" s="1786"/>
      <c r="R21" s="1942">
        <f>ROUND(M21*N21*O21*P21/10000,0)</f>
        <v>0</v>
      </c>
      <c r="S21" s="1928"/>
      <c r="T21" s="1928"/>
      <c r="U21" s="1928"/>
      <c r="V21" s="1883"/>
    </row>
    <row r="22" s="1763" customFormat="1" customHeight="1" spans="1:22">
      <c r="A22" s="1797"/>
      <c r="B22" s="1798"/>
      <c r="C22" s="1837" t="s">
        <v>1734</v>
      </c>
      <c r="D22" s="1838" t="s">
        <v>1735</v>
      </c>
      <c r="E22" s="1839" t="s">
        <v>1736</v>
      </c>
      <c r="F22" s="1835"/>
      <c r="G22" s="1840"/>
      <c r="H22" s="1781"/>
      <c r="I22" s="1883"/>
      <c r="J22" s="1894"/>
      <c r="K22" s="1898"/>
      <c r="L22" s="1899" t="s">
        <v>1737</v>
      </c>
      <c r="M22" s="1900"/>
      <c r="N22" s="1900"/>
      <c r="O22" s="1901"/>
      <c r="P22" s="1822">
        <v>365</v>
      </c>
      <c r="Q22" s="1786"/>
      <c r="R22" s="1942">
        <f>ROUND(M22*N22*O22*P22/10000,0)</f>
        <v>0</v>
      </c>
      <c r="S22" s="1928"/>
      <c r="T22" s="1928"/>
      <c r="U22" s="1928"/>
      <c r="V22" s="1883"/>
    </row>
    <row r="23" s="1763" customFormat="1" customHeight="1" spans="1:22">
      <c r="A23" s="1841">
        <v>1</v>
      </c>
      <c r="B23" s="1842" t="s">
        <v>1738</v>
      </c>
      <c r="C23" s="1843">
        <f>D6</f>
        <v>0</v>
      </c>
      <c r="D23" s="1844">
        <f>C23*(1+D24)</f>
        <v>0</v>
      </c>
      <c r="E23" s="1845">
        <f>D23*(1+E24)</f>
        <v>0</v>
      </c>
      <c r="F23" s="1846"/>
      <c r="G23" s="1847"/>
      <c r="H23" s="1781"/>
      <c r="I23" s="1883"/>
      <c r="J23" s="1894"/>
      <c r="K23" s="1898"/>
      <c r="L23" s="1899" t="s">
        <v>1739</v>
      </c>
      <c r="M23" s="1900"/>
      <c r="N23" s="1900"/>
      <c r="O23" s="1901"/>
      <c r="P23" s="1822">
        <v>365</v>
      </c>
      <c r="Q23" s="1786"/>
      <c r="R23" s="1942">
        <f>ROUND(M23*N23*O23*P23/10000,0)</f>
        <v>0</v>
      </c>
      <c r="S23" s="1931"/>
      <c r="T23" s="1931"/>
      <c r="U23" s="1931"/>
      <c r="V23" s="1883"/>
    </row>
    <row r="24" s="1763" customFormat="1" customHeight="1" spans="1:22">
      <c r="A24" s="1848"/>
      <c r="B24" s="1849" t="s">
        <v>1740</v>
      </c>
      <c r="C24" s="1850"/>
      <c r="D24" s="1851"/>
      <c r="E24" s="1852"/>
      <c r="F24" s="1853"/>
      <c r="G24" s="1847"/>
      <c r="H24" s="1781"/>
      <c r="I24" s="1883"/>
      <c r="J24" s="1894"/>
      <c r="K24" s="1902"/>
      <c r="L24" s="1903" t="s">
        <v>1704</v>
      </c>
      <c r="M24" s="1904">
        <f>SUM(M21:M23)</f>
        <v>0</v>
      </c>
      <c r="N24" s="1904"/>
      <c r="O24" s="1905"/>
      <c r="P24" s="1906" t="s">
        <v>1724</v>
      </c>
      <c r="Q24" s="1901">
        <v>0</v>
      </c>
      <c r="R24" s="1941">
        <f>ROUND(IF(P24="按比例",R14*Q24,SUM(R21:R23)),0)</f>
        <v>0</v>
      </c>
      <c r="S24" s="1931"/>
      <c r="T24" s="1931"/>
      <c r="U24" s="1931"/>
      <c r="V24" s="1883"/>
    </row>
    <row r="25" s="1764" customFormat="1" customHeight="1" spans="1:22">
      <c r="A25" s="1848"/>
      <c r="B25" s="1849"/>
      <c r="C25" s="1850"/>
      <c r="D25" s="1851"/>
      <c r="E25" s="1852"/>
      <c r="F25" s="1853"/>
      <c r="G25" s="1840"/>
      <c r="H25" s="1781"/>
      <c r="I25" s="1883"/>
      <c r="J25" s="1894">
        <v>4</v>
      </c>
      <c r="K25" s="1908" t="s">
        <v>1741</v>
      </c>
      <c r="L25" s="1909"/>
      <c r="M25" s="1909"/>
      <c r="N25" s="1909"/>
      <c r="O25" s="1909"/>
      <c r="P25" s="1910"/>
      <c r="Q25" s="1943">
        <v>0</v>
      </c>
      <c r="R25" s="1941">
        <f>ROUND(R14*Q25,0)</f>
        <v>0</v>
      </c>
      <c r="S25" s="1931"/>
      <c r="T25" s="1931"/>
      <c r="U25" s="1931"/>
      <c r="V25" s="1917"/>
    </row>
    <row r="26" s="1764" customFormat="1" customHeight="1" spans="1:22">
      <c r="A26" s="1841">
        <v>2</v>
      </c>
      <c r="B26" s="1842" t="s">
        <v>1742</v>
      </c>
      <c r="C26" s="1843">
        <f>D7</f>
        <v>0</v>
      </c>
      <c r="D26" s="1844">
        <f>D23*D27</f>
        <v>0</v>
      </c>
      <c r="E26" s="1845">
        <f>E23*E27</f>
        <v>0</v>
      </c>
      <c r="F26" s="1846"/>
      <c r="G26" s="1847"/>
      <c r="H26" s="1781"/>
      <c r="I26" s="1883"/>
      <c r="J26" s="1911">
        <v>5</v>
      </c>
      <c r="K26" s="1912" t="s">
        <v>1743</v>
      </c>
      <c r="L26" s="1913"/>
      <c r="M26" s="1914"/>
      <c r="N26" s="1915" t="s">
        <v>461</v>
      </c>
      <c r="O26" s="1915" t="s">
        <v>1744</v>
      </c>
      <c r="P26" s="1916" t="s">
        <v>1745</v>
      </c>
      <c r="Q26" s="1916" t="s">
        <v>1746</v>
      </c>
      <c r="R26" s="1935" t="s">
        <v>1675</v>
      </c>
      <c r="S26" s="1944"/>
      <c r="T26" s="1944"/>
      <c r="U26" s="1944"/>
      <c r="V26" s="1917"/>
    </row>
    <row r="27" s="1763" customFormat="1" customHeight="1" spans="1:22">
      <c r="A27" s="1848"/>
      <c r="B27" s="1849" t="s">
        <v>1747</v>
      </c>
      <c r="C27" s="1854" t="e">
        <f>E7</f>
        <v>#DIV/0!</v>
      </c>
      <c r="D27" s="1851"/>
      <c r="E27" s="1852"/>
      <c r="F27" s="1853"/>
      <c r="G27" s="1847"/>
      <c r="H27" s="1855"/>
      <c r="I27" s="1917"/>
      <c r="J27" s="1918"/>
      <c r="K27" s="1919"/>
      <c r="L27" s="1920"/>
      <c r="M27" s="1921"/>
      <c r="N27" s="1922"/>
      <c r="O27" s="1922"/>
      <c r="P27" s="1922"/>
      <c r="Q27" s="1945"/>
      <c r="R27" s="1941">
        <f>ROUND(O27*N27*P27*(1-Q27)/10000,0)</f>
        <v>0</v>
      </c>
      <c r="S27" s="1931"/>
      <c r="T27" s="1931"/>
      <c r="U27" s="1931"/>
      <c r="V27" s="1883"/>
    </row>
    <row r="28" s="1764" customFormat="1" customHeight="1" spans="1:22">
      <c r="A28" s="1848"/>
      <c r="B28" s="1849"/>
      <c r="C28" s="1854"/>
      <c r="D28" s="1851"/>
      <c r="E28" s="1852" t="s">
        <v>1748</v>
      </c>
      <c r="F28" s="1853"/>
      <c r="G28" s="1840"/>
      <c r="H28" s="1855"/>
      <c r="I28" s="1917"/>
      <c r="J28" s="1923">
        <v>6</v>
      </c>
      <c r="K28" s="1924" t="s">
        <v>1749</v>
      </c>
      <c r="L28" s="1925" t="s">
        <v>1750</v>
      </c>
      <c r="M28" s="1926"/>
      <c r="N28" s="1925" t="s">
        <v>1751</v>
      </c>
      <c r="O28" s="1927"/>
      <c r="P28" s="1925" t="s">
        <v>1752</v>
      </c>
      <c r="Q28" s="1946">
        <v>0.015</v>
      </c>
      <c r="R28" s="1947"/>
      <c r="S28" s="1928"/>
      <c r="T28" s="1928"/>
      <c r="U28" s="1928"/>
      <c r="V28" s="1917"/>
    </row>
    <row r="29" s="1764" customFormat="1" customHeight="1" spans="1:22">
      <c r="A29" s="1841">
        <v>3</v>
      </c>
      <c r="B29" s="1842" t="s">
        <v>1753</v>
      </c>
      <c r="C29" s="1843">
        <f>C23*C30</f>
        <v>0</v>
      </c>
      <c r="D29" s="1844">
        <f>D23*C30</f>
        <v>0</v>
      </c>
      <c r="E29" s="1845">
        <f>E23*C30</f>
        <v>0</v>
      </c>
      <c r="F29" s="1846"/>
      <c r="G29" s="1847"/>
      <c r="H29" s="1781"/>
      <c r="I29" s="1883"/>
      <c r="J29" s="1928"/>
      <c r="K29" s="1928"/>
      <c r="L29" s="1928"/>
      <c r="M29" s="1928"/>
      <c r="N29" s="1928"/>
      <c r="O29" s="1928"/>
      <c r="P29" s="1928"/>
      <c r="Q29" s="1928"/>
      <c r="R29" s="1928"/>
      <c r="S29" s="1928"/>
      <c r="T29" s="1928"/>
      <c r="U29" s="1928"/>
      <c r="V29" s="1917"/>
    </row>
    <row r="30" s="1763" customFormat="1" customHeight="1" spans="1:22">
      <c r="A30" s="1848"/>
      <c r="B30" s="1849" t="s">
        <v>1747</v>
      </c>
      <c r="C30" s="1854">
        <f>E18</f>
        <v>0</v>
      </c>
      <c r="D30" s="1856"/>
      <c r="E30" s="1821"/>
      <c r="F30" s="1853"/>
      <c r="G30" s="1847"/>
      <c r="H30" s="1855"/>
      <c r="I30" s="1917"/>
      <c r="J30" s="1928"/>
      <c r="K30" s="1928"/>
      <c r="L30" s="1928"/>
      <c r="M30" s="1928"/>
      <c r="N30" s="1928"/>
      <c r="O30" s="1928"/>
      <c r="P30" s="1928"/>
      <c r="Q30" s="1928"/>
      <c r="R30" s="1928"/>
      <c r="S30" s="1928"/>
      <c r="T30" s="1928"/>
      <c r="U30" s="1931"/>
      <c r="V30" s="1883"/>
    </row>
    <row r="31" s="1764" customFormat="1" customHeight="1" spans="1:22">
      <c r="A31" s="1848"/>
      <c r="B31" s="1849"/>
      <c r="C31" s="1857"/>
      <c r="D31" s="1856"/>
      <c r="E31" s="1821"/>
      <c r="F31" s="1853"/>
      <c r="G31" s="1840"/>
      <c r="H31" s="1855"/>
      <c r="I31" s="1917"/>
      <c r="J31" s="1881" t="s">
        <v>1754</v>
      </c>
      <c r="K31" s="1882"/>
      <c r="L31" s="1882"/>
      <c r="M31" s="1882"/>
      <c r="N31" s="1882"/>
      <c r="O31" s="1882"/>
      <c r="P31" s="1882"/>
      <c r="Q31" s="1882"/>
      <c r="R31" s="1930"/>
      <c r="S31" s="1928"/>
      <c r="T31" s="1931"/>
      <c r="U31" s="1931"/>
      <c r="V31" s="1917"/>
    </row>
    <row r="32" s="1764" customFormat="1" customHeight="1" spans="1:22">
      <c r="A32" s="1841">
        <v>4</v>
      </c>
      <c r="B32" s="1842" t="s">
        <v>1755</v>
      </c>
      <c r="C32" s="1843">
        <f>C23-C26-C29</f>
        <v>0</v>
      </c>
      <c r="D32" s="1844">
        <f>D23-D26-D29</f>
        <v>0</v>
      </c>
      <c r="E32" s="1845">
        <f>E23-E26-E29</f>
        <v>0</v>
      </c>
      <c r="F32" s="1846"/>
      <c r="G32" s="1840"/>
      <c r="H32" s="1781"/>
      <c r="I32" s="1883"/>
      <c r="J32" s="1884" t="s">
        <v>1655</v>
      </c>
      <c r="K32" s="1885"/>
      <c r="L32" s="1886" t="s">
        <v>1656</v>
      </c>
      <c r="M32" s="1886" t="s">
        <v>1657</v>
      </c>
      <c r="N32" s="1886" t="s">
        <v>1658</v>
      </c>
      <c r="O32" s="1886" t="s">
        <v>1659</v>
      </c>
      <c r="P32" s="1886" t="s">
        <v>1660</v>
      </c>
      <c r="Q32" s="1932" t="s">
        <v>1661</v>
      </c>
      <c r="R32" s="1948" t="s">
        <v>1662</v>
      </c>
      <c r="S32" s="1928"/>
      <c r="T32" s="1931"/>
      <c r="U32" s="1931"/>
      <c r="V32" s="1917"/>
    </row>
    <row r="33" s="1763" customFormat="1" customHeight="1" spans="1:22">
      <c r="A33" s="1841"/>
      <c r="B33" s="1842"/>
      <c r="C33" s="1843"/>
      <c r="D33" s="1858"/>
      <c r="E33" s="1816"/>
      <c r="F33" s="1846"/>
      <c r="G33" s="1840"/>
      <c r="H33" s="1855"/>
      <c r="I33" s="1917"/>
      <c r="J33" s="1887" t="s">
        <v>1663</v>
      </c>
      <c r="K33" s="1888"/>
      <c r="L33" s="1889"/>
      <c r="M33" s="1889"/>
      <c r="N33" s="1889"/>
      <c r="O33" s="1889"/>
      <c r="P33" s="1889"/>
      <c r="Q33" s="1934"/>
      <c r="R33" s="1949">
        <f>SUM(L33:Q33)</f>
        <v>0</v>
      </c>
      <c r="S33" s="1928"/>
      <c r="T33" s="1931"/>
      <c r="U33" s="1931"/>
      <c r="V33" s="1883"/>
    </row>
    <row r="34" s="1763" customFormat="1" customHeight="1" spans="1:22">
      <c r="A34" s="1841">
        <v>5</v>
      </c>
      <c r="B34" s="1842" t="s">
        <v>1756</v>
      </c>
      <c r="C34" s="1859"/>
      <c r="D34" s="1860"/>
      <c r="E34" s="1861"/>
      <c r="F34" s="1846"/>
      <c r="G34" s="1840"/>
      <c r="H34" s="1855"/>
      <c r="I34" s="1917"/>
      <c r="J34" s="1887" t="s">
        <v>1664</v>
      </c>
      <c r="K34" s="1888"/>
      <c r="L34" s="1890"/>
      <c r="M34" s="1890"/>
      <c r="N34" s="1890"/>
      <c r="O34" s="1890"/>
      <c r="P34" s="1890"/>
      <c r="Q34" s="1936"/>
      <c r="R34" s="1950">
        <f>SUM(L34:Q34)</f>
        <v>0</v>
      </c>
      <c r="S34" s="1928"/>
      <c r="T34" s="1931"/>
      <c r="U34" s="1931" t="e">
        <f>ROUND(R35*10000/365/R33,1)</f>
        <v>#DIV/0!</v>
      </c>
      <c r="V34" s="1883"/>
    </row>
    <row r="35" s="1763" customFormat="1" customHeight="1" spans="1:22">
      <c r="A35" s="1841">
        <v>6</v>
      </c>
      <c r="B35" s="1842" t="s">
        <v>1757</v>
      </c>
      <c r="C35" s="1862"/>
      <c r="D35" s="1863"/>
      <c r="E35" s="1864"/>
      <c r="F35" s="1846"/>
      <c r="G35" s="1865"/>
      <c r="H35" s="1781"/>
      <c r="I35" s="1917"/>
      <c r="J35" s="1891" t="s">
        <v>1665</v>
      </c>
      <c r="K35" s="1892"/>
      <c r="L35" s="1892"/>
      <c r="M35" s="1893"/>
      <c r="N35" s="1893"/>
      <c r="O35" s="1893"/>
      <c r="P35" s="1893"/>
      <c r="Q35" s="1893"/>
      <c r="R35" s="1951">
        <f>R40+R41+R43</f>
        <v>0</v>
      </c>
      <c r="S35" s="1928"/>
      <c r="T35" s="1931" t="s">
        <v>1666</v>
      </c>
      <c r="U35" s="1931"/>
      <c r="V35" s="1883"/>
    </row>
    <row r="36" s="1763" customFormat="1" customHeight="1" spans="1:22">
      <c r="A36" s="1841">
        <v>7</v>
      </c>
      <c r="B36" s="1866" t="s">
        <v>1758</v>
      </c>
      <c r="C36" s="1867"/>
      <c r="D36" s="1868"/>
      <c r="E36" s="1869"/>
      <c r="F36" s="1870">
        <f>C36+D36+E36</f>
        <v>0</v>
      </c>
      <c r="G36" s="1840"/>
      <c r="H36" s="1781"/>
      <c r="I36" s="1883"/>
      <c r="J36" s="1894">
        <v>1</v>
      </c>
      <c r="K36" s="1895" t="s">
        <v>1759</v>
      </c>
      <c r="L36" s="1896"/>
      <c r="M36" s="1897"/>
      <c r="N36" s="1897"/>
      <c r="O36" s="1897"/>
      <c r="P36" s="1897"/>
      <c r="Q36" s="1897"/>
      <c r="R36" s="1935" t="s">
        <v>1675</v>
      </c>
      <c r="S36" s="1928"/>
      <c r="T36" s="1931" t="s">
        <v>1676</v>
      </c>
      <c r="U36" s="1931"/>
      <c r="V36" s="1883"/>
    </row>
    <row r="37" s="1763" customFormat="1" customHeight="1" spans="1:22">
      <c r="A37" s="1841"/>
      <c r="B37" s="1842"/>
      <c r="C37" s="1842"/>
      <c r="D37" s="1842"/>
      <c r="E37" s="1842"/>
      <c r="F37" s="1846"/>
      <c r="G37" s="1840"/>
      <c r="H37" s="1781"/>
      <c r="I37" s="1883"/>
      <c r="J37" s="1894"/>
      <c r="K37" s="1898"/>
      <c r="L37" s="1899"/>
      <c r="M37" s="1900"/>
      <c r="N37" s="1786"/>
      <c r="O37" s="1901"/>
      <c r="P37" s="1901"/>
      <c r="Q37" s="1822"/>
      <c r="R37" s="1938"/>
      <c r="S37" s="1928"/>
      <c r="T37" s="1931" t="s">
        <v>1679</v>
      </c>
      <c r="U37" s="1931"/>
      <c r="V37" s="1883"/>
    </row>
    <row r="38" s="1763" customFormat="1" customHeight="1" spans="1:22">
      <c r="A38" s="1841">
        <v>8</v>
      </c>
      <c r="B38" s="1842"/>
      <c r="C38" s="1807" t="e">
        <f>ROUND(C32*(1-((1+C35)/(1+C34))^C36)/(C34-C35),0)</f>
        <v>#DIV/0!</v>
      </c>
      <c r="D38" s="1807">
        <f>IF(D23=0,0,ROUND(D32*(1-((1+D35)/(1+D34))^D36)/(D34-D35),0))</f>
        <v>0</v>
      </c>
      <c r="E38" s="1807">
        <f>IF(E23=0,0,ROUND(E32*(1-((1+E35)/(1+E34))^E36)/(E34-E35),0))</f>
        <v>0</v>
      </c>
      <c r="F38" s="1846"/>
      <c r="G38" s="1840"/>
      <c r="H38" s="1781"/>
      <c r="I38" s="1883"/>
      <c r="J38" s="1894"/>
      <c r="K38" s="1898"/>
      <c r="L38" s="1899"/>
      <c r="M38" s="1900"/>
      <c r="N38" s="1786"/>
      <c r="O38" s="1901"/>
      <c r="P38" s="1901"/>
      <c r="Q38" s="1822"/>
      <c r="R38" s="1938"/>
      <c r="S38" s="1928"/>
      <c r="T38" s="1931" t="s">
        <v>1686</v>
      </c>
      <c r="U38" s="1931"/>
      <c r="V38" s="1883"/>
    </row>
    <row r="39" s="1763" customFormat="1" customHeight="1" spans="1:22">
      <c r="A39" s="1841">
        <v>9</v>
      </c>
      <c r="B39" s="1842" t="s">
        <v>1760</v>
      </c>
      <c r="C39" s="1817" t="e">
        <f>C38</f>
        <v>#DIV/0!</v>
      </c>
      <c r="D39" s="1842">
        <f>D38/(1+D34)^C36</f>
        <v>0</v>
      </c>
      <c r="E39" s="1842">
        <f>E38/(1+E34)^(C36+D36)</f>
        <v>0</v>
      </c>
      <c r="F39" s="1846"/>
      <c r="G39" s="1871"/>
      <c r="H39" s="1781"/>
      <c r="I39" s="1883"/>
      <c r="J39" s="1894"/>
      <c r="K39" s="1898"/>
      <c r="L39" s="1899"/>
      <c r="M39" s="1900"/>
      <c r="N39" s="1786"/>
      <c r="O39" s="1901"/>
      <c r="P39" s="1901"/>
      <c r="Q39" s="1822"/>
      <c r="R39" s="1938"/>
      <c r="S39" s="1928"/>
      <c r="T39" s="1931"/>
      <c r="U39" s="1931"/>
      <c r="V39" s="1883"/>
    </row>
    <row r="40" s="1763" customFormat="1" customHeight="1" spans="1:22">
      <c r="A40" s="1872">
        <v>10</v>
      </c>
      <c r="B40" s="1842" t="s">
        <v>1761</v>
      </c>
      <c r="C40" s="1873" t="e">
        <f>C39+D39+E39</f>
        <v>#DIV/0!</v>
      </c>
      <c r="D40" s="1874"/>
      <c r="E40" s="1874"/>
      <c r="F40" s="1875"/>
      <c r="G40" s="1840"/>
      <c r="H40" s="1781"/>
      <c r="I40" s="1883"/>
      <c r="J40" s="1894"/>
      <c r="K40" s="1902"/>
      <c r="L40" s="1903" t="s">
        <v>1704</v>
      </c>
      <c r="M40" s="1904"/>
      <c r="N40" s="1904"/>
      <c r="O40" s="1905"/>
      <c r="P40" s="1905"/>
      <c r="Q40" s="1939"/>
      <c r="R40" s="1933">
        <f>SUM(R37:R39)</f>
        <v>0</v>
      </c>
      <c r="S40" s="1928"/>
      <c r="T40" s="1931"/>
      <c r="U40" s="1931"/>
      <c r="V40" s="1883"/>
    </row>
    <row r="41" s="1763" customFormat="1" customHeight="1" spans="1:22">
      <c r="A41" s="1876">
        <v>11</v>
      </c>
      <c r="B41" s="1877" t="s">
        <v>1762</v>
      </c>
      <c r="C41" s="1877" t="e">
        <f>ROUND(C40*10000/B4,0)</f>
        <v>#DIV/0!</v>
      </c>
      <c r="D41" s="1878"/>
      <c r="E41" s="1878"/>
      <c r="F41" s="1879"/>
      <c r="G41" s="1880"/>
      <c r="H41" s="1781"/>
      <c r="I41" s="1883"/>
      <c r="J41" s="1894">
        <v>2</v>
      </c>
      <c r="K41" s="1908" t="s">
        <v>1741</v>
      </c>
      <c r="L41" s="1909"/>
      <c r="M41" s="1909"/>
      <c r="N41" s="1909"/>
      <c r="O41" s="1909"/>
      <c r="P41" s="1910"/>
      <c r="Q41" s="1943"/>
      <c r="R41" s="1941">
        <f>ROUND(R40*Q41,0)</f>
        <v>0</v>
      </c>
      <c r="S41" s="1928"/>
      <c r="T41" s="1931"/>
      <c r="U41" s="1944"/>
      <c r="V41" s="1883"/>
    </row>
    <row r="42" s="1763" customFormat="1" customHeight="1" spans="7:22">
      <c r="G42" s="1880"/>
      <c r="H42" s="1781"/>
      <c r="I42" s="1883"/>
      <c r="J42" s="1911">
        <v>3</v>
      </c>
      <c r="K42" s="1912" t="s">
        <v>1743</v>
      </c>
      <c r="L42" s="1913"/>
      <c r="M42" s="1914"/>
      <c r="N42" s="1915" t="s">
        <v>461</v>
      </c>
      <c r="O42" s="1915" t="s">
        <v>1744</v>
      </c>
      <c r="P42" s="1916" t="s">
        <v>1745</v>
      </c>
      <c r="Q42" s="1916" t="s">
        <v>1746</v>
      </c>
      <c r="R42" s="1935" t="s">
        <v>1675</v>
      </c>
      <c r="S42" s="1944"/>
      <c r="T42" s="1944"/>
      <c r="U42" s="1931"/>
      <c r="V42" s="1883"/>
    </row>
    <row r="43" customHeight="1" spans="1:23">
      <c r="A43" s="1763"/>
      <c r="B43" s="1763"/>
      <c r="C43" s="1763"/>
      <c r="D43" s="1763"/>
      <c r="E43" s="1763"/>
      <c r="F43" s="1763"/>
      <c r="I43" s="1767"/>
      <c r="J43" s="1918"/>
      <c r="K43" s="1919"/>
      <c r="L43" s="1920"/>
      <c r="M43" s="1921"/>
      <c r="N43" s="1900"/>
      <c r="O43" s="1900"/>
      <c r="P43" s="1900"/>
      <c r="Q43" s="1943"/>
      <c r="R43" s="1941">
        <f>ROUND(O43*N43*P43*(1-Q43)/10000,0)</f>
        <v>0</v>
      </c>
      <c r="S43" s="1928"/>
      <c r="T43" s="1931"/>
      <c r="V43" s="1769"/>
      <c r="W43" s="1952"/>
    </row>
    <row r="44" customHeight="1" spans="10:18">
      <c r="J44" s="1923">
        <v>6</v>
      </c>
      <c r="K44" s="1924" t="s">
        <v>1749</v>
      </c>
      <c r="L44" s="1929" t="s">
        <v>1750</v>
      </c>
      <c r="M44" s="1926"/>
      <c r="N44" s="1929" t="s">
        <v>1751</v>
      </c>
      <c r="O44" s="1926"/>
      <c r="P44" s="1929" t="s">
        <v>1752</v>
      </c>
      <c r="Q44" s="1946">
        <v>0.015</v>
      </c>
      <c r="R44" s="1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37.5" spans="1:1">
      <c r="A4" s="3703" t="str">
        <f>"受贵公司委托，我公司对"&amp;项目基本情况!S1&amp;"进行了预评估。"</f>
        <v>受贵公司委托，我公司对北京市东城区（原崇文区）光明西街3号、甲3号3号楼房地产抵押价值进行了预评估。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2024年4月12日（评估专业人员实地查勘之日）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3" t="str">
        <f>IF(项目基本情况!B9="房地产市场价值","——",IF(项目基本情况!E9="——","",定义!C57))</f>
        <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1764</v>
      </c>
      <c r="C1" s="1198" t="s">
        <v>1765</v>
      </c>
      <c r="D1" s="1141"/>
      <c r="E1" s="1660"/>
      <c r="F1" s="1143"/>
      <c r="G1" s="1144" t="s">
        <v>1766</v>
      </c>
      <c r="H1" s="1145"/>
      <c r="I1" s="1145"/>
      <c r="J1" s="1145"/>
      <c r="K1" s="1196"/>
      <c r="L1" s="1197"/>
      <c r="M1" s="1198"/>
      <c r="N1" s="1198"/>
      <c r="O1" s="1198"/>
      <c r="P1" s="1692"/>
      <c r="Q1" s="1140"/>
      <c r="R1" s="1140"/>
      <c r="S1" s="1140"/>
      <c r="T1" s="1140"/>
      <c r="U1" s="1140"/>
      <c r="V1" s="1140"/>
      <c r="W1" s="1140"/>
      <c r="X1" s="1140"/>
      <c r="Y1" s="1140"/>
      <c r="Z1" s="1140"/>
      <c r="AA1" s="1140"/>
      <c r="AB1" s="1140"/>
      <c r="AC1" s="1205"/>
    </row>
    <row r="2" s="1682" customFormat="1" ht="28.5" customHeight="1" spans="1:29">
      <c r="A2" s="1146" t="s">
        <v>1069</v>
      </c>
      <c r="B2" s="1683"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1099"/>
      <c r="H2" s="1099"/>
      <c r="I2" s="1099"/>
      <c r="J2" s="1099"/>
      <c r="K2" s="1693"/>
      <c r="L2" s="1694"/>
      <c r="M2" s="1695"/>
      <c r="N2" s="1695"/>
      <c r="O2" s="1695"/>
      <c r="P2" s="1696"/>
      <c r="Q2" s="1714"/>
      <c r="R2" s="1714"/>
      <c r="S2" s="1714"/>
      <c r="T2" s="1714"/>
      <c r="U2" s="1714"/>
      <c r="V2" s="1714"/>
      <c r="W2" s="1714"/>
      <c r="X2" s="1714"/>
      <c r="Y2" s="1714"/>
      <c r="Z2" s="1714"/>
      <c r="AA2" s="1714"/>
      <c r="AB2" s="1714"/>
      <c r="AC2" s="1715"/>
    </row>
    <row r="3" s="1682" customFormat="1" ht="28.5" customHeight="1" spans="1:29">
      <c r="A3" s="396" t="s">
        <v>1071</v>
      </c>
      <c r="B3" s="1152">
        <f ca="1">IF(C2="——",C49,ROUND(B2*10000/D3,0))</f>
        <v>0</v>
      </c>
      <c r="C3" s="1151" t="s">
        <v>1414</v>
      </c>
      <c r="D3" s="1152">
        <f>IF(D1="",'数据-汇总表'!E3,SUMIF('数据-汇总表'!$C19:$C33,D1,'数据-汇总表'!$E19:$E33))</f>
        <v>695.5</v>
      </c>
      <c r="E3" s="1099"/>
      <c r="F3" s="1684"/>
      <c r="G3" s="1099"/>
      <c r="H3" s="1099"/>
      <c r="I3" s="1099"/>
      <c r="J3" s="1099"/>
      <c r="K3" s="1693"/>
      <c r="L3" s="1694"/>
      <c r="M3" s="1695"/>
      <c r="N3" s="1695"/>
      <c r="O3" s="1695"/>
      <c r="P3" s="1696"/>
      <c r="Q3" s="1714"/>
      <c r="R3" s="1714"/>
      <c r="S3" s="1714"/>
      <c r="T3" s="1714"/>
      <c r="U3" s="1714"/>
      <c r="V3" s="1714"/>
      <c r="W3" s="1714"/>
      <c r="X3" s="1714"/>
      <c r="Y3" s="1714"/>
      <c r="Z3" s="1714"/>
      <c r="AA3" s="1714"/>
      <c r="AB3" s="1714"/>
      <c r="AC3" s="1716"/>
    </row>
    <row r="4" ht="15" spans="1:29">
      <c r="A4" s="730" t="s">
        <v>1767</v>
      </c>
      <c r="B4" s="731"/>
      <c r="C4" s="732" t="s">
        <v>1768</v>
      </c>
      <c r="D4" s="733"/>
      <c r="E4" s="734" t="s">
        <v>1769</v>
      </c>
      <c r="F4" s="735"/>
      <c r="G4" s="732" t="s">
        <v>1770</v>
      </c>
      <c r="H4" s="733"/>
      <c r="I4" s="732" t="s">
        <v>1771</v>
      </c>
      <c r="J4" s="733"/>
      <c r="K4" s="1697" t="s">
        <v>1772</v>
      </c>
      <c r="L4" s="896"/>
      <c r="M4" s="897"/>
      <c r="N4" s="897"/>
      <c r="O4" s="897"/>
      <c r="P4" s="898" t="s">
        <v>1773</v>
      </c>
      <c r="Q4" s="948"/>
      <c r="R4" s="949" t="s">
        <v>1769</v>
      </c>
      <c r="S4" s="950"/>
      <c r="T4" s="949" t="s">
        <v>1770</v>
      </c>
      <c r="U4" s="950"/>
      <c r="V4" s="937" t="s">
        <v>1771</v>
      </c>
      <c r="W4" s="937"/>
      <c r="X4" s="951"/>
      <c r="Y4" s="949" t="s">
        <v>1773</v>
      </c>
      <c r="Z4" s="950"/>
      <c r="AA4" s="976" t="s">
        <v>1769</v>
      </c>
      <c r="AB4" s="976" t="s">
        <v>1770</v>
      </c>
      <c r="AC4" s="976" t="s">
        <v>1771</v>
      </c>
    </row>
    <row r="5" ht="15" spans="1:29">
      <c r="A5" s="736"/>
      <c r="B5" s="737"/>
      <c r="C5" s="738" t="s">
        <v>1774</v>
      </c>
      <c r="D5" s="739"/>
      <c r="E5" s="740" t="s">
        <v>1775</v>
      </c>
      <c r="F5" s="741"/>
      <c r="G5" s="738" t="s">
        <v>1776</v>
      </c>
      <c r="H5" s="739"/>
      <c r="I5" s="738" t="s">
        <v>1777</v>
      </c>
      <c r="J5" s="739"/>
      <c r="K5" s="1698"/>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1698"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1699"/>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1685"/>
      <c r="F8" s="753">
        <f>SUMIF(61:61,E8,62:62)-SUMIF(61:61,C8,62:62)+100</f>
        <v>100</v>
      </c>
      <c r="G8" s="755"/>
      <c r="H8" s="751">
        <f>SUMIF(61:61,G8,62:62)-SUMIF(61:61,C8,62:62)+100</f>
        <v>100</v>
      </c>
      <c r="I8" s="1685"/>
      <c r="J8" s="751">
        <f>SUMIF(61:61,I8,62:62)-SUMIF(61:61,C8,62:62)+100</f>
        <v>100</v>
      </c>
      <c r="K8" s="1699"/>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19" si="3">D8/F8</f>
        <v>1</v>
      </c>
      <c r="AB8" s="978">
        <f t="shared" ref="AB8:AB19" si="4">D8/H8</f>
        <v>1</v>
      </c>
      <c r="AC8" s="978">
        <f t="shared" ref="AC8:AC19" si="5">D8/J8</f>
        <v>1</v>
      </c>
    </row>
    <row r="9" s="711" customFormat="1" spans="1:29">
      <c r="A9" s="756" t="s">
        <v>1785</v>
      </c>
      <c r="B9" s="757" t="s">
        <v>1786</v>
      </c>
      <c r="C9" s="1153"/>
      <c r="D9" s="759">
        <v>100</v>
      </c>
      <c r="E9" s="1223"/>
      <c r="F9" s="1155">
        <f>SUMIF(63:63,E9,64:64)-SUMIF(63:63,C9,64:64)+100</f>
        <v>100</v>
      </c>
      <c r="G9" s="1154"/>
      <c r="H9" s="759">
        <f>SUMIF(63:63,G9,64:64)-SUMIF(63:63,C9,64:64)+100</f>
        <v>100</v>
      </c>
      <c r="I9" s="1154"/>
      <c r="J9" s="759">
        <f>SUMIF(63:63,I9,64:64)-SUMIF(63:63,C9,64:64)+100</f>
        <v>100</v>
      </c>
      <c r="K9" s="1699"/>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1699"/>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1700"/>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01"/>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01"/>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01"/>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81" spans="1:29">
      <c r="A15" s="778" t="s">
        <v>1791</v>
      </c>
      <c r="B15" s="1106" t="s">
        <v>1792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2"/>
      <c r="L15" s="913"/>
      <c r="M15" s="897"/>
      <c r="N15" s="897"/>
      <c r="O15" s="897"/>
      <c r="P15" s="1341"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3"/>
      <c r="L16" s="913"/>
      <c r="M16" s="897"/>
      <c r="N16" s="897"/>
      <c r="O16" s="897"/>
      <c r="P16" s="1342"/>
      <c r="Q16" s="863"/>
      <c r="R16" s="964"/>
      <c r="S16" s="965"/>
      <c r="T16" s="964"/>
      <c r="U16" s="965"/>
      <c r="V16" s="964"/>
      <c r="W16" s="965"/>
      <c r="X16" s="951"/>
      <c r="Y16" s="916"/>
      <c r="Z16" s="937"/>
      <c r="AA16" s="980">
        <v>1</v>
      </c>
      <c r="AB16" s="980">
        <v>1</v>
      </c>
      <c r="AC16" s="980">
        <v>1</v>
      </c>
    </row>
    <row r="17" ht="67.5" spans="1:29">
      <c r="A17" s="764"/>
      <c r="B17" s="1109" t="s">
        <v>1794</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2"/>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3"/>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2"/>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3"/>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2"/>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4"/>
      <c r="L22" s="913"/>
      <c r="M22" s="897"/>
      <c r="N22" s="897"/>
      <c r="O22" s="897"/>
      <c r="P22" s="1342"/>
      <c r="Q22" s="863"/>
      <c r="R22" s="964"/>
      <c r="S22" s="965"/>
      <c r="T22" s="964"/>
      <c r="U22" s="965"/>
      <c r="V22" s="964"/>
      <c r="W22" s="965"/>
      <c r="X22" s="951"/>
      <c r="Y22" s="916"/>
      <c r="Z22" s="937"/>
      <c r="AA22" s="980">
        <v>1</v>
      </c>
      <c r="AB22" s="980">
        <v>1</v>
      </c>
      <c r="AC22" s="980">
        <v>1</v>
      </c>
    </row>
    <row r="23" ht="40.5" spans="1:29">
      <c r="A23" s="764"/>
      <c r="B23" s="1109" t="s">
        <v>1797</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2"/>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3"/>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1798</v>
      </c>
      <c r="C25" s="1174"/>
      <c r="D25" s="773">
        <v>100</v>
      </c>
      <c r="E25" s="816"/>
      <c r="F25" s="773">
        <f>SUMIF(86:86,E25,87:87)-SUMIF(86:86,C25,87:87)+100</f>
        <v>100</v>
      </c>
      <c r="G25" s="1686"/>
      <c r="H25" s="773">
        <f>SUMIF(86:86,G25,87:87)-SUMIF(86:86,C25,87:87)+100</f>
        <v>100</v>
      </c>
      <c r="I25" s="1686"/>
      <c r="J25" s="773">
        <f>SUMIF(86:86,I25,87:87)-SUMIF(86:86,C25,87:87)+100</f>
        <v>100</v>
      </c>
      <c r="K25" s="1700"/>
      <c r="L25" s="913"/>
      <c r="M25" s="897"/>
      <c r="N25" s="897"/>
      <c r="O25" s="897"/>
      <c r="P25" s="1342"/>
      <c r="Q25" s="863" t="str">
        <f t="shared" ref="Q25:Q46" si="11">B25</f>
        <v>楼层-1</v>
      </c>
      <c r="R25" s="964" t="s">
        <v>1782</v>
      </c>
      <c r="S25" s="965">
        <f t="shared" ref="S25:S46" si="12">F25</f>
        <v>100</v>
      </c>
      <c r="T25" s="964" t="s">
        <v>1782</v>
      </c>
      <c r="U25" s="965">
        <f t="shared" ref="U25:U46" si="13">H25</f>
        <v>100</v>
      </c>
      <c r="V25" s="964" t="s">
        <v>1782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1799</v>
      </c>
      <c r="C26" s="1174"/>
      <c r="D26" s="773">
        <v>100</v>
      </c>
      <c r="E26" s="816"/>
      <c r="F26" s="773">
        <f>SUMIF(88:88,E26,89:89)-SUMIF(88:88,C26,89:89)+100</f>
        <v>100</v>
      </c>
      <c r="G26" s="1686"/>
      <c r="H26" s="773">
        <f>SUMIF(88:88,G26,89:89)-SUMIF(88:88,C26,89:89)+100</f>
        <v>100</v>
      </c>
      <c r="I26" s="1686"/>
      <c r="J26" s="773">
        <f>SUMIF(88:88,I26,89:89)-SUMIF(88:88,C26,89:89)+100</f>
        <v>100</v>
      </c>
      <c r="K26" s="1700"/>
      <c r="L26" s="913"/>
      <c r="M26" s="897"/>
      <c r="N26" s="897"/>
      <c r="O26" s="897"/>
      <c r="P26" s="1342"/>
      <c r="Q26" s="863" t="str">
        <f t="shared" si="11"/>
        <v>朝向</v>
      </c>
      <c r="R26" s="964" t="s">
        <v>1782</v>
      </c>
      <c r="S26" s="965">
        <f t="shared" si="12"/>
        <v>100</v>
      </c>
      <c r="T26" s="964" t="s">
        <v>1782</v>
      </c>
      <c r="U26" s="965">
        <f t="shared" si="13"/>
        <v>100</v>
      </c>
      <c r="V26" s="964" t="s">
        <v>1782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01"/>
      <c r="L27" s="902"/>
      <c r="M27" s="903"/>
      <c r="N27" s="903"/>
      <c r="O27" s="903"/>
      <c r="P27" s="1342"/>
      <c r="Q27" s="963">
        <f t="shared" si="11"/>
        <v>111</v>
      </c>
      <c r="R27" s="959" t="s">
        <v>1782</v>
      </c>
      <c r="S27" s="960">
        <f t="shared" si="12"/>
        <v>100</v>
      </c>
      <c r="T27" s="959" t="s">
        <v>1782</v>
      </c>
      <c r="U27" s="960">
        <f t="shared" si="13"/>
        <v>100</v>
      </c>
      <c r="V27" s="959" t="s">
        <v>1782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701"/>
      <c r="L28" s="913"/>
      <c r="M28" s="897"/>
      <c r="N28" s="897"/>
      <c r="O28" s="897"/>
      <c r="P28" s="1342"/>
      <c r="Q28" s="863">
        <f t="shared" si="11"/>
        <v>111</v>
      </c>
      <c r="R28" s="964" t="s">
        <v>1782</v>
      </c>
      <c r="S28" s="965">
        <f t="shared" si="12"/>
        <v>100</v>
      </c>
      <c r="T28" s="964" t="s">
        <v>1782</v>
      </c>
      <c r="U28" s="965">
        <f t="shared" si="13"/>
        <v>100</v>
      </c>
      <c r="V28" s="964" t="s">
        <v>1782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701"/>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701"/>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701"/>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8"/>
        <v>111</v>
      </c>
      <c r="AA31" s="980">
        <f t="shared" si="15"/>
        <v>1</v>
      </c>
      <c r="AB31" s="980">
        <f t="shared" si="16"/>
        <v>1</v>
      </c>
      <c r="AC31" s="980">
        <f t="shared" si="17"/>
        <v>1</v>
      </c>
    </row>
    <row r="32" ht="15" spans="1:29">
      <c r="A32" s="778" t="s">
        <v>1800</v>
      </c>
      <c r="B32" s="757" t="s">
        <v>1801</v>
      </c>
      <c r="C32" s="1661"/>
      <c r="D32" s="814">
        <v>100</v>
      </c>
      <c r="E32" s="1687"/>
      <c r="F32" s="1164">
        <f>SUMIF(100:100,E32,101:101)-SUMIF(100:100,C32,101:101)+100</f>
        <v>100</v>
      </c>
      <c r="G32" s="1661"/>
      <c r="H32" s="814">
        <f>SUMIF(100:100,G32,101:101)-SUMIF(100:100,C32,101:101)+100</f>
        <v>100</v>
      </c>
      <c r="I32" s="1687"/>
      <c r="J32" s="773">
        <f>SUMIF(100:100,I32,101:101)-SUMIF(100:100,C32,101:101)+100</f>
        <v>100</v>
      </c>
      <c r="K32" s="1700"/>
      <c r="L32" s="913"/>
      <c r="M32" s="897"/>
      <c r="N32" s="897"/>
      <c r="O32" s="897"/>
      <c r="P32" s="1343" t="s">
        <v>1802</v>
      </c>
      <c r="Q32" s="863" t="str">
        <f t="shared" si="11"/>
        <v>建筑类型</v>
      </c>
      <c r="R32" s="964" t="s">
        <v>1782</v>
      </c>
      <c r="S32" s="965">
        <f t="shared" si="12"/>
        <v>100</v>
      </c>
      <c r="T32" s="964" t="s">
        <v>1782</v>
      </c>
      <c r="U32" s="965">
        <f t="shared" si="13"/>
        <v>100</v>
      </c>
      <c r="V32" s="964" t="s">
        <v>1782</v>
      </c>
      <c r="W32" s="965">
        <f t="shared" si="14"/>
        <v>100</v>
      </c>
      <c r="X32" s="951"/>
      <c r="Y32" s="925" t="s">
        <v>1802</v>
      </c>
      <c r="Z32" s="937" t="str">
        <f t="shared" si="18"/>
        <v>建筑类型</v>
      </c>
      <c r="AA32" s="980">
        <f t="shared" si="15"/>
        <v>1</v>
      </c>
      <c r="AB32" s="980">
        <f t="shared" si="16"/>
        <v>1</v>
      </c>
      <c r="AC32" s="980">
        <f t="shared" si="17"/>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01"/>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1804</v>
      </c>
      <c r="C34" s="1662"/>
      <c r="D34" s="773">
        <v>100</v>
      </c>
      <c r="E34" s="1688"/>
      <c r="F34" s="1164">
        <f>SUMIF(105:105,E34,106:106)-SUMIF(105:105,C34,106:106)+100</f>
        <v>100</v>
      </c>
      <c r="G34" s="1662"/>
      <c r="H34" s="773">
        <f>SUMIF(105:105,G34,106:106)-SUMIF(105:105,C34,106:106)+100</f>
        <v>100</v>
      </c>
      <c r="I34" s="1688"/>
      <c r="J34" s="773">
        <f>SUMIF(105:105,I34,106:106)-SUMIF(105:105,C34,106:106)+100</f>
        <v>100</v>
      </c>
      <c r="K34" s="1700"/>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8"/>
        <v>建筑结构</v>
      </c>
      <c r="AA34" s="980">
        <f t="shared" si="15"/>
        <v>1</v>
      </c>
      <c r="AB34" s="980">
        <f t="shared" si="16"/>
        <v>1</v>
      </c>
      <c r="AC34" s="980">
        <f t="shared" si="17"/>
        <v>1</v>
      </c>
    </row>
    <row r="35" ht="15" spans="1:29">
      <c r="A35" s="815"/>
      <c r="B35" s="761" t="s">
        <v>1805</v>
      </c>
      <c r="C35" s="816"/>
      <c r="D35" s="773">
        <v>100</v>
      </c>
      <c r="E35" s="1686"/>
      <c r="F35" s="1164">
        <f>SUMIF(107:107,E35,108:108)-SUMIF(107:107,C35,108:108)+100</f>
        <v>100</v>
      </c>
      <c r="G35" s="816"/>
      <c r="H35" s="773">
        <f>SUMIF(107:107,G35,108:108)-SUMIF(107:107,C35,108:108)+100</f>
        <v>100</v>
      </c>
      <c r="I35" s="1686"/>
      <c r="J35" s="773">
        <f>SUMIF(107:107,I35,108:108)-SUMIF(107:107,C35,108:108)+100</f>
        <v>100</v>
      </c>
      <c r="K35" s="1700"/>
      <c r="L35" s="913"/>
      <c r="M35" s="897"/>
      <c r="N35" s="897"/>
      <c r="O35" s="897"/>
      <c r="P35" s="1344"/>
      <c r="Q35" s="863" t="str">
        <f t="shared" si="11"/>
        <v>建筑品质</v>
      </c>
      <c r="R35" s="964" t="s">
        <v>1782</v>
      </c>
      <c r="S35" s="965">
        <f t="shared" si="12"/>
        <v>100</v>
      </c>
      <c r="T35" s="964" t="s">
        <v>1782</v>
      </c>
      <c r="U35" s="965">
        <f t="shared" si="13"/>
        <v>100</v>
      </c>
      <c r="V35" s="964" t="s">
        <v>1782</v>
      </c>
      <c r="W35" s="965">
        <f t="shared" si="14"/>
        <v>100</v>
      </c>
      <c r="X35" s="951"/>
      <c r="Y35" s="925"/>
      <c r="Z35" s="937" t="str">
        <f t="shared" si="18"/>
        <v>建筑品质</v>
      </c>
      <c r="AA35" s="980">
        <f t="shared" si="15"/>
        <v>1</v>
      </c>
      <c r="AB35" s="980">
        <f t="shared" si="16"/>
        <v>1</v>
      </c>
      <c r="AC35" s="980">
        <f t="shared" si="17"/>
        <v>1</v>
      </c>
    </row>
    <row r="36" ht="15" spans="1:29">
      <c r="A36" s="815"/>
      <c r="B36" s="761" t="s">
        <v>1806</v>
      </c>
      <c r="C36" s="816"/>
      <c r="D36" s="773">
        <v>100</v>
      </c>
      <c r="E36" s="1686"/>
      <c r="F36" s="1164">
        <f>SUMIF(109:109,E36,110:110)-SUMIF(109:109,C36,110:110)+100</f>
        <v>100</v>
      </c>
      <c r="G36" s="816"/>
      <c r="H36" s="773">
        <f>SUMIF(109:109,G36,110:110)-SUMIF(109:109,C36,110:110)+100</f>
        <v>100</v>
      </c>
      <c r="I36" s="1686"/>
      <c r="J36" s="773">
        <f>SUMIF(109:109,I36,110:110)-SUMIF(109:109,C36,110:110)+100</f>
        <v>100</v>
      </c>
      <c r="K36" s="1700"/>
      <c r="L36" s="913"/>
      <c r="M36" s="897"/>
      <c r="N36" s="897"/>
      <c r="O36" s="897"/>
      <c r="P36" s="1344"/>
      <c r="Q36" s="863" t="str">
        <f t="shared" si="11"/>
        <v>公共部分装修</v>
      </c>
      <c r="R36" s="964" t="s">
        <v>1782</v>
      </c>
      <c r="S36" s="965">
        <f t="shared" si="12"/>
        <v>100</v>
      </c>
      <c r="T36" s="964" t="s">
        <v>1782</v>
      </c>
      <c r="U36" s="965">
        <f t="shared" si="13"/>
        <v>100</v>
      </c>
      <c r="V36" s="964" t="s">
        <v>1782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00"/>
      <c r="L37" s="902"/>
      <c r="M37" s="903"/>
      <c r="N37" s="903"/>
      <c r="O37" s="903"/>
      <c r="P37" s="1344"/>
      <c r="Q37" s="963" t="str">
        <f t="shared" si="11"/>
        <v>成新度</v>
      </c>
      <c r="R37" s="959" t="s">
        <v>1782</v>
      </c>
      <c r="S37" s="960" t="e">
        <f t="shared" si="12"/>
        <v>#N/A</v>
      </c>
      <c r="T37" s="959" t="s">
        <v>1782</v>
      </c>
      <c r="U37" s="960" t="e">
        <f t="shared" si="13"/>
        <v>#N/A</v>
      </c>
      <c r="V37" s="959" t="s">
        <v>1782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1807</v>
      </c>
      <c r="C38" s="816"/>
      <c r="D38" s="773">
        <v>100</v>
      </c>
      <c r="E38" s="1686"/>
      <c r="F38" s="1164">
        <f>SUMIF(114:114,E38,115:115)-SUMIF(114:114,C38,115:115)+100</f>
        <v>100</v>
      </c>
      <c r="G38" s="816"/>
      <c r="H38" s="773">
        <f>SUMIF(114:114,G38,115:115)-SUMIF(114:114,C38,115:115)+100</f>
        <v>100</v>
      </c>
      <c r="I38" s="1686"/>
      <c r="J38" s="773">
        <f>SUMIF(114:114,I38,115:115)-SUMIF(114:114,C38,115:115)+100</f>
        <v>100</v>
      </c>
      <c r="K38" s="1700"/>
      <c r="L38" s="913"/>
      <c r="M38" s="897"/>
      <c r="N38" s="897"/>
      <c r="O38" s="897"/>
      <c r="P38" s="1344" t="s">
        <v>1802</v>
      </c>
      <c r="Q38" s="863" t="str">
        <f t="shared" si="11"/>
        <v>物业管理</v>
      </c>
      <c r="R38" s="964" t="s">
        <v>1782</v>
      </c>
      <c r="S38" s="965">
        <f t="shared" si="12"/>
        <v>100</v>
      </c>
      <c r="T38" s="964" t="s">
        <v>1782</v>
      </c>
      <c r="U38" s="965">
        <f t="shared" si="13"/>
        <v>100</v>
      </c>
      <c r="V38" s="964" t="s">
        <v>1782</v>
      </c>
      <c r="W38" s="965">
        <f t="shared" si="14"/>
        <v>100</v>
      </c>
      <c r="X38" s="951"/>
      <c r="Y38" s="925" t="s">
        <v>1802</v>
      </c>
      <c r="Z38" s="937" t="str">
        <f t="shared" si="18"/>
        <v>物业管理</v>
      </c>
      <c r="AA38" s="980">
        <f t="shared" si="15"/>
        <v>1</v>
      </c>
      <c r="AB38" s="980">
        <f t="shared" si="16"/>
        <v>1</v>
      </c>
      <c r="AC38" s="980">
        <f t="shared" si="17"/>
        <v>1</v>
      </c>
    </row>
    <row r="39" ht="15" spans="1:29">
      <c r="A39" s="815"/>
      <c r="B39" s="761" t="s">
        <v>1808</v>
      </c>
      <c r="C39" s="816"/>
      <c r="D39" s="773">
        <v>100</v>
      </c>
      <c r="E39" s="1686"/>
      <c r="F39" s="1164">
        <f>SUMIF(116:116,E39,117:117)-SUMIF(116:116,C39,117:117)+100</f>
        <v>100</v>
      </c>
      <c r="G39" s="816"/>
      <c r="H39" s="773">
        <f>SUMIF(116:116,G39,117:117)-SUMIF(116:116,C39,117:117)+100</f>
        <v>100</v>
      </c>
      <c r="I39" s="1686"/>
      <c r="J39" s="773">
        <f>SUMIF(116:116,I39,117:117)-SUMIF(116:116,C39,117:117)+100</f>
        <v>100</v>
      </c>
      <c r="K39" s="1700"/>
      <c r="L39" s="913"/>
      <c r="M39" s="897"/>
      <c r="N39" s="897"/>
      <c r="O39" s="897"/>
      <c r="P39" s="1344"/>
      <c r="Q39" s="863" t="str">
        <f t="shared" si="11"/>
        <v>市政基础设施</v>
      </c>
      <c r="R39" s="964" t="s">
        <v>1782</v>
      </c>
      <c r="S39" s="965">
        <f t="shared" si="12"/>
        <v>100</v>
      </c>
      <c r="T39" s="964" t="s">
        <v>1782</v>
      </c>
      <c r="U39" s="965">
        <f t="shared" si="13"/>
        <v>100</v>
      </c>
      <c r="V39" s="964" t="s">
        <v>1782</v>
      </c>
      <c r="W39" s="965">
        <f t="shared" si="14"/>
        <v>100</v>
      </c>
      <c r="X39" s="951"/>
      <c r="Y39" s="925"/>
      <c r="Z39" s="937" t="str">
        <f t="shared" si="18"/>
        <v>市政基础设施</v>
      </c>
      <c r="AA39" s="980">
        <f t="shared" si="15"/>
        <v>1</v>
      </c>
      <c r="AB39" s="980">
        <f t="shared" si="16"/>
        <v>1</v>
      </c>
      <c r="AC39" s="980">
        <f t="shared" si="17"/>
        <v>1</v>
      </c>
    </row>
    <row r="40" ht="15" spans="1:29">
      <c r="A40" s="815"/>
      <c r="B40" s="761" t="s">
        <v>1809</v>
      </c>
      <c r="C40" s="816"/>
      <c r="D40" s="773">
        <v>100</v>
      </c>
      <c r="E40" s="1686"/>
      <c r="F40" s="1164">
        <f>SUMIF(118:118,E40,119:119)-SUMIF(118:118,C40,119:119)+100</f>
        <v>100</v>
      </c>
      <c r="G40" s="816"/>
      <c r="H40" s="773">
        <f>SUMIF(118:118,G40,119:119)-SUMIF(118:118,C40,119:119)+100</f>
        <v>100</v>
      </c>
      <c r="I40" s="1686"/>
      <c r="J40" s="773">
        <f>SUMIF(118:118,I40,119:119)-SUMIF(118:118,C40,119:119)+100</f>
        <v>100</v>
      </c>
      <c r="K40" s="1700"/>
      <c r="L40" s="913"/>
      <c r="M40" s="897"/>
      <c r="N40" s="897"/>
      <c r="O40" s="897"/>
      <c r="P40" s="1344"/>
      <c r="Q40" s="863" t="str">
        <f t="shared" si="11"/>
        <v>房型</v>
      </c>
      <c r="R40" s="964" t="s">
        <v>1782</v>
      </c>
      <c r="S40" s="965">
        <f t="shared" si="12"/>
        <v>100</v>
      </c>
      <c r="T40" s="964" t="s">
        <v>1782</v>
      </c>
      <c r="U40" s="965">
        <f t="shared" si="13"/>
        <v>100</v>
      </c>
      <c r="V40" s="964" t="s">
        <v>1782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1810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01"/>
      <c r="L41" s="911"/>
      <c r="M41" s="923"/>
      <c r="N41" s="923"/>
      <c r="O41" s="923"/>
      <c r="P41" s="1344"/>
      <c r="Q41" s="1203" t="str">
        <f t="shared" si="11"/>
        <v>单套/主力户型建筑面积</v>
      </c>
      <c r="R41" s="966" t="s">
        <v>1782</v>
      </c>
      <c r="S41" s="967">
        <f t="shared" si="12"/>
        <v>100</v>
      </c>
      <c r="T41" s="966" t="s">
        <v>1782</v>
      </c>
      <c r="U41" s="967">
        <f t="shared" si="13"/>
        <v>100</v>
      </c>
      <c r="V41" s="966" t="s">
        <v>1782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1811</v>
      </c>
      <c r="C42" s="816"/>
      <c r="D42" s="773">
        <v>100</v>
      </c>
      <c r="E42" s="1686"/>
      <c r="F42" s="1164">
        <f>SUMIF(122:122,E42,123:123)-SUMIF(122:122,C42,123:123)+100</f>
        <v>100</v>
      </c>
      <c r="G42" s="816"/>
      <c r="H42" s="773">
        <f>SUMIF(122:122,G42,123:123)-SUMIF(122:122,C42,123:123)+100</f>
        <v>100</v>
      </c>
      <c r="I42" s="1686"/>
      <c r="J42" s="773">
        <f>SUMIF(122:122,I42,123:123)-SUMIF(122:122,C42,123:123)+100</f>
        <v>100</v>
      </c>
      <c r="K42" s="1700"/>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8"/>
        <v>内部装修</v>
      </c>
      <c r="AA42" s="980">
        <f t="shared" si="15"/>
        <v>1</v>
      </c>
      <c r="AB42" s="980">
        <f t="shared" si="16"/>
        <v>1</v>
      </c>
      <c r="AC42" s="980">
        <f t="shared" si="17"/>
        <v>1</v>
      </c>
    </row>
    <row r="43" ht="15" spans="1:29">
      <c r="A43" s="815"/>
      <c r="B43" s="761" t="s">
        <v>1812</v>
      </c>
      <c r="C43" s="816"/>
      <c r="D43" s="773">
        <v>100</v>
      </c>
      <c r="E43" s="1686"/>
      <c r="F43" s="1164">
        <f>SUMIF(124:124,E43,125:125)-SUMIF(124:124,C43,125:125)+100</f>
        <v>100</v>
      </c>
      <c r="G43" s="816"/>
      <c r="H43" s="773">
        <f>SUMIF(124:124,G43,125:125)-SUMIF(124:124,C43,125:125)+100</f>
        <v>100</v>
      </c>
      <c r="I43" s="1686"/>
      <c r="J43" s="773">
        <f>SUMIF(124:124,I43,125:125)-SUMIF(124:124,C43,125:125)+100</f>
        <v>100</v>
      </c>
      <c r="K43" s="1700"/>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01"/>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01"/>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01"/>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8"/>
        <v>111</v>
      </c>
      <c r="AA46" s="980">
        <f t="shared" si="15"/>
        <v>1</v>
      </c>
      <c r="AB46" s="980">
        <f t="shared" si="16"/>
        <v>1</v>
      </c>
      <c r="AC46" s="980">
        <f t="shared" si="17"/>
        <v>1</v>
      </c>
    </row>
    <row r="47" ht="15" spans="1:29">
      <c r="A47" s="822" t="s">
        <v>1813</v>
      </c>
      <c r="B47" s="1178"/>
      <c r="C47" s="1179" t="s">
        <v>124</v>
      </c>
      <c r="D47" s="1180"/>
      <c r="E47" s="1181"/>
      <c r="F47" s="1182"/>
      <c r="G47" s="1183"/>
      <c r="H47" s="1184"/>
      <c r="I47" s="1181"/>
      <c r="J47" s="1184"/>
      <c r="K47" s="1705"/>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1706">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689" t="e">
        <f>R49</f>
        <v>#DIV/0!</v>
      </c>
      <c r="D49" s="1188"/>
      <c r="E49" s="1188"/>
      <c r="F49" s="1188"/>
      <c r="G49" s="1188"/>
      <c r="H49" s="1188"/>
      <c r="I49" s="1188"/>
      <c r="J49" s="1188"/>
      <c r="K49" s="1707"/>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8"/>
    </row>
    <row r="55" s="714" customFormat="1" spans="1:16">
      <c r="A55" s="846"/>
      <c r="B55" s="847"/>
      <c r="C55" s="1189"/>
      <c r="D55" s="846"/>
      <c r="E55" s="846"/>
      <c r="F55" s="846"/>
      <c r="G55" s="846"/>
      <c r="H55" s="846"/>
      <c r="I55" s="846"/>
      <c r="J55" s="846"/>
      <c r="K55" s="935"/>
      <c r="L55" s="936"/>
      <c r="M55" s="846"/>
      <c r="N55" s="846"/>
      <c r="O55" s="846"/>
      <c r="P55" s="1708"/>
    </row>
    <row r="56" spans="1:15">
      <c r="A56" s="839"/>
      <c r="B56" s="847"/>
      <c r="C56" s="1189"/>
      <c r="D56" s="839"/>
      <c r="E56" s="839"/>
      <c r="F56" s="839"/>
      <c r="G56" s="839"/>
      <c r="H56" s="839"/>
      <c r="I56" s="839"/>
      <c r="J56" s="839"/>
      <c r="K56" s="933"/>
      <c r="L56" s="934"/>
      <c r="M56" s="839"/>
      <c r="N56" s="839"/>
      <c r="O56" s="839"/>
    </row>
    <row r="57" ht="21" spans="1:17">
      <c r="A57" s="884" t="s">
        <v>1820</v>
      </c>
      <c r="B57" s="885"/>
      <c r="C57" s="886"/>
      <c r="D57" s="886"/>
      <c r="E57" s="886"/>
      <c r="F57" s="887"/>
      <c r="G57" s="887"/>
      <c r="H57" s="886"/>
      <c r="I57" s="886"/>
      <c r="J57" s="886"/>
      <c r="K57" s="1133"/>
      <c r="L57" s="1134"/>
      <c r="M57" s="946"/>
      <c r="N57" s="946"/>
      <c r="O57" s="946"/>
      <c r="P57" s="1709"/>
      <c r="Q57" s="1300"/>
    </row>
    <row r="58" s="716" customFormat="1" ht="15" spans="1:16">
      <c r="A58" s="1190" t="s">
        <v>1780</v>
      </c>
      <c r="B58" s="1191"/>
      <c r="C58" s="1690"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10"/>
    </row>
    <row r="59" s="711" customFormat="1" ht="15" spans="1:16">
      <c r="A59" s="1194"/>
      <c r="B59" s="1691"/>
      <c r="C59" s="1195">
        <v>100</v>
      </c>
      <c r="D59" s="1336"/>
      <c r="E59" s="999"/>
      <c r="F59" s="999"/>
      <c r="G59" s="999"/>
      <c r="H59" s="999"/>
      <c r="I59" s="999"/>
      <c r="J59" s="999"/>
      <c r="K59" s="999"/>
      <c r="L59" s="999"/>
      <c r="M59" s="1202"/>
      <c r="N59" s="999"/>
      <c r="O59" s="1202"/>
      <c r="P59" s="1711"/>
    </row>
    <row r="60" s="711" customFormat="1" ht="15.75" spans="1:17">
      <c r="A60" s="990" t="s">
        <v>1821</v>
      </c>
      <c r="B60" s="991"/>
      <c r="C60" s="992"/>
      <c r="D60" s="993"/>
      <c r="E60" s="993"/>
      <c r="F60" s="993"/>
      <c r="G60" s="993"/>
      <c r="H60" s="993"/>
      <c r="I60" s="993"/>
      <c r="J60" s="993"/>
      <c r="K60" s="993"/>
      <c r="L60" s="993"/>
      <c r="M60" s="1041"/>
      <c r="N60" s="993"/>
      <c r="O60" s="1041"/>
      <c r="P60" s="1711"/>
      <c r="Q60" s="1300"/>
    </row>
    <row r="61" s="711" customFormat="1" ht="15" spans="1:17">
      <c r="A61" s="994" t="s">
        <v>1783</v>
      </c>
      <c r="B61" s="995"/>
      <c r="C61" s="996" t="s">
        <v>1822</v>
      </c>
      <c r="D61" s="997"/>
      <c r="E61" s="997"/>
      <c r="F61" s="997"/>
      <c r="G61" s="997"/>
      <c r="H61" s="997"/>
      <c r="I61" s="997"/>
      <c r="J61" s="997"/>
      <c r="K61" s="997"/>
      <c r="L61" s="1043"/>
      <c r="M61" s="1044"/>
      <c r="N61" s="1303"/>
      <c r="O61" s="1303"/>
      <c r="P61" s="1712"/>
      <c r="Q61" s="1300"/>
    </row>
    <row r="62" s="711" customFormat="1" ht="15.75" spans="1:17">
      <c r="A62" s="994"/>
      <c r="B62" s="995"/>
      <c r="C62" s="1336">
        <v>100</v>
      </c>
      <c r="D62" s="999"/>
      <c r="E62" s="999"/>
      <c r="F62" s="999"/>
      <c r="G62" s="999"/>
      <c r="H62" s="999"/>
      <c r="I62" s="999"/>
      <c r="J62" s="999"/>
      <c r="K62" s="999"/>
      <c r="L62" s="999"/>
      <c r="M62" s="1047"/>
      <c r="N62" s="1303"/>
      <c r="O62" s="1303"/>
      <c r="P62" s="1711"/>
      <c r="Q62" s="1300"/>
    </row>
    <row r="63" spans="1:17">
      <c r="A63" s="1000" t="s">
        <v>1823</v>
      </c>
      <c r="B63" s="1001" t="s">
        <v>1786</v>
      </c>
      <c r="C63" s="1023">
        <f>C9</f>
        <v>0</v>
      </c>
      <c r="D63" s="926"/>
      <c r="E63" s="926"/>
      <c r="F63" s="926"/>
      <c r="G63" s="926"/>
      <c r="H63" s="926"/>
      <c r="I63" s="926"/>
      <c r="J63" s="926"/>
      <c r="K63" s="1048"/>
      <c r="L63" s="1049"/>
      <c r="M63" s="1050"/>
      <c r="N63" s="1305"/>
      <c r="O63" s="1305"/>
      <c r="P63" s="1713"/>
      <c r="Q63" s="1300"/>
    </row>
    <row r="64" ht="15.75" spans="1:17">
      <c r="A64" s="1002"/>
      <c r="B64" s="1003"/>
      <c r="C64" s="1004">
        <v>100</v>
      </c>
      <c r="D64" s="1004"/>
      <c r="E64" s="1004"/>
      <c r="F64" s="1004"/>
      <c r="G64" s="1004"/>
      <c r="H64" s="1004"/>
      <c r="I64" s="1004"/>
      <c r="J64" s="1004"/>
      <c r="K64" s="1004"/>
      <c r="L64" s="1004"/>
      <c r="M64" s="1053"/>
      <c r="N64" s="1307"/>
      <c r="O64" s="1307"/>
      <c r="P64" s="1713"/>
      <c r="Q64" s="1300"/>
    </row>
    <row r="65" ht="27.75" spans="1:17">
      <c r="A65" s="1002"/>
      <c r="B65" s="1005" t="s">
        <v>1789</v>
      </c>
      <c r="C65" s="1030"/>
      <c r="D65" s="1030"/>
      <c r="E65" s="1030"/>
      <c r="F65" s="1030"/>
      <c r="G65" s="1030"/>
      <c r="H65" s="1030"/>
      <c r="I65" s="1030"/>
      <c r="J65" s="1030"/>
      <c r="K65" s="1030"/>
      <c r="L65" s="1030"/>
      <c r="M65" s="1030"/>
      <c r="N65" s="1307"/>
      <c r="O65" s="1307"/>
      <c r="P65" s="1713"/>
      <c r="Q65" s="1300"/>
    </row>
    <row r="66" ht="15.75" spans="1:17">
      <c r="A66" s="1002"/>
      <c r="B66" s="1007"/>
      <c r="C66" s="1004"/>
      <c r="D66" s="1004"/>
      <c r="E66" s="1004"/>
      <c r="F66" s="1004"/>
      <c r="G66" s="1004"/>
      <c r="H66" s="1004"/>
      <c r="I66" s="1004"/>
      <c r="J66" s="1004"/>
      <c r="K66" s="1004"/>
      <c r="L66" s="1004"/>
      <c r="M66" s="1053"/>
      <c r="N66" s="1307"/>
      <c r="O66" s="1307"/>
      <c r="P66" s="1713"/>
      <c r="Q66" s="1300"/>
    </row>
    <row r="67" ht="15.75" spans="1:17">
      <c r="A67" s="1002"/>
      <c r="B67" s="1009" t="s">
        <v>1790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3"/>
      <c r="Q67" s="1300"/>
    </row>
    <row r="68" ht="15" spans="1:17">
      <c r="A68" s="1002"/>
      <c r="B68" s="1011"/>
      <c r="C68" s="770"/>
      <c r="D68" s="770"/>
      <c r="E68" s="770"/>
      <c r="F68" s="770"/>
      <c r="G68" s="770"/>
      <c r="H68" s="770"/>
      <c r="I68" s="770"/>
      <c r="J68" s="770"/>
      <c r="K68" s="1059"/>
      <c r="L68" s="1060"/>
      <c r="M68" s="1061"/>
      <c r="N68" s="1305"/>
      <c r="O68" s="1305"/>
      <c r="P68" s="1713"/>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3"/>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7"/>
      <c r="Q70" s="1311"/>
    </row>
    <row r="71" s="713" customFormat="1" ht="15.75" spans="1:17">
      <c r="A71" s="1012"/>
      <c r="B71" s="1007"/>
      <c r="C71" s="1015"/>
      <c r="D71" s="1004"/>
      <c r="E71" s="1004"/>
      <c r="F71" s="1004"/>
      <c r="G71" s="1004"/>
      <c r="H71" s="1004"/>
      <c r="I71" s="1004"/>
      <c r="J71" s="1004"/>
      <c r="K71" s="1004"/>
      <c r="L71" s="1004"/>
      <c r="M71" s="1053"/>
      <c r="N71" s="1307"/>
      <c r="O71" s="1307"/>
      <c r="P71" s="1717"/>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8"/>
      <c r="Q72" s="1317"/>
    </row>
    <row r="73" s="713" customFormat="1" ht="15.75" spans="1:17">
      <c r="A73" s="1012"/>
      <c r="B73" s="1007"/>
      <c r="C73" s="1015"/>
      <c r="D73" s="1015"/>
      <c r="E73" s="1015"/>
      <c r="F73" s="1015"/>
      <c r="G73" s="1015"/>
      <c r="H73" s="1016"/>
      <c r="I73" s="1016"/>
      <c r="J73" s="1016"/>
      <c r="K73" s="1016"/>
      <c r="L73" s="1016"/>
      <c r="M73" s="1066"/>
      <c r="N73" s="1308"/>
      <c r="O73" s="1308"/>
      <c r="P73" s="1717"/>
      <c r="Q73" s="1311"/>
    </row>
    <row r="74" s="713" customFormat="1" ht="15.75" spans="1:17">
      <c r="A74" s="1012"/>
      <c r="B74" s="1009">
        <f>B14</f>
        <v>111</v>
      </c>
      <c r="C74" s="1013"/>
      <c r="D74" s="1013"/>
      <c r="E74" s="1013"/>
      <c r="F74" s="1013"/>
      <c r="G74" s="997"/>
      <c r="H74" s="1017"/>
      <c r="I74" s="1017"/>
      <c r="J74" s="1017"/>
      <c r="K74" s="1017"/>
      <c r="L74" s="1067"/>
      <c r="M74" s="1068"/>
      <c r="N74" s="1308"/>
      <c r="O74" s="1308"/>
      <c r="P74" s="1719"/>
      <c r="Q74" s="1311"/>
    </row>
    <row r="75" s="713" customFormat="1" ht="15.75" spans="1:17">
      <c r="A75" s="1018"/>
      <c r="B75" s="1019"/>
      <c r="C75" s="1020"/>
      <c r="D75" s="1020"/>
      <c r="E75" s="1020"/>
      <c r="F75" s="1020"/>
      <c r="G75" s="1020"/>
      <c r="H75" s="1021"/>
      <c r="I75" s="1021"/>
      <c r="J75" s="1021"/>
      <c r="K75" s="1021"/>
      <c r="L75" s="1021"/>
      <c r="M75" s="1070"/>
      <c r="N75" s="1308"/>
      <c r="O75" s="1308"/>
      <c r="P75" s="1717"/>
      <c r="Q75" s="1311"/>
    </row>
    <row r="76" spans="1:17">
      <c r="A76" s="1000" t="s">
        <v>1791</v>
      </c>
      <c r="B76" s="1001" t="s">
        <v>1792</v>
      </c>
      <c r="C76" s="1022" t="s">
        <v>1576</v>
      </c>
      <c r="D76" s="1022" t="s">
        <v>1577</v>
      </c>
      <c r="E76" s="1022" t="s">
        <v>1578</v>
      </c>
      <c r="F76" s="1022" t="s">
        <v>1579</v>
      </c>
      <c r="G76" s="1022" t="s">
        <v>1580</v>
      </c>
      <c r="H76" s="1023"/>
      <c r="I76" s="1023"/>
      <c r="J76" s="1023"/>
      <c r="K76" s="1071"/>
      <c r="L76" s="1072"/>
      <c r="M76" s="1073"/>
      <c r="N76" s="1305"/>
      <c r="O76" s="1305"/>
      <c r="P76" s="1720"/>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3"/>
      <c r="Q77" s="1300"/>
    </row>
    <row r="78" ht="15.75" spans="1:17">
      <c r="A78" s="1002"/>
      <c r="B78" s="1005" t="s">
        <v>1794</v>
      </c>
      <c r="C78" s="1024" t="s">
        <v>1576</v>
      </c>
      <c r="D78" s="1024" t="s">
        <v>1577</v>
      </c>
      <c r="E78" s="1024" t="s">
        <v>1578</v>
      </c>
      <c r="F78" s="1024" t="s">
        <v>1579</v>
      </c>
      <c r="G78" s="1024" t="s">
        <v>1580</v>
      </c>
      <c r="H78" s="1006"/>
      <c r="I78" s="1006"/>
      <c r="J78" s="1006"/>
      <c r="K78" s="1055"/>
      <c r="L78" s="1056"/>
      <c r="M78" s="1057"/>
      <c r="N78" s="1305"/>
      <c r="O78" s="1305"/>
      <c r="P78" s="1713"/>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3"/>
      <c r="Q79" s="1300"/>
    </row>
    <row r="80" ht="15.75" spans="1:17">
      <c r="A80" s="1002"/>
      <c r="B80" s="1005" t="s">
        <v>1795</v>
      </c>
      <c r="C80" s="1024" t="s">
        <v>1576</v>
      </c>
      <c r="D80" s="1024" t="s">
        <v>1577</v>
      </c>
      <c r="E80" s="1024" t="s">
        <v>1578</v>
      </c>
      <c r="F80" s="1024" t="s">
        <v>1579</v>
      </c>
      <c r="G80" s="1024" t="s">
        <v>1580</v>
      </c>
      <c r="H80" s="1006"/>
      <c r="I80" s="1006"/>
      <c r="J80" s="1006"/>
      <c r="K80" s="1055"/>
      <c r="L80" s="1056"/>
      <c r="M80" s="1057"/>
      <c r="N80" s="1305"/>
      <c r="O80" s="1305"/>
      <c r="P80" s="1713"/>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3"/>
      <c r="Q81" s="1300"/>
    </row>
    <row r="82" ht="15.75" spans="1:17">
      <c r="A82" s="1002"/>
      <c r="B82" s="1009" t="s">
        <v>1796</v>
      </c>
      <c r="C82" s="1006" t="s">
        <v>1824</v>
      </c>
      <c r="D82" s="1006" t="s">
        <v>1825</v>
      </c>
      <c r="E82" s="1006" t="s">
        <v>1826</v>
      </c>
      <c r="F82" s="1006" t="s">
        <v>1827</v>
      </c>
      <c r="G82" s="1006" t="s">
        <v>1828</v>
      </c>
      <c r="H82" s="1006"/>
      <c r="I82" s="1006"/>
      <c r="J82" s="1006"/>
      <c r="K82" s="1006"/>
      <c r="L82" s="1006"/>
      <c r="M82" s="1208"/>
      <c r="N82" s="1307"/>
      <c r="O82" s="1307"/>
      <c r="P82" s="1713"/>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3"/>
      <c r="Q83" s="1300"/>
    </row>
    <row r="84" ht="15.75" spans="1:17">
      <c r="A84" s="1002"/>
      <c r="B84" s="1005" t="s">
        <v>1797</v>
      </c>
      <c r="C84" s="1024" t="s">
        <v>1576</v>
      </c>
      <c r="D84" s="1024" t="s">
        <v>1577</v>
      </c>
      <c r="E84" s="1024" t="s">
        <v>1578</v>
      </c>
      <c r="F84" s="1024" t="s">
        <v>1579</v>
      </c>
      <c r="G84" s="1024" t="s">
        <v>1580</v>
      </c>
      <c r="H84" s="1006"/>
      <c r="I84" s="1006"/>
      <c r="J84" s="1006"/>
      <c r="K84" s="1055"/>
      <c r="L84" s="1056"/>
      <c r="M84" s="1057"/>
      <c r="N84" s="1305"/>
      <c r="O84" s="1305"/>
      <c r="P84" s="1713"/>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3"/>
      <c r="Q85" s="1300"/>
    </row>
    <row r="86" s="711" customFormat="1" ht="15.75" spans="1:17">
      <c r="A86" s="1025"/>
      <c r="B86" s="1005" t="s">
        <v>1798</v>
      </c>
      <c r="C86" s="1013"/>
      <c r="D86" s="1013"/>
      <c r="E86" s="1013"/>
      <c r="F86" s="1013"/>
      <c r="G86" s="1013"/>
      <c r="H86" s="1013"/>
      <c r="I86" s="1013"/>
      <c r="J86" s="1013"/>
      <c r="K86" s="1013"/>
      <c r="L86" s="1209"/>
      <c r="M86" s="1210"/>
      <c r="N86" s="1303"/>
      <c r="O86" s="1303"/>
      <c r="P86" s="1713"/>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3"/>
      <c r="Q87" s="1300"/>
    </row>
    <row r="88" s="711" customFormat="1" ht="15.75" spans="1:17">
      <c r="A88" s="1025"/>
      <c r="B88" s="1005" t="s">
        <v>1799</v>
      </c>
      <c r="C88" s="1013"/>
      <c r="D88" s="1013"/>
      <c r="E88" s="1013"/>
      <c r="F88" s="1360"/>
      <c r="G88" s="1013"/>
      <c r="H88" s="1013"/>
      <c r="I88" s="1013"/>
      <c r="J88" s="1013"/>
      <c r="K88" s="1013"/>
      <c r="L88" s="1013"/>
      <c r="M88" s="1210"/>
      <c r="N88" s="1303"/>
      <c r="O88" s="1303"/>
      <c r="P88" s="1713"/>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3"/>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7"/>
      <c r="Q90" s="1311"/>
    </row>
    <row r="91" s="713" customFormat="1" ht="15.75" spans="1:17">
      <c r="A91" s="1012"/>
      <c r="B91" s="1007"/>
      <c r="C91" s="1015"/>
      <c r="D91" s="1015"/>
      <c r="E91" s="1015"/>
      <c r="F91" s="1015"/>
      <c r="G91" s="1015"/>
      <c r="H91" s="1016"/>
      <c r="I91" s="1016"/>
      <c r="J91" s="1016"/>
      <c r="K91" s="1016"/>
      <c r="L91" s="1016"/>
      <c r="M91" s="1066"/>
      <c r="N91" s="1308"/>
      <c r="O91" s="1308"/>
      <c r="P91" s="1717"/>
      <c r="Q91" s="1311"/>
    </row>
    <row r="92" ht="15.75" spans="1:17">
      <c r="A92" s="1002"/>
      <c r="B92" s="1005">
        <f>B28</f>
        <v>111</v>
      </c>
      <c r="C92" s="1013"/>
      <c r="D92" s="1013"/>
      <c r="E92" s="1013"/>
      <c r="F92" s="1013"/>
      <c r="G92" s="1030"/>
      <c r="H92" s="1030"/>
      <c r="I92" s="1030"/>
      <c r="J92" s="1030"/>
      <c r="K92" s="1081"/>
      <c r="L92" s="1082"/>
      <c r="M92" s="1083"/>
      <c r="N92" s="1305"/>
      <c r="O92" s="1305"/>
      <c r="P92" s="1713"/>
      <c r="Q92" s="1300"/>
    </row>
    <row r="93" ht="15.75" spans="1:17">
      <c r="A93" s="1002"/>
      <c r="B93" s="1007"/>
      <c r="C93" s="1015"/>
      <c r="D93" s="1004"/>
      <c r="E93" s="1004"/>
      <c r="F93" s="1004"/>
      <c r="G93" s="1004"/>
      <c r="H93" s="1004"/>
      <c r="I93" s="1004"/>
      <c r="J93" s="1004"/>
      <c r="K93" s="1004"/>
      <c r="L93" s="1004"/>
      <c r="M93" s="1053"/>
      <c r="N93" s="1307"/>
      <c r="O93" s="1307"/>
      <c r="P93" s="1713"/>
      <c r="Q93" s="1300"/>
    </row>
    <row r="94" ht="15.75" spans="1:17">
      <c r="A94" s="1002"/>
      <c r="B94" s="1005">
        <f>B29</f>
        <v>111</v>
      </c>
      <c r="C94" s="1013"/>
      <c r="D94" s="1013"/>
      <c r="E94" s="1013"/>
      <c r="F94" s="1013"/>
      <c r="G94" s="1030"/>
      <c r="H94" s="1030"/>
      <c r="I94" s="1030"/>
      <c r="J94" s="1030"/>
      <c r="K94" s="1081"/>
      <c r="L94" s="1082"/>
      <c r="M94" s="1083"/>
      <c r="N94" s="1305"/>
      <c r="O94" s="1305"/>
      <c r="P94" s="1713"/>
      <c r="Q94" s="1300"/>
    </row>
    <row r="95" ht="15.75" spans="1:17">
      <c r="A95" s="1002"/>
      <c r="B95" s="1007"/>
      <c r="C95" s="1015"/>
      <c r="D95" s="1015"/>
      <c r="E95" s="1015"/>
      <c r="F95" s="1015"/>
      <c r="G95" s="1004"/>
      <c r="H95" s="1004"/>
      <c r="I95" s="1004"/>
      <c r="J95" s="1004"/>
      <c r="K95" s="1004"/>
      <c r="L95" s="1004"/>
      <c r="M95" s="1053"/>
      <c r="N95" s="1307"/>
      <c r="O95" s="1307"/>
      <c r="P95" s="1713"/>
      <c r="Q95" s="1300"/>
    </row>
    <row r="96" ht="15.75" spans="1:17">
      <c r="A96" s="1002"/>
      <c r="B96" s="1005">
        <f>B30</f>
        <v>111</v>
      </c>
      <c r="C96" s="1013"/>
      <c r="D96" s="1013"/>
      <c r="E96" s="1013"/>
      <c r="F96" s="1013"/>
      <c r="G96" s="1030"/>
      <c r="H96" s="1030"/>
      <c r="I96" s="1030"/>
      <c r="J96" s="1030"/>
      <c r="K96" s="1081"/>
      <c r="L96" s="1082"/>
      <c r="M96" s="1083"/>
      <c r="N96" s="1305"/>
      <c r="O96" s="1305"/>
      <c r="P96" s="1713"/>
      <c r="Q96" s="1300"/>
    </row>
    <row r="97" ht="15.75" spans="1:17">
      <c r="A97" s="1002"/>
      <c r="B97" s="1007"/>
      <c r="C97" s="1020"/>
      <c r="D97" s="1020"/>
      <c r="E97" s="1020"/>
      <c r="F97" s="1020"/>
      <c r="G97" s="1004"/>
      <c r="H97" s="1004"/>
      <c r="I97" s="1004"/>
      <c r="J97" s="1004"/>
      <c r="K97" s="1004"/>
      <c r="L97" s="1004"/>
      <c r="M97" s="1053"/>
      <c r="N97" s="1307"/>
      <c r="O97" s="1307"/>
      <c r="P97" s="1713"/>
      <c r="Q97" s="1300"/>
    </row>
    <row r="98" ht="15.75" spans="1:17">
      <c r="A98" s="1002"/>
      <c r="B98" s="1009">
        <f>B31</f>
        <v>111</v>
      </c>
      <c r="C98" s="1031"/>
      <c r="D98" s="1031"/>
      <c r="E98" s="1031"/>
      <c r="F98" s="1031"/>
      <c r="G98" s="1031"/>
      <c r="H98" s="1031"/>
      <c r="I98" s="1031"/>
      <c r="J98" s="1031"/>
      <c r="K98" s="1084"/>
      <c r="L98" s="1085"/>
      <c r="M98" s="1086"/>
      <c r="N98" s="1305"/>
      <c r="O98" s="1305"/>
      <c r="P98" s="1713"/>
      <c r="Q98" s="1300"/>
    </row>
    <row r="99" ht="15.75" spans="1:17">
      <c r="A99" s="1312"/>
      <c r="B99" s="1019"/>
      <c r="C99" s="1032"/>
      <c r="D99" s="1032"/>
      <c r="E99" s="1032"/>
      <c r="F99" s="1032"/>
      <c r="G99" s="1032"/>
      <c r="H99" s="1032"/>
      <c r="I99" s="1032"/>
      <c r="J99" s="1032"/>
      <c r="K99" s="1032"/>
      <c r="L99" s="1032"/>
      <c r="M99" s="1087"/>
      <c r="N99" s="1307"/>
      <c r="O99" s="1307"/>
      <c r="P99" s="1713"/>
      <c r="Q99" s="1300"/>
    </row>
    <row r="100" spans="1:17">
      <c r="A100" s="1000" t="s">
        <v>1800</v>
      </c>
      <c r="B100" s="1001" t="s">
        <v>1801</v>
      </c>
      <c r="C100" s="926"/>
      <c r="D100" s="926"/>
      <c r="E100" s="926"/>
      <c r="F100" s="926"/>
      <c r="G100" s="926"/>
      <c r="H100" s="926"/>
      <c r="I100" s="926"/>
      <c r="J100" s="926"/>
      <c r="K100" s="1048"/>
      <c r="L100" s="1049"/>
      <c r="M100" s="1050"/>
      <c r="N100" s="1305"/>
      <c r="O100" s="1305"/>
      <c r="P100" s="1713"/>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3"/>
      <c r="Q101" s="1300"/>
    </row>
    <row r="102" ht="15.75" spans="1:17">
      <c r="A102" s="1002"/>
      <c r="B102" s="1005" t="s">
        <v>1803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3"/>
      <c r="Q102" s="1300"/>
    </row>
    <row r="103" s="713" customFormat="1" ht="15" spans="1:17">
      <c r="A103" s="1033"/>
      <c r="B103" s="1034"/>
      <c r="C103" s="989"/>
      <c r="D103" s="989"/>
      <c r="E103" s="989"/>
      <c r="F103" s="989"/>
      <c r="G103" s="989"/>
      <c r="H103" s="989"/>
      <c r="I103" s="989"/>
      <c r="J103" s="1088"/>
      <c r="K103" s="1088"/>
      <c r="L103" s="1089"/>
      <c r="M103" s="1090"/>
      <c r="N103" s="1308"/>
      <c r="O103" s="1308"/>
      <c r="P103" s="1717"/>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7"/>
      <c r="Q104" s="1311"/>
    </row>
    <row r="105" ht="15.75" spans="1:17">
      <c r="A105" s="1036"/>
      <c r="B105" s="1005" t="s">
        <v>1804</v>
      </c>
      <c r="C105" s="1013"/>
      <c r="D105" s="1013"/>
      <c r="E105" s="1030"/>
      <c r="F105" s="1030"/>
      <c r="G105" s="1030"/>
      <c r="H105" s="1030"/>
      <c r="I105" s="1030"/>
      <c r="J105" s="1030"/>
      <c r="K105" s="1081"/>
      <c r="L105" s="1082"/>
      <c r="M105" s="1083"/>
      <c r="N105" s="1305"/>
      <c r="O105" s="1305"/>
      <c r="P105" s="1713"/>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3"/>
      <c r="Q106" s="1300"/>
    </row>
    <row r="107" ht="15.75" spans="1:17">
      <c r="A107" s="1036"/>
      <c r="B107" s="1005" t="s">
        <v>1805</v>
      </c>
      <c r="C107" s="1030"/>
      <c r="D107" s="1030"/>
      <c r="E107" s="1030"/>
      <c r="F107" s="1030"/>
      <c r="G107" s="1030"/>
      <c r="H107" s="1030"/>
      <c r="I107" s="1030"/>
      <c r="J107" s="1030"/>
      <c r="K107" s="1081"/>
      <c r="L107" s="1082"/>
      <c r="M107" s="1083"/>
      <c r="N107" s="1305"/>
      <c r="O107" s="1305"/>
      <c r="P107" s="1713"/>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3"/>
      <c r="Q108" s="1300"/>
    </row>
    <row r="109" ht="15.75" spans="1:17">
      <c r="A109" s="1036"/>
      <c r="B109" s="1005" t="s">
        <v>1806</v>
      </c>
      <c r="C109" s="1013"/>
      <c r="D109" s="1013"/>
      <c r="E109" s="1013"/>
      <c r="F109" s="1030"/>
      <c r="G109" s="1030"/>
      <c r="H109" s="1030"/>
      <c r="I109" s="1030"/>
      <c r="J109" s="1030"/>
      <c r="K109" s="1081"/>
      <c r="L109" s="1082"/>
      <c r="M109" s="1083"/>
      <c r="N109" s="1305"/>
      <c r="O109" s="1305"/>
      <c r="P109" s="1713"/>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3"/>
      <c r="Q110" s="1300"/>
    </row>
    <row r="111" s="713" customFormat="1" ht="15.75" spans="1:17">
      <c r="A111" s="1033"/>
      <c r="B111" s="1005" t="s">
        <v>646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7"/>
      <c r="Q111" s="1311"/>
    </row>
    <row r="112" s="713" customFormat="1" ht="15" spans="1:17">
      <c r="A112" s="1033"/>
      <c r="B112" s="1009"/>
      <c r="C112" s="988">
        <v>0.5</v>
      </c>
      <c r="D112" s="988">
        <v>0.6</v>
      </c>
      <c r="E112" s="988">
        <v>0.7</v>
      </c>
      <c r="F112" s="988">
        <v>0.8</v>
      </c>
      <c r="G112" s="988">
        <v>0.9</v>
      </c>
      <c r="H112" s="988">
        <v>1.0001</v>
      </c>
      <c r="I112" s="988"/>
      <c r="J112" s="1721"/>
      <c r="K112" s="1721"/>
      <c r="L112" s="1722"/>
      <c r="M112" s="1723"/>
      <c r="N112" s="1308"/>
      <c r="O112" s="1308"/>
      <c r="P112" s="1717"/>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7"/>
      <c r="Q113" s="1311"/>
    </row>
    <row r="114" ht="15.75" spans="1:17">
      <c r="A114" s="1036"/>
      <c r="B114" s="1005" t="s">
        <v>1807</v>
      </c>
      <c r="C114" s="1013"/>
      <c r="D114" s="1013"/>
      <c r="E114" s="1030"/>
      <c r="F114" s="1030"/>
      <c r="G114" s="1030"/>
      <c r="H114" s="1030"/>
      <c r="I114" s="1030"/>
      <c r="J114" s="1030"/>
      <c r="K114" s="1081"/>
      <c r="L114" s="1082"/>
      <c r="M114" s="1083"/>
      <c r="N114" s="1305"/>
      <c r="O114" s="1305"/>
      <c r="P114" s="1713"/>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3"/>
      <c r="Q115" s="1300"/>
    </row>
    <row r="116" ht="15.75" spans="1:17">
      <c r="A116" s="1036"/>
      <c r="B116" s="1005" t="s">
        <v>1808</v>
      </c>
      <c r="C116" s="1013"/>
      <c r="D116" s="1013"/>
      <c r="E116" s="1013"/>
      <c r="F116" s="1013"/>
      <c r="G116" s="1013"/>
      <c r="H116" s="1030"/>
      <c r="I116" s="1030"/>
      <c r="J116" s="1030"/>
      <c r="K116" s="1081"/>
      <c r="L116" s="1082"/>
      <c r="M116" s="1083"/>
      <c r="N116" s="1305"/>
      <c r="O116" s="1305"/>
      <c r="P116" s="1713"/>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3"/>
      <c r="Q117" s="1300"/>
    </row>
    <row r="118" ht="15.75" spans="1:17">
      <c r="A118" s="1036"/>
      <c r="B118" s="1005" t="s">
        <v>1809</v>
      </c>
      <c r="C118" s="1030"/>
      <c r="D118" s="1030"/>
      <c r="E118" s="1030"/>
      <c r="F118" s="1030"/>
      <c r="G118" s="1030"/>
      <c r="H118" s="1030"/>
      <c r="I118" s="1030"/>
      <c r="J118" s="1030"/>
      <c r="K118" s="1081"/>
      <c r="L118" s="1082"/>
      <c r="M118" s="1083"/>
      <c r="N118" s="1305"/>
      <c r="O118" s="1305"/>
      <c r="P118" s="1713"/>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3"/>
      <c r="Q119" s="1300"/>
    </row>
    <row r="120" s="713" customFormat="1" ht="28.5" spans="1:17">
      <c r="A120" s="1033"/>
      <c r="B120" s="1005" t="s">
        <v>1810</v>
      </c>
      <c r="C120" s="1013"/>
      <c r="D120" s="1013"/>
      <c r="E120" s="1013"/>
      <c r="F120" s="1013"/>
      <c r="G120" s="1013"/>
      <c r="H120" s="1013"/>
      <c r="I120" s="1013"/>
      <c r="J120" s="1013"/>
      <c r="K120" s="1013"/>
      <c r="L120" s="1209"/>
      <c r="M120" s="1210"/>
      <c r="N120" s="1308"/>
      <c r="O120" s="1308"/>
      <c r="P120" s="1717"/>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7"/>
      <c r="Q121" s="1311"/>
    </row>
    <row r="122" ht="15.75" spans="1:17">
      <c r="A122" s="1036"/>
      <c r="B122" s="1005" t="s">
        <v>1811</v>
      </c>
      <c r="C122" s="1013"/>
      <c r="D122" s="1013"/>
      <c r="E122" s="1013"/>
      <c r="F122" s="1030"/>
      <c r="G122" s="1030"/>
      <c r="H122" s="1030"/>
      <c r="I122" s="1030"/>
      <c r="J122" s="1030"/>
      <c r="K122" s="1081"/>
      <c r="L122" s="1082"/>
      <c r="M122" s="1083"/>
      <c r="N122" s="1305"/>
      <c r="O122" s="1305"/>
      <c r="P122" s="1713"/>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3"/>
      <c r="Q123" s="1300"/>
    </row>
    <row r="124" ht="15.75" spans="1:17">
      <c r="A124" s="1036"/>
      <c r="B124" s="1005" t="s">
        <v>1812</v>
      </c>
      <c r="C124" s="1024" t="s">
        <v>1576</v>
      </c>
      <c r="D124" s="1024" t="s">
        <v>1577</v>
      </c>
      <c r="E124" s="1024" t="s">
        <v>1578</v>
      </c>
      <c r="F124" s="1024" t="s">
        <v>1579</v>
      </c>
      <c r="G124" s="1024" t="s">
        <v>1580</v>
      </c>
      <c r="H124" s="1006"/>
      <c r="I124" s="1006"/>
      <c r="J124" s="1006"/>
      <c r="K124" s="1055"/>
      <c r="L124" s="1056"/>
      <c r="M124" s="1057"/>
      <c r="N124" s="1305"/>
      <c r="O124" s="1305"/>
      <c r="P124" s="1717"/>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3"/>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7"/>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7"/>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3"/>
      <c r="Q128" s="1300"/>
    </row>
    <row r="129" ht="15.75" spans="1:17">
      <c r="A129" s="1002"/>
      <c r="B129" s="1007"/>
      <c r="C129" s="1015"/>
      <c r="D129" s="1015"/>
      <c r="E129" s="1015"/>
      <c r="F129" s="1015"/>
      <c r="G129" s="1004"/>
      <c r="H129" s="1004"/>
      <c r="I129" s="1004"/>
      <c r="J129" s="1004"/>
      <c r="K129" s="1004"/>
      <c r="L129" s="1004"/>
      <c r="M129" s="1053"/>
      <c r="N129" s="1307"/>
      <c r="O129" s="1307"/>
      <c r="P129" s="1713"/>
      <c r="Q129" s="1300"/>
    </row>
    <row r="130" ht="15.75" spans="1:17">
      <c r="A130" s="1036"/>
      <c r="B130" s="1009">
        <f>B46</f>
        <v>111</v>
      </c>
      <c r="C130" s="1013"/>
      <c r="D130" s="1013"/>
      <c r="E130" s="1013"/>
      <c r="F130" s="1013"/>
      <c r="G130" s="1031"/>
      <c r="H130" s="1031"/>
      <c r="I130" s="1031"/>
      <c r="J130" s="1031"/>
      <c r="K130" s="997"/>
      <c r="L130" s="1043"/>
      <c r="M130" s="1086"/>
      <c r="N130" s="1305"/>
      <c r="O130" s="1305"/>
      <c r="P130" s="1713"/>
      <c r="Q130" s="1300"/>
    </row>
    <row r="131" ht="15.75" spans="1:17">
      <c r="A131" s="1312"/>
      <c r="B131" s="1019"/>
      <c r="C131" s="1020"/>
      <c r="D131" s="1020"/>
      <c r="E131" s="1020"/>
      <c r="F131" s="1020"/>
      <c r="G131" s="1032"/>
      <c r="H131" s="1032"/>
      <c r="I131" s="1032"/>
      <c r="J131" s="1032"/>
      <c r="K131" s="1032"/>
      <c r="L131" s="1032"/>
      <c r="M131" s="1087"/>
      <c r="N131" s="1307"/>
      <c r="O131" s="1307"/>
      <c r="P131" s="1713"/>
      <c r="Q131" s="1300"/>
    </row>
    <row r="136" ht="15" spans="2:2">
      <c r="B136" s="1724" t="s">
        <v>1829</v>
      </c>
    </row>
    <row r="137" ht="15" spans="2:11">
      <c r="B137" s="1725" t="s">
        <v>1830</v>
      </c>
      <c r="C137" s="1726"/>
      <c r="D137" s="1726"/>
      <c r="E137" s="1726"/>
      <c r="F137" s="1726"/>
      <c r="G137" s="1727"/>
      <c r="H137" s="1728"/>
      <c r="I137" s="1751" t="s">
        <v>1831</v>
      </c>
      <c r="J137" s="1726"/>
      <c r="K137" s="1752"/>
    </row>
    <row r="138" ht="15" spans="2:11">
      <c r="B138" s="1729"/>
      <c r="C138" s="1730" t="s">
        <v>1832</v>
      </c>
      <c r="D138" s="1730" t="s">
        <v>1833</v>
      </c>
      <c r="E138" s="1731" t="s">
        <v>1834</v>
      </c>
      <c r="F138" s="1732" t="s">
        <v>1835</v>
      </c>
      <c r="G138" s="1730" t="s">
        <v>1833</v>
      </c>
      <c r="H138" s="1733" t="s">
        <v>1834</v>
      </c>
      <c r="I138" s="1753"/>
      <c r="J138" s="1730" t="s">
        <v>1836</v>
      </c>
      <c r="K138" s="1733" t="s">
        <v>1837</v>
      </c>
    </row>
    <row r="139" ht="15" spans="2:11">
      <c r="B139" s="1734">
        <v>6</v>
      </c>
      <c r="C139" s="1735">
        <v>96</v>
      </c>
      <c r="D139" s="1736" t="s">
        <v>1838</v>
      </c>
      <c r="E139" s="1737">
        <v>100</v>
      </c>
      <c r="F139" s="1738">
        <v>102.5</v>
      </c>
      <c r="G139" s="1736" t="s">
        <v>1838</v>
      </c>
      <c r="H139" s="1739">
        <v>105</v>
      </c>
      <c r="I139" s="1754" t="s">
        <v>1839</v>
      </c>
      <c r="J139" s="1735">
        <v>20</v>
      </c>
      <c r="K139" s="1755">
        <f>C145/(J139-2)</f>
        <v>0.00405555555555556</v>
      </c>
    </row>
    <row r="140" ht="15" spans="2:11">
      <c r="B140" s="1740">
        <v>5</v>
      </c>
      <c r="C140" s="1741">
        <v>100</v>
      </c>
      <c r="D140" s="1741"/>
      <c r="E140" s="1742"/>
      <c r="F140" s="1743">
        <v>102</v>
      </c>
      <c r="G140" s="1741"/>
      <c r="H140" s="1744"/>
      <c r="I140" s="1756" t="s">
        <v>1840</v>
      </c>
      <c r="J140" s="473">
        <f>ROUNDUP((J139-1)/2,0)</f>
        <v>10</v>
      </c>
      <c r="K140" s="1757">
        <v>100</v>
      </c>
    </row>
    <row r="141" ht="15" spans="2:11">
      <c r="B141" s="1740">
        <v>4</v>
      </c>
      <c r="C141" s="1741">
        <v>102</v>
      </c>
      <c r="D141" s="1741"/>
      <c r="E141" s="1742"/>
      <c r="F141" s="1743">
        <v>101.5</v>
      </c>
      <c r="G141" s="1741"/>
      <c r="H141" s="1744"/>
      <c r="I141" s="1756" t="s">
        <v>1841</v>
      </c>
      <c r="J141" s="473">
        <v>1</v>
      </c>
      <c r="K141" s="1758">
        <f>ROUND(100+(J141-J140)*K139*100,1)</f>
        <v>96.4</v>
      </c>
    </row>
    <row r="142" ht="15" spans="2:11">
      <c r="B142" s="1740">
        <v>3</v>
      </c>
      <c r="C142" s="1741">
        <v>103</v>
      </c>
      <c r="D142" s="1741"/>
      <c r="E142" s="1742"/>
      <c r="F142" s="1743">
        <v>101</v>
      </c>
      <c r="G142" s="1741"/>
      <c r="H142" s="1744"/>
      <c r="I142" s="1756" t="s">
        <v>1842</v>
      </c>
      <c r="J142" s="473">
        <f>J139</f>
        <v>20</v>
      </c>
      <c r="K142" s="1759">
        <v>95</v>
      </c>
    </row>
    <row r="143" ht="15" spans="2:11">
      <c r="B143" s="1740">
        <v>2</v>
      </c>
      <c r="C143" s="1741">
        <v>100</v>
      </c>
      <c r="D143" s="1741"/>
      <c r="E143" s="1742"/>
      <c r="F143" s="1743">
        <v>100.5</v>
      </c>
      <c r="G143" s="1741"/>
      <c r="H143" s="1744"/>
      <c r="I143" s="1756" t="s">
        <v>1843</v>
      </c>
      <c r="J143" s="1741">
        <v>15</v>
      </c>
      <c r="K143" s="1758">
        <f>ROUND(100+(J143-J140)*K139*100,1)</f>
        <v>102</v>
      </c>
    </row>
    <row r="144" ht="15" spans="2:11">
      <c r="B144" s="1740">
        <v>1</v>
      </c>
      <c r="C144" s="1741">
        <v>98</v>
      </c>
      <c r="D144" s="1745" t="s">
        <v>1844</v>
      </c>
      <c r="E144" s="1742">
        <v>102</v>
      </c>
      <c r="F144" s="1746">
        <v>100</v>
      </c>
      <c r="G144" s="1745" t="s">
        <v>1844</v>
      </c>
      <c r="H144" s="1744">
        <v>105</v>
      </c>
      <c r="I144" s="1756" t="s">
        <v>1843</v>
      </c>
      <c r="J144" s="1741">
        <v>18</v>
      </c>
      <c r="K144" s="1758">
        <f>ROUND(100+(J144-J140)*K139*100,1)</f>
        <v>103.2</v>
      </c>
    </row>
    <row r="145" ht="15.75" spans="2:11">
      <c r="B145" s="1747" t="s">
        <v>1845</v>
      </c>
      <c r="C145" s="1748">
        <f>ROUND(MAX(C139:C144)/MIN(C139:C144)-1,3)</f>
        <v>0.073</v>
      </c>
      <c r="D145" s="1749"/>
      <c r="E145" s="1749"/>
      <c r="F145" s="1750" t="s">
        <v>1846</v>
      </c>
      <c r="G145" s="1353"/>
      <c r="H145" s="1358"/>
      <c r="I145" s="1760" t="s">
        <v>1843</v>
      </c>
      <c r="J145" s="1761">
        <v>8</v>
      </c>
      <c r="K145" s="1762">
        <f>ROUND(100+(J145-J140)*K139*100,1)</f>
        <v>99.2</v>
      </c>
    </row>
    <row r="147" spans="2:2">
      <c r="B147" s="1724" t="s">
        <v>1847</v>
      </c>
    </row>
    <row r="148" spans="2:2">
      <c r="B148" s="1724" t="s">
        <v>1848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1849</v>
      </c>
      <c r="C1" s="1198" t="s">
        <v>1765</v>
      </c>
      <c r="D1" s="1141"/>
      <c r="E1" s="1660"/>
      <c r="F1" s="1143"/>
      <c r="G1" s="1144" t="s">
        <v>1766</v>
      </c>
      <c r="H1" s="1145"/>
      <c r="I1" s="1145"/>
      <c r="J1" s="1145"/>
      <c r="K1" s="1196"/>
      <c r="L1" s="1197"/>
      <c r="M1" s="1198"/>
      <c r="N1" s="1198"/>
      <c r="O1" s="1198"/>
      <c r="P1" s="1665"/>
      <c r="Q1" s="1674"/>
      <c r="R1" s="1674"/>
      <c r="S1" s="1674"/>
      <c r="T1" s="1674"/>
      <c r="U1" s="1674"/>
      <c r="V1" s="1674"/>
      <c r="W1" s="1674"/>
      <c r="X1" s="1674"/>
      <c r="Y1" s="1674"/>
      <c r="Z1" s="1674"/>
      <c r="AA1" s="1674"/>
      <c r="AB1" s="1674"/>
      <c r="AC1" s="1675"/>
    </row>
    <row r="2" s="710" customFormat="1" ht="28.5" customHeight="1" spans="1:29">
      <c r="A2" s="1146" t="s">
        <v>1069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1666"/>
      <c r="Q2" s="1280"/>
      <c r="R2" s="1280"/>
      <c r="S2" s="1280"/>
      <c r="T2" s="1280"/>
      <c r="U2" s="1280"/>
      <c r="V2" s="1280"/>
      <c r="W2" s="1280"/>
      <c r="X2" s="1280"/>
      <c r="Y2" s="1280"/>
      <c r="Z2" s="1280"/>
      <c r="AA2" s="1280"/>
      <c r="AB2" s="1280"/>
      <c r="AC2" s="1676"/>
    </row>
    <row r="3" s="710" customFormat="1" ht="28.5" customHeight="1" spans="1:29">
      <c r="A3" s="396" t="s">
        <v>1071</v>
      </c>
      <c r="B3" s="728">
        <f ca="1">IF(C2="——",C49,ROUND(B2*10000/D3,0))</f>
        <v>0</v>
      </c>
      <c r="C3" s="1151" t="s">
        <v>1414</v>
      </c>
      <c r="D3" s="1152">
        <f>IF(D1="",'数据-汇总表'!E3,SUMIF('数据-汇总表'!$C19:$C33,D1,'数据-汇总表'!$E19:$E33))</f>
        <v>695.5</v>
      </c>
      <c r="E3" s="1321"/>
      <c r="F3" s="727"/>
      <c r="G3" s="726"/>
      <c r="H3" s="726"/>
      <c r="I3" s="726"/>
      <c r="J3" s="726"/>
      <c r="K3" s="892"/>
      <c r="L3" s="893"/>
      <c r="M3" s="894"/>
      <c r="N3" s="894"/>
      <c r="O3" s="894"/>
      <c r="P3" s="1666"/>
      <c r="Q3" s="1280"/>
      <c r="R3" s="1280"/>
      <c r="S3" s="1280"/>
      <c r="T3" s="1280"/>
      <c r="U3" s="1280"/>
      <c r="V3" s="1280"/>
      <c r="W3" s="1280"/>
      <c r="X3" s="1280"/>
      <c r="Y3" s="1280"/>
      <c r="Z3" s="1280"/>
      <c r="AA3" s="1280"/>
      <c r="AB3" s="1280"/>
      <c r="AC3" s="1321"/>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37"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3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46" si="3">D8/F8</f>
        <v>1</v>
      </c>
      <c r="AB8" s="978">
        <f t="shared" ref="AB8:AB46" si="4">D8/H8</f>
        <v>1</v>
      </c>
      <c r="AC8" s="978">
        <f t="shared" ref="AC8:AC46" si="5">D8/J8</f>
        <v>1</v>
      </c>
    </row>
    <row r="9" s="711" customFormat="1" spans="1:29">
      <c r="A9" s="756" t="s">
        <v>1785</v>
      </c>
      <c r="B9" s="757" t="s">
        <v>1786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68.25" spans="1:29">
      <c r="A15" s="778" t="s">
        <v>1791</v>
      </c>
      <c r="B15" s="1106" t="s">
        <v>1850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1" t="s">
        <v>1793</v>
      </c>
      <c r="Q15" s="863" t="str">
        <f t="shared" si="6"/>
        <v>商业繁华度</v>
      </c>
      <c r="R15" s="964" t="s">
        <v>1782</v>
      </c>
      <c r="S15" s="965">
        <f t="shared" si="0"/>
        <v>100</v>
      </c>
      <c r="T15" s="964" t="s">
        <v>1782</v>
      </c>
      <c r="U15" s="965">
        <f t="shared" si="1"/>
        <v>100</v>
      </c>
      <c r="V15" s="964" t="s">
        <v>1782</v>
      </c>
      <c r="W15" s="965">
        <f t="shared" si="2"/>
        <v>100</v>
      </c>
      <c r="X15" s="951"/>
      <c r="Y15" s="915" t="s">
        <v>1793</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2"/>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2"/>
      <c r="Q22" s="863"/>
      <c r="R22" s="964"/>
      <c r="S22" s="965"/>
      <c r="T22" s="964"/>
      <c r="U22" s="965"/>
      <c r="V22" s="964"/>
      <c r="W22" s="965"/>
      <c r="X22" s="951"/>
      <c r="Y22" s="916"/>
      <c r="Z22" s="937"/>
      <c r="AA22" s="980">
        <v>1</v>
      </c>
      <c r="AB22" s="980">
        <v>1</v>
      </c>
      <c r="AC22" s="980">
        <v>1</v>
      </c>
    </row>
    <row r="23" ht="54" spans="1:29">
      <c r="A23" s="764"/>
      <c r="B23" s="1109" t="s">
        <v>1797</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1851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2"/>
      <c r="Q25" s="863" t="str">
        <f t="shared" ref="Q25:Q46" si="11">B25</f>
        <v>临街状况</v>
      </c>
      <c r="R25" s="964" t="s">
        <v>1782</v>
      </c>
      <c r="S25" s="965">
        <f>F25</f>
        <v>100</v>
      </c>
      <c r="T25" s="964" t="s">
        <v>1782</v>
      </c>
      <c r="U25" s="965">
        <f>H25</f>
        <v>100</v>
      </c>
      <c r="V25" s="964" t="s">
        <v>1782</v>
      </c>
      <c r="W25" s="965">
        <f>J25</f>
        <v>100</v>
      </c>
      <c r="X25" s="951"/>
      <c r="Y25" s="916"/>
      <c r="Z25" s="937" t="str">
        <f>Q25</f>
        <v>临街状况</v>
      </c>
      <c r="AA25" s="980">
        <f t="shared" si="3"/>
        <v>1</v>
      </c>
      <c r="AB25" s="980">
        <f t="shared" si="4"/>
        <v>1</v>
      </c>
      <c r="AC25" s="980">
        <f t="shared" si="5"/>
        <v>1</v>
      </c>
    </row>
    <row r="26" ht="15" spans="1:29">
      <c r="A26" s="764"/>
      <c r="B26" s="1115" t="s">
        <v>1852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2"/>
      <c r="Q26" s="863" t="str">
        <f t="shared" si="11"/>
        <v>平面位置/可视性</v>
      </c>
      <c r="R26" s="964" t="s">
        <v>1782</v>
      </c>
      <c r="S26" s="965">
        <f>F26</f>
        <v>100</v>
      </c>
      <c r="T26" s="964" t="s">
        <v>1782</v>
      </c>
      <c r="U26" s="965">
        <f>H26</f>
        <v>100</v>
      </c>
      <c r="V26" s="964" t="s">
        <v>1782</v>
      </c>
      <c r="W26" s="965">
        <f>J26</f>
        <v>100</v>
      </c>
      <c r="X26" s="951"/>
      <c r="Y26" s="916"/>
      <c r="Z26" s="937" t="str">
        <f>Q26</f>
        <v>平面位置/可视性</v>
      </c>
      <c r="AA26" s="980">
        <f t="shared" si="3"/>
        <v>1</v>
      </c>
      <c r="AB26" s="980">
        <f t="shared" si="4"/>
        <v>1</v>
      </c>
      <c r="AC26" s="980">
        <f t="shared" si="5"/>
        <v>1</v>
      </c>
    </row>
    <row r="27" s="711" customFormat="1" ht="15" spans="1:29">
      <c r="A27" s="767"/>
      <c r="B27" s="1109" t="s">
        <v>1853</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2"/>
      <c r="Q27" s="963" t="str">
        <f t="shared" si="11"/>
        <v>人流量</v>
      </c>
      <c r="R27" s="959" t="s">
        <v>1782</v>
      </c>
      <c r="S27" s="960">
        <f>F27</f>
        <v>100</v>
      </c>
      <c r="T27" s="959" t="s">
        <v>1782</v>
      </c>
      <c r="U27" s="960">
        <f>H27</f>
        <v>100</v>
      </c>
      <c r="V27" s="959" t="s">
        <v>1782</v>
      </c>
      <c r="W27" s="960">
        <f>J27</f>
        <v>100</v>
      </c>
      <c r="X27" s="961"/>
      <c r="Y27" s="916"/>
      <c r="Z27" s="979" t="str">
        <f>Q27</f>
        <v>人流量</v>
      </c>
      <c r="AA27" s="980">
        <f t="shared" si="3"/>
        <v>1</v>
      </c>
      <c r="AB27" s="980">
        <f t="shared" si="4"/>
        <v>1</v>
      </c>
      <c r="AC27" s="980">
        <f t="shared" si="5"/>
        <v>1</v>
      </c>
    </row>
    <row r="28" ht="15" spans="1:29">
      <c r="A28" s="764"/>
      <c r="B28" s="761" t="s">
        <v>1854</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2"/>
      <c r="Q28" s="863" t="str">
        <f t="shared" si="11"/>
        <v>楼层</v>
      </c>
      <c r="R28" s="964" t="s">
        <v>1782</v>
      </c>
      <c r="S28" s="965">
        <f t="shared" ref="S28:S46" si="12">F28</f>
        <v>100</v>
      </c>
      <c r="T28" s="964" t="s">
        <v>1782</v>
      </c>
      <c r="U28" s="965">
        <f t="shared" ref="U28:U46" si="13">H28</f>
        <v>100</v>
      </c>
      <c r="V28" s="964" t="s">
        <v>1782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980">
        <f t="shared" si="5"/>
        <v>1</v>
      </c>
    </row>
    <row r="32" ht="15" spans="1:29">
      <c r="A32" s="778" t="s">
        <v>1800</v>
      </c>
      <c r="B32" s="757" t="s">
        <v>1855</v>
      </c>
      <c r="C32" s="1661"/>
      <c r="D32" s="814">
        <v>100</v>
      </c>
      <c r="E32" s="1661"/>
      <c r="F32" s="1164">
        <f>SUMIF(100:100,E32,101:101)-SUMIF(100:100,C32,101:101)+100</f>
        <v>100</v>
      </c>
      <c r="G32" s="1661"/>
      <c r="H32" s="773">
        <f>SUMIF(100:100,G32,101:101)-SUMIF(100:100,C32,101:101)+100</f>
        <v>100</v>
      </c>
      <c r="I32" s="1661"/>
      <c r="J32" s="814">
        <f>SUMIF(100:100,I32,101:101)-SUMIF(100:100,C32,101:101)+100</f>
        <v>100</v>
      </c>
      <c r="K32" s="921"/>
      <c r="L32" s="913"/>
      <c r="M32" s="897"/>
      <c r="N32" s="897"/>
      <c r="O32" s="897"/>
      <c r="P32" s="1343" t="s">
        <v>1802</v>
      </c>
      <c r="Q32" s="863" t="str">
        <f t="shared" si="11"/>
        <v>商业类型</v>
      </c>
      <c r="R32" s="964" t="s">
        <v>1782</v>
      </c>
      <c r="S32" s="965">
        <f t="shared" si="12"/>
        <v>100</v>
      </c>
      <c r="T32" s="964" t="s">
        <v>1782</v>
      </c>
      <c r="U32" s="965">
        <f t="shared" si="13"/>
        <v>100</v>
      </c>
      <c r="V32" s="964" t="s">
        <v>1782</v>
      </c>
      <c r="W32" s="965">
        <f t="shared" si="14"/>
        <v>100</v>
      </c>
      <c r="X32" s="951"/>
      <c r="Y32" s="925" t="s">
        <v>1802</v>
      </c>
      <c r="Z32" s="937" t="str">
        <f t="shared" si="15"/>
        <v>商业类型</v>
      </c>
      <c r="AA32" s="980">
        <f t="shared" si="3"/>
        <v>1</v>
      </c>
      <c r="AB32" s="980">
        <f t="shared" si="4"/>
        <v>1</v>
      </c>
      <c r="AC32" s="980">
        <f t="shared" si="5"/>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1804</v>
      </c>
      <c r="C34" s="1662"/>
      <c r="D34" s="773">
        <v>100</v>
      </c>
      <c r="E34" s="1662"/>
      <c r="F34" s="1164">
        <f>SUMIF(105:105,E34,106:106)-SUMIF(105:105,C34,106:106)+100</f>
        <v>100</v>
      </c>
      <c r="G34" s="1662"/>
      <c r="H34" s="773">
        <f>SUMIF(105:105,G34,106:106)-SUMIF(105:105,C34,106:106)+100</f>
        <v>100</v>
      </c>
      <c r="I34" s="1662"/>
      <c r="J34" s="773">
        <f>SUMIF(105:105,I34,106:106)-SUMIF(105:105,C34,106:106)+100</f>
        <v>100</v>
      </c>
      <c r="K34" s="921"/>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5"/>
        <v>建筑结构</v>
      </c>
      <c r="AA34" s="980">
        <f t="shared" si="3"/>
        <v>1</v>
      </c>
      <c r="AB34" s="980">
        <f t="shared" si="4"/>
        <v>1</v>
      </c>
      <c r="AC34" s="980">
        <f t="shared" si="5"/>
        <v>1</v>
      </c>
    </row>
    <row r="35" ht="15" spans="1:29">
      <c r="A35" s="815"/>
      <c r="B35" s="761" t="s">
        <v>1806</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4"/>
      <c r="Q35" s="863" t="str">
        <f t="shared" si="11"/>
        <v>公共部分装修</v>
      </c>
      <c r="R35" s="964" t="s">
        <v>1782</v>
      </c>
      <c r="S35" s="965">
        <f t="shared" si="12"/>
        <v>100</v>
      </c>
      <c r="T35" s="964" t="s">
        <v>1782</v>
      </c>
      <c r="U35" s="965">
        <f t="shared" si="13"/>
        <v>100</v>
      </c>
      <c r="V35" s="964" t="s">
        <v>1782</v>
      </c>
      <c r="W35" s="965">
        <f t="shared" si="14"/>
        <v>100</v>
      </c>
      <c r="X35" s="951"/>
      <c r="Y35" s="925"/>
      <c r="Z35" s="937" t="str">
        <f t="shared" si="15"/>
        <v>公共部分装修</v>
      </c>
      <c r="AA35" s="980">
        <f t="shared" si="3"/>
        <v>1</v>
      </c>
      <c r="AB35" s="980">
        <f t="shared" si="4"/>
        <v>1</v>
      </c>
      <c r="AC35" s="980">
        <f t="shared" si="5"/>
        <v>1</v>
      </c>
    </row>
    <row r="36" ht="15" spans="1:29">
      <c r="A36" s="815"/>
      <c r="B36" s="761" t="s">
        <v>646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4"/>
      <c r="Q36" s="863" t="str">
        <f t="shared" si="11"/>
        <v>成新度</v>
      </c>
      <c r="R36" s="964" t="s">
        <v>1782</v>
      </c>
      <c r="S36" s="965" t="e">
        <f t="shared" si="12"/>
        <v>#N/A</v>
      </c>
      <c r="T36" s="964" t="s">
        <v>1782</v>
      </c>
      <c r="U36" s="965" t="e">
        <f t="shared" si="13"/>
        <v>#N/A</v>
      </c>
      <c r="V36" s="964" t="s">
        <v>1782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4"/>
      <c r="Q37" s="963" t="str">
        <f t="shared" si="11"/>
        <v>市政基础设施</v>
      </c>
      <c r="R37" s="959" t="s">
        <v>1782</v>
      </c>
      <c r="S37" s="960">
        <f t="shared" si="12"/>
        <v>100</v>
      </c>
      <c r="T37" s="959" t="s">
        <v>1782</v>
      </c>
      <c r="U37" s="960">
        <f t="shared" si="13"/>
        <v>100</v>
      </c>
      <c r="V37" s="959" t="s">
        <v>1782</v>
      </c>
      <c r="W37" s="960">
        <f t="shared" si="14"/>
        <v>100</v>
      </c>
      <c r="X37" s="961"/>
      <c r="Y37" s="925"/>
      <c r="Z37" s="979" t="str">
        <f t="shared" si="15"/>
        <v>市政基础设施</v>
      </c>
      <c r="AA37" s="978">
        <f t="shared" si="3"/>
        <v>1</v>
      </c>
      <c r="AB37" s="978">
        <f t="shared" si="4"/>
        <v>1</v>
      </c>
      <c r="AC37" s="978">
        <f t="shared" si="5"/>
        <v>1</v>
      </c>
    </row>
    <row r="38" ht="15" spans="1:29">
      <c r="A38" s="815"/>
      <c r="B38" s="761" t="s">
        <v>1856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4" t="s">
        <v>1802</v>
      </c>
      <c r="Q38" s="863" t="str">
        <f t="shared" si="11"/>
        <v>业态</v>
      </c>
      <c r="R38" s="964" t="s">
        <v>1782</v>
      </c>
      <c r="S38" s="965">
        <f t="shared" si="12"/>
        <v>100</v>
      </c>
      <c r="T38" s="964" t="s">
        <v>1782</v>
      </c>
      <c r="U38" s="965">
        <f t="shared" si="13"/>
        <v>100</v>
      </c>
      <c r="V38" s="964" t="s">
        <v>1782</v>
      </c>
      <c r="W38" s="965">
        <f t="shared" si="14"/>
        <v>100</v>
      </c>
      <c r="X38" s="951"/>
      <c r="Y38" s="925" t="s">
        <v>1802</v>
      </c>
      <c r="Z38" s="937" t="str">
        <f t="shared" si="15"/>
        <v>业态</v>
      </c>
      <c r="AA38" s="980">
        <f t="shared" si="3"/>
        <v>1</v>
      </c>
      <c r="AB38" s="980">
        <f t="shared" si="4"/>
        <v>1</v>
      </c>
      <c r="AC38" s="980">
        <f t="shared" si="5"/>
        <v>1</v>
      </c>
    </row>
    <row r="39" ht="15" spans="1:29">
      <c r="A39" s="815"/>
      <c r="B39" s="761" t="s">
        <v>1857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4"/>
      <c r="Q39" s="863" t="str">
        <f t="shared" si="11"/>
        <v>层高</v>
      </c>
      <c r="R39" s="964" t="s">
        <v>1782</v>
      </c>
      <c r="S39" s="965">
        <f t="shared" si="12"/>
        <v>100</v>
      </c>
      <c r="T39" s="964" t="s">
        <v>1782</v>
      </c>
      <c r="U39" s="965">
        <f t="shared" si="13"/>
        <v>100</v>
      </c>
      <c r="V39" s="964" t="s">
        <v>1782</v>
      </c>
      <c r="W39" s="965">
        <f t="shared" si="14"/>
        <v>100</v>
      </c>
      <c r="X39" s="951"/>
      <c r="Y39" s="925"/>
      <c r="Z39" s="937" t="str">
        <f t="shared" si="15"/>
        <v>层高</v>
      </c>
      <c r="AA39" s="980">
        <f t="shared" si="3"/>
        <v>1</v>
      </c>
      <c r="AB39" s="980">
        <f t="shared" si="4"/>
        <v>1</v>
      </c>
      <c r="AC39" s="980">
        <f t="shared" si="5"/>
        <v>1</v>
      </c>
    </row>
    <row r="40" ht="15" spans="1:29">
      <c r="A40" s="815"/>
      <c r="B40" s="761" t="s">
        <v>1858</v>
      </c>
      <c r="C40" s="1663"/>
      <c r="D40" s="773">
        <v>100</v>
      </c>
      <c r="E40" s="1664"/>
      <c r="F40" s="1164">
        <f>SUMIF(118:118,E40,119:119)-SUMIF(118:118,C40,119:119)+100</f>
        <v>100</v>
      </c>
      <c r="G40" s="1664"/>
      <c r="H40" s="773">
        <f>SUMIF(118:118,G40,119:119)-SUMIF(118:118,C40,119:119)+100</f>
        <v>100</v>
      </c>
      <c r="I40" s="1664"/>
      <c r="J40" s="773">
        <f>SUMIF(118:118,I40,119:119)-SUMIF(118:118,C40,119:119)+100</f>
        <v>100</v>
      </c>
      <c r="K40" s="920"/>
      <c r="L40" s="913"/>
      <c r="M40" s="897"/>
      <c r="N40" s="897"/>
      <c r="O40" s="897"/>
      <c r="P40" s="1344"/>
      <c r="Q40" s="863" t="str">
        <f t="shared" si="11"/>
        <v>单套建筑面积</v>
      </c>
      <c r="R40" s="964" t="s">
        <v>1782</v>
      </c>
      <c r="S40" s="965">
        <f t="shared" si="12"/>
        <v>100</v>
      </c>
      <c r="T40" s="964" t="s">
        <v>1782</v>
      </c>
      <c r="U40" s="965">
        <f t="shared" si="13"/>
        <v>100</v>
      </c>
      <c r="V40" s="964" t="s">
        <v>1782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4"/>
      <c r="Q41" s="1203" t="str">
        <f t="shared" si="11"/>
        <v>进深比</v>
      </c>
      <c r="R41" s="966" t="s">
        <v>1782</v>
      </c>
      <c r="S41" s="967">
        <f t="shared" si="12"/>
        <v>100</v>
      </c>
      <c r="T41" s="966" t="s">
        <v>1782</v>
      </c>
      <c r="U41" s="967">
        <f t="shared" si="13"/>
        <v>100</v>
      </c>
      <c r="V41" s="966" t="s">
        <v>1782</v>
      </c>
      <c r="W41" s="967">
        <f t="shared" si="14"/>
        <v>100</v>
      </c>
      <c r="X41" s="968"/>
      <c r="Y41" s="925"/>
      <c r="Z41" s="981" t="str">
        <f t="shared" si="15"/>
        <v>进深比</v>
      </c>
      <c r="AA41" s="980">
        <f t="shared" si="3"/>
        <v>1</v>
      </c>
      <c r="AB41" s="980">
        <f t="shared" si="4"/>
        <v>1</v>
      </c>
      <c r="AC41" s="980">
        <f t="shared" si="5"/>
        <v>1</v>
      </c>
    </row>
    <row r="42" ht="15" spans="1:29">
      <c r="A42" s="815"/>
      <c r="B42" s="761" t="s">
        <v>1811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5"/>
        <v>内部装修</v>
      </c>
      <c r="AA42" s="980">
        <f t="shared" si="3"/>
        <v>1</v>
      </c>
      <c r="AB42" s="980">
        <f t="shared" si="4"/>
        <v>1</v>
      </c>
      <c r="AC42" s="980">
        <f t="shared" si="5"/>
        <v>1</v>
      </c>
    </row>
    <row r="43" ht="15" spans="1:29">
      <c r="A43" s="815"/>
      <c r="B43" s="761" t="s">
        <v>1812</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5"/>
        <v>111</v>
      </c>
      <c r="AA46" s="980">
        <f t="shared" si="3"/>
        <v>1</v>
      </c>
      <c r="AB46" s="980">
        <f t="shared" si="4"/>
        <v>1</v>
      </c>
      <c r="AC46" s="980">
        <f t="shared" si="5"/>
        <v>1</v>
      </c>
    </row>
    <row r="47" ht="15" spans="1:29">
      <c r="A47" s="822" t="s">
        <v>1813</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7"/>
      <c r="Q51" s="839"/>
      <c r="R51" s="839"/>
      <c r="S51" s="839"/>
      <c r="T51" s="839"/>
      <c r="U51" s="839"/>
      <c r="V51" s="839"/>
      <c r="W51" s="839"/>
      <c r="X51" s="839"/>
      <c r="Y51" s="839"/>
      <c r="Z51" s="839"/>
      <c r="AA51" s="839"/>
      <c r="AB51" s="839"/>
      <c r="AC51" s="839"/>
    </row>
    <row r="52" ht="13.5" customHeight="1" spans="1:29">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7"/>
      <c r="Q52" s="839"/>
      <c r="R52" s="839"/>
      <c r="S52" s="839"/>
      <c r="T52" s="839"/>
      <c r="U52" s="839"/>
      <c r="V52" s="839"/>
      <c r="W52" s="839"/>
      <c r="X52" s="839"/>
      <c r="Y52" s="839"/>
      <c r="Z52" s="839"/>
      <c r="AA52" s="839"/>
      <c r="AB52" s="839"/>
      <c r="AC52" s="839"/>
    </row>
    <row r="53" ht="13.5" customHeight="1" spans="1:29">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7"/>
      <c r="Q53" s="839"/>
      <c r="R53" s="839"/>
      <c r="S53" s="839"/>
      <c r="T53" s="839"/>
      <c r="U53" s="839"/>
      <c r="V53" s="839"/>
      <c r="W53" s="839"/>
      <c r="X53" s="839"/>
      <c r="Y53" s="839"/>
      <c r="Z53" s="839"/>
      <c r="AA53" s="839"/>
      <c r="AB53" s="839"/>
      <c r="AC53" s="839"/>
    </row>
    <row r="54" s="714" customFormat="1" ht="13.5" customHeight="1" spans="1:29">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7"/>
      <c r="Q56" s="839"/>
      <c r="R56" s="839"/>
      <c r="S56" s="839"/>
      <c r="T56" s="839"/>
      <c r="U56" s="839"/>
      <c r="V56" s="839"/>
      <c r="W56" s="839"/>
      <c r="X56" s="839"/>
      <c r="Y56" s="839"/>
      <c r="Z56" s="839"/>
      <c r="AA56" s="839"/>
      <c r="AB56" s="839"/>
      <c r="AC56" s="839"/>
    </row>
    <row r="57" ht="21" spans="1:29">
      <c r="A57" s="884" t="s">
        <v>1820</v>
      </c>
      <c r="B57" s="885"/>
      <c r="C57" s="886"/>
      <c r="D57" s="886"/>
      <c r="E57" s="886"/>
      <c r="F57" s="887"/>
      <c r="G57" s="887"/>
      <c r="H57" s="886"/>
      <c r="I57" s="886"/>
      <c r="J57" s="886"/>
      <c r="K57" s="944"/>
      <c r="L57" s="1134"/>
      <c r="M57" s="946"/>
      <c r="N57" s="946"/>
      <c r="O57" s="946"/>
      <c r="P57" s="1669"/>
      <c r="Q57" s="972"/>
      <c r="R57" s="839"/>
      <c r="S57" s="839"/>
      <c r="T57" s="839"/>
      <c r="U57" s="839"/>
      <c r="V57" s="839"/>
      <c r="W57" s="839"/>
      <c r="X57" s="839"/>
      <c r="Y57" s="839"/>
      <c r="Z57" s="839"/>
      <c r="AA57" s="839"/>
      <c r="AB57" s="839"/>
      <c r="AC57" s="839"/>
    </row>
    <row r="58" s="716" customFormat="1" ht="15" spans="1:29">
      <c r="A58" s="1190" t="s">
        <v>1780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7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71"/>
      <c r="Q59" s="1095"/>
      <c r="R59" s="1095"/>
      <c r="S59" s="1095"/>
      <c r="T59" s="1095"/>
      <c r="U59" s="1095"/>
      <c r="V59" s="1095"/>
      <c r="W59" s="1095"/>
      <c r="X59" s="1095"/>
      <c r="Y59" s="1095"/>
      <c r="Z59" s="1095"/>
      <c r="AA59" s="1095"/>
      <c r="AB59" s="1095"/>
      <c r="AC59" s="1095"/>
    </row>
    <row r="60" s="711" customFormat="1" ht="15.75" spans="1:29">
      <c r="A60" s="990" t="s">
        <v>1821</v>
      </c>
      <c r="B60" s="991"/>
      <c r="C60" s="992"/>
      <c r="D60" s="993"/>
      <c r="E60" s="993"/>
      <c r="F60" s="993"/>
      <c r="G60" s="993"/>
      <c r="H60" s="993"/>
      <c r="I60" s="993"/>
      <c r="J60" s="993"/>
      <c r="K60" s="993"/>
      <c r="L60" s="993"/>
      <c r="M60" s="1041"/>
      <c r="N60" s="993"/>
      <c r="O60" s="1041"/>
      <c r="P60" s="1671"/>
      <c r="Q60" s="972"/>
      <c r="R60" s="1095"/>
      <c r="S60" s="1095"/>
      <c r="T60" s="1095"/>
      <c r="U60" s="1095"/>
      <c r="V60" s="1095"/>
      <c r="W60" s="1095"/>
      <c r="X60" s="1095"/>
      <c r="Y60" s="1095"/>
      <c r="Z60" s="1095"/>
      <c r="AA60" s="1095"/>
      <c r="AB60" s="1095"/>
      <c r="AC60" s="1095"/>
    </row>
    <row r="61" s="711" customFormat="1" ht="15" spans="1:29">
      <c r="A61" s="994" t="s">
        <v>1783</v>
      </c>
      <c r="B61" s="995"/>
      <c r="C61" s="996" t="s">
        <v>1822</v>
      </c>
      <c r="D61" s="997"/>
      <c r="E61" s="997"/>
      <c r="F61" s="997"/>
      <c r="G61" s="997"/>
      <c r="H61" s="997"/>
      <c r="I61" s="997"/>
      <c r="J61" s="997"/>
      <c r="K61" s="997"/>
      <c r="L61" s="1043"/>
      <c r="M61" s="1044"/>
      <c r="N61" s="1045"/>
      <c r="O61" s="1045"/>
      <c r="P61" s="1672"/>
      <c r="Q61" s="972"/>
      <c r="R61" s="1095"/>
      <c r="S61" s="1095"/>
      <c r="T61" s="1095"/>
      <c r="U61" s="1095"/>
      <c r="V61" s="1095"/>
      <c r="W61" s="1095"/>
      <c r="X61" s="1095"/>
      <c r="Y61" s="1095"/>
      <c r="Z61" s="1095"/>
      <c r="AA61" s="1095"/>
      <c r="AB61" s="1095"/>
      <c r="AC61" s="1095"/>
    </row>
    <row r="62" s="711" customFormat="1" ht="15.75" spans="1:29">
      <c r="A62" s="994"/>
      <c r="B62" s="995"/>
      <c r="C62" s="1336">
        <v>100</v>
      </c>
      <c r="D62" s="999"/>
      <c r="E62" s="999"/>
      <c r="F62" s="999"/>
      <c r="G62" s="999"/>
      <c r="H62" s="999"/>
      <c r="I62" s="999"/>
      <c r="J62" s="999"/>
      <c r="K62" s="999"/>
      <c r="L62" s="999"/>
      <c r="M62" s="1047"/>
      <c r="N62" s="1045"/>
      <c r="O62" s="1045"/>
      <c r="P62" s="1671"/>
      <c r="Q62" s="972"/>
      <c r="R62" s="1095"/>
      <c r="S62" s="1095"/>
      <c r="T62" s="1095"/>
      <c r="U62" s="1095"/>
      <c r="V62" s="1095"/>
      <c r="W62" s="1095"/>
      <c r="X62" s="1095"/>
      <c r="Y62" s="1095"/>
      <c r="Z62" s="1095"/>
      <c r="AA62" s="1095"/>
      <c r="AB62" s="1095"/>
      <c r="AC62" s="1095"/>
    </row>
    <row r="63" spans="1:29">
      <c r="A63" s="1000" t="s">
        <v>1823</v>
      </c>
      <c r="B63" s="1001" t="s">
        <v>1786</v>
      </c>
      <c r="C63" s="1023">
        <f>C9</f>
        <v>0</v>
      </c>
      <c r="D63" s="926"/>
      <c r="E63" s="926"/>
      <c r="F63" s="926"/>
      <c r="G63" s="926"/>
      <c r="H63" s="926"/>
      <c r="I63" s="926"/>
      <c r="J63" s="926"/>
      <c r="K63" s="1048"/>
      <c r="L63" s="1049"/>
      <c r="M63" s="1050"/>
      <c r="N63" s="1051"/>
      <c r="O63" s="1051"/>
      <c r="P63" s="167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3"/>
      <c r="Q64" s="972"/>
      <c r="R64" s="839"/>
      <c r="S64" s="839"/>
      <c r="T64" s="839"/>
      <c r="U64" s="839"/>
      <c r="V64" s="839"/>
      <c r="W64" s="839"/>
      <c r="X64" s="839"/>
      <c r="Y64" s="839"/>
      <c r="Z64" s="839"/>
      <c r="AA64" s="839"/>
      <c r="AB64" s="839"/>
      <c r="AC64" s="839"/>
    </row>
    <row r="65" ht="27.75" spans="1:29">
      <c r="A65" s="1002"/>
      <c r="B65" s="1005" t="s">
        <v>1789</v>
      </c>
      <c r="C65" s="1030"/>
      <c r="D65" s="1030"/>
      <c r="E65" s="1030"/>
      <c r="F65" s="1030"/>
      <c r="G65" s="1030"/>
      <c r="H65" s="1030"/>
      <c r="I65" s="1030"/>
      <c r="J65" s="1030"/>
      <c r="K65" s="1081"/>
      <c r="L65" s="1082"/>
      <c r="M65" s="1083"/>
      <c r="N65" s="1051"/>
      <c r="O65" s="1051"/>
      <c r="P65" s="167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3"/>
      <c r="Q66" s="972"/>
      <c r="R66" s="839"/>
      <c r="S66" s="839"/>
      <c r="T66" s="839"/>
      <c r="U66" s="839"/>
      <c r="V66" s="839"/>
      <c r="W66" s="839"/>
      <c r="X66" s="839"/>
      <c r="Y66" s="839"/>
      <c r="Z66" s="839"/>
      <c r="AA66" s="839"/>
      <c r="AB66" s="839"/>
      <c r="AC66" s="839"/>
    </row>
    <row r="67" ht="15.75" spans="1:29">
      <c r="A67" s="1002"/>
      <c r="B67" s="1009" t="s">
        <v>1790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8"/>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8"/>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79"/>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8"/>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80"/>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8"/>
      <c r="Q75" s="1096"/>
      <c r="R75" s="1097"/>
      <c r="S75" s="1097"/>
      <c r="T75" s="1097"/>
      <c r="U75" s="1097"/>
      <c r="V75" s="1097"/>
      <c r="W75" s="1097"/>
      <c r="X75" s="1097"/>
      <c r="Y75" s="1097"/>
      <c r="Z75" s="1097"/>
      <c r="AA75" s="1097"/>
      <c r="AB75" s="1097"/>
      <c r="AC75" s="1097"/>
    </row>
    <row r="76" spans="1:29">
      <c r="A76" s="1000" t="s">
        <v>1791</v>
      </c>
      <c r="B76" s="1001" t="s">
        <v>1792</v>
      </c>
      <c r="C76" s="1022" t="s">
        <v>1576</v>
      </c>
      <c r="D76" s="1022" t="s">
        <v>1577</v>
      </c>
      <c r="E76" s="1022" t="s">
        <v>1578</v>
      </c>
      <c r="F76" s="1022" t="s">
        <v>1579</v>
      </c>
      <c r="G76" s="1022" t="s">
        <v>1580</v>
      </c>
      <c r="H76" s="1023"/>
      <c r="I76" s="1023"/>
      <c r="J76" s="1023"/>
      <c r="K76" s="1071"/>
      <c r="L76" s="1072"/>
      <c r="M76" s="1073"/>
      <c r="N76" s="1051"/>
      <c r="O76" s="1051"/>
      <c r="P76" s="1681"/>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3"/>
      <c r="Q77" s="972"/>
      <c r="R77" s="839"/>
      <c r="S77" s="839"/>
      <c r="T77" s="839"/>
      <c r="U77" s="839"/>
      <c r="V77" s="839"/>
      <c r="W77" s="839"/>
      <c r="X77" s="839"/>
      <c r="Y77" s="839"/>
      <c r="Z77" s="839"/>
      <c r="AA77" s="839"/>
      <c r="AB77" s="839"/>
      <c r="AC77" s="839"/>
    </row>
    <row r="78" ht="15.75" spans="1:29">
      <c r="A78" s="1002"/>
      <c r="B78" s="1005" t="s">
        <v>1794</v>
      </c>
      <c r="C78" s="1024" t="s">
        <v>1576</v>
      </c>
      <c r="D78" s="1024" t="s">
        <v>1577</v>
      </c>
      <c r="E78" s="1024" t="s">
        <v>1578</v>
      </c>
      <c r="F78" s="1024" t="s">
        <v>1579</v>
      </c>
      <c r="G78" s="1024" t="s">
        <v>1580</v>
      </c>
      <c r="H78" s="1006"/>
      <c r="I78" s="1006"/>
      <c r="J78" s="1006"/>
      <c r="K78" s="1055"/>
      <c r="L78" s="1056"/>
      <c r="M78" s="1057"/>
      <c r="N78" s="1051"/>
      <c r="O78" s="1051"/>
      <c r="P78" s="167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3"/>
      <c r="Q79" s="972"/>
      <c r="R79" s="839"/>
      <c r="S79" s="839"/>
      <c r="T79" s="839"/>
      <c r="U79" s="839"/>
      <c r="V79" s="839"/>
      <c r="W79" s="839"/>
      <c r="X79" s="839"/>
      <c r="Y79" s="839"/>
      <c r="Z79" s="839"/>
      <c r="AA79" s="839"/>
      <c r="AB79" s="839"/>
      <c r="AC79" s="839"/>
    </row>
    <row r="80" ht="15.75" spans="1:29">
      <c r="A80" s="1002"/>
      <c r="B80" s="1005" t="s">
        <v>1795</v>
      </c>
      <c r="C80" s="1024" t="s">
        <v>1576</v>
      </c>
      <c r="D80" s="1024" t="s">
        <v>1577</v>
      </c>
      <c r="E80" s="1024" t="s">
        <v>1578</v>
      </c>
      <c r="F80" s="1024" t="s">
        <v>1579</v>
      </c>
      <c r="G80" s="1024" t="s">
        <v>1580</v>
      </c>
      <c r="H80" s="1006"/>
      <c r="I80" s="1006"/>
      <c r="J80" s="1006"/>
      <c r="K80" s="1055"/>
      <c r="L80" s="1056"/>
      <c r="M80" s="1057"/>
      <c r="N80" s="1051"/>
      <c r="O80" s="1051"/>
      <c r="P80" s="167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3"/>
      <c r="Q81" s="972"/>
      <c r="R81" s="839"/>
      <c r="S81" s="839"/>
      <c r="T81" s="839"/>
      <c r="U81" s="839"/>
      <c r="V81" s="839"/>
      <c r="W81" s="839"/>
      <c r="X81" s="839"/>
      <c r="Y81" s="839"/>
      <c r="Z81" s="839"/>
      <c r="AA81" s="839"/>
      <c r="AB81" s="839"/>
      <c r="AC81" s="839"/>
    </row>
    <row r="82" ht="15.75" spans="1:29">
      <c r="A82" s="1002"/>
      <c r="B82" s="1009" t="s">
        <v>1796</v>
      </c>
      <c r="C82" s="1029" t="s">
        <v>1824</v>
      </c>
      <c r="D82" s="1029" t="s">
        <v>1825</v>
      </c>
      <c r="E82" s="1029" t="s">
        <v>1826</v>
      </c>
      <c r="F82" s="1029" t="s">
        <v>1827</v>
      </c>
      <c r="G82" s="1029" t="s">
        <v>1828</v>
      </c>
      <c r="H82" s="1006"/>
      <c r="I82" s="1006"/>
      <c r="J82" s="1006"/>
      <c r="K82" s="1006"/>
      <c r="L82" s="1006"/>
      <c r="M82" s="1208"/>
      <c r="N82" s="1054"/>
      <c r="O82" s="1054"/>
      <c r="P82" s="167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3"/>
      <c r="Q83" s="972"/>
      <c r="R83" s="839"/>
      <c r="S83" s="839"/>
      <c r="T83" s="839"/>
      <c r="U83" s="839"/>
      <c r="V83" s="839"/>
      <c r="W83" s="839"/>
      <c r="X83" s="839"/>
      <c r="Y83" s="839"/>
      <c r="Z83" s="839"/>
      <c r="AA83" s="839"/>
      <c r="AB83" s="839"/>
      <c r="AC83" s="839"/>
    </row>
    <row r="84" ht="15.75" spans="1:29">
      <c r="A84" s="1002"/>
      <c r="B84" s="1005" t="s">
        <v>1797</v>
      </c>
      <c r="C84" s="1024" t="s">
        <v>1576</v>
      </c>
      <c r="D84" s="1024" t="s">
        <v>1577</v>
      </c>
      <c r="E84" s="1024" t="s">
        <v>1578</v>
      </c>
      <c r="F84" s="1024" t="s">
        <v>1579</v>
      </c>
      <c r="G84" s="1024" t="s">
        <v>1580</v>
      </c>
      <c r="H84" s="1006"/>
      <c r="I84" s="1006"/>
      <c r="J84" s="1006"/>
      <c r="K84" s="1055"/>
      <c r="L84" s="1056"/>
      <c r="M84" s="1057"/>
      <c r="N84" s="1051"/>
      <c r="O84" s="1051"/>
      <c r="P84" s="167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3"/>
      <c r="Q85" s="972"/>
      <c r="R85" s="839"/>
      <c r="S85" s="839"/>
      <c r="T85" s="839"/>
      <c r="U85" s="839"/>
      <c r="V85" s="839"/>
      <c r="W85" s="839"/>
      <c r="X85" s="839"/>
      <c r="Y85" s="839"/>
      <c r="Z85" s="839"/>
      <c r="AA85" s="839"/>
      <c r="AB85" s="839"/>
      <c r="AC85" s="839"/>
    </row>
    <row r="86" s="711" customFormat="1" ht="15.75" spans="1:29">
      <c r="A86" s="1025"/>
      <c r="B86" s="1005" t="s">
        <v>1851</v>
      </c>
      <c r="C86" s="1013"/>
      <c r="D86" s="1013"/>
      <c r="E86" s="1013"/>
      <c r="F86" s="1013"/>
      <c r="G86" s="1013"/>
      <c r="H86" s="1013"/>
      <c r="I86" s="1013"/>
      <c r="J86" s="1013"/>
      <c r="K86" s="1013"/>
      <c r="L86" s="1209"/>
      <c r="M86" s="1210"/>
      <c r="N86" s="1045"/>
      <c r="O86" s="1045"/>
      <c r="P86" s="167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60"/>
      <c r="G88" s="1013"/>
      <c r="H88" s="1013"/>
      <c r="I88" s="1013"/>
      <c r="J88" s="1013"/>
      <c r="K88" s="1013"/>
      <c r="L88" s="1013"/>
      <c r="M88" s="1210"/>
      <c r="N88" s="1045"/>
      <c r="O88" s="1045"/>
      <c r="P88" s="167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8"/>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8"/>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3"/>
      <c r="Q99" s="972"/>
      <c r="R99" s="839"/>
      <c r="S99" s="839"/>
      <c r="T99" s="839"/>
      <c r="U99" s="839"/>
      <c r="V99" s="839"/>
      <c r="W99" s="839"/>
      <c r="X99" s="839"/>
      <c r="Y99" s="839"/>
      <c r="Z99" s="839"/>
      <c r="AA99" s="839"/>
      <c r="AB99" s="839"/>
      <c r="AC99" s="839"/>
    </row>
    <row r="100" spans="1:29">
      <c r="A100" s="1000" t="s">
        <v>1800</v>
      </c>
      <c r="B100" s="1001" t="s">
        <v>1855</v>
      </c>
      <c r="C100" s="926"/>
      <c r="D100" s="926"/>
      <c r="E100" s="926"/>
      <c r="F100" s="926"/>
      <c r="G100" s="926"/>
      <c r="H100" s="926"/>
      <c r="I100" s="926"/>
      <c r="J100" s="926"/>
      <c r="K100" s="1048"/>
      <c r="L100" s="1049"/>
      <c r="M100" s="1050"/>
      <c r="N100" s="1051"/>
      <c r="O100" s="1051"/>
      <c r="P100" s="167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3"/>
      <c r="Q101" s="972"/>
      <c r="R101" s="839"/>
      <c r="S101" s="839"/>
      <c r="T101" s="839"/>
      <c r="U101" s="839"/>
      <c r="V101" s="839"/>
      <c r="W101" s="839"/>
      <c r="X101" s="839"/>
      <c r="Y101" s="839"/>
      <c r="Z101" s="839"/>
      <c r="AA101" s="839"/>
      <c r="AB101" s="839"/>
      <c r="AC101" s="839"/>
    </row>
    <row r="102" ht="15.75" spans="1:29">
      <c r="A102" s="1002"/>
      <c r="B102" s="1005" t="s">
        <v>1803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8"/>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8"/>
      <c r="Q104" s="1096"/>
      <c r="R104" s="1097"/>
      <c r="S104" s="1097"/>
      <c r="T104" s="1097"/>
      <c r="U104" s="1097"/>
      <c r="V104" s="1097"/>
      <c r="W104" s="1097"/>
      <c r="X104" s="1097"/>
      <c r="Y104" s="1097"/>
      <c r="Z104" s="1097"/>
      <c r="AA104" s="1097"/>
      <c r="AB104" s="1097"/>
      <c r="AC104" s="1097"/>
    </row>
    <row r="105" ht="15.75" spans="1:29">
      <c r="A105" s="1036"/>
      <c r="B105" s="1005" t="s">
        <v>1804</v>
      </c>
      <c r="C105" s="1013"/>
      <c r="D105" s="1013"/>
      <c r="E105" s="1030"/>
      <c r="F105" s="1030"/>
      <c r="G105" s="1030"/>
      <c r="H105" s="1030"/>
      <c r="I105" s="1030"/>
      <c r="J105" s="1030"/>
      <c r="K105" s="1081"/>
      <c r="L105" s="1082"/>
      <c r="M105" s="1083"/>
      <c r="N105" s="1051"/>
      <c r="O105" s="1051"/>
      <c r="P105" s="167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3"/>
      <c r="Q106" s="972"/>
      <c r="R106" s="839"/>
      <c r="S106" s="839"/>
      <c r="T106" s="839"/>
      <c r="U106" s="839"/>
      <c r="V106" s="839"/>
      <c r="W106" s="839"/>
      <c r="X106" s="839"/>
      <c r="Y106" s="839"/>
      <c r="Z106" s="839"/>
      <c r="AA106" s="839"/>
      <c r="AB106" s="839"/>
      <c r="AC106" s="839"/>
    </row>
    <row r="107" ht="15.75" spans="1:29">
      <c r="A107" s="1036"/>
      <c r="B107" s="1005" t="s">
        <v>1806</v>
      </c>
      <c r="C107" s="1013"/>
      <c r="D107" s="1013"/>
      <c r="E107" s="1013"/>
      <c r="F107" s="1030"/>
      <c r="G107" s="1030"/>
      <c r="H107" s="1030"/>
      <c r="I107" s="1030"/>
      <c r="J107" s="1030"/>
      <c r="K107" s="1081"/>
      <c r="L107" s="1082"/>
      <c r="M107" s="1083"/>
      <c r="N107" s="1051"/>
      <c r="O107" s="1051"/>
      <c r="P107" s="167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3"/>
      <c r="Q108" s="972"/>
      <c r="R108" s="839"/>
      <c r="S108" s="839"/>
      <c r="T108" s="839"/>
      <c r="U108" s="839"/>
      <c r="V108" s="839"/>
      <c r="W108" s="839"/>
      <c r="X108" s="839"/>
      <c r="Y108" s="839"/>
      <c r="Z108" s="839"/>
      <c r="AA108" s="839"/>
      <c r="AB108" s="839"/>
      <c r="AC108" s="839"/>
    </row>
    <row r="109" ht="15.75" spans="1:29">
      <c r="A109" s="1036"/>
      <c r="B109" s="1005" t="s">
        <v>646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3"/>
      <c r="Q111" s="972"/>
      <c r="R111" s="839"/>
      <c r="S111" s="839"/>
      <c r="T111" s="839"/>
      <c r="U111" s="839"/>
      <c r="V111" s="839"/>
      <c r="W111" s="839"/>
      <c r="X111" s="839"/>
      <c r="Y111" s="839"/>
      <c r="Z111" s="839"/>
      <c r="AA111" s="839"/>
      <c r="AB111" s="839"/>
      <c r="AC111" s="839"/>
    </row>
    <row r="112" s="713" customFormat="1" ht="15.75" spans="1:29">
      <c r="A112" s="1033"/>
      <c r="B112" s="1005" t="s">
        <v>1808</v>
      </c>
      <c r="C112" s="1013"/>
      <c r="D112" s="1013"/>
      <c r="E112" s="1013"/>
      <c r="F112" s="1013"/>
      <c r="G112" s="1013"/>
      <c r="H112" s="1030"/>
      <c r="I112" s="1030"/>
      <c r="J112" s="1030"/>
      <c r="K112" s="1081"/>
      <c r="L112" s="1082"/>
      <c r="M112" s="1083"/>
      <c r="N112" s="1064"/>
      <c r="O112" s="1064"/>
      <c r="P112" s="1678"/>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8"/>
      <c r="Q113" s="1096"/>
      <c r="R113" s="1097"/>
      <c r="S113" s="1097"/>
      <c r="T113" s="1097"/>
      <c r="U113" s="1097"/>
      <c r="V113" s="1097"/>
      <c r="W113" s="1097"/>
      <c r="X113" s="1097"/>
      <c r="Y113" s="1097"/>
      <c r="Z113" s="1097"/>
      <c r="AA113" s="1097"/>
      <c r="AB113" s="1097"/>
      <c r="AC113" s="1097"/>
    </row>
    <row r="114" ht="15.75" spans="1:29">
      <c r="A114" s="1036"/>
      <c r="B114" s="1005" t="s">
        <v>1856</v>
      </c>
      <c r="C114" s="1013"/>
      <c r="D114" s="1013"/>
      <c r="E114" s="1030"/>
      <c r="F114" s="1030"/>
      <c r="G114" s="1030"/>
      <c r="H114" s="1030"/>
      <c r="I114" s="1030"/>
      <c r="J114" s="1030"/>
      <c r="K114" s="1081"/>
      <c r="L114" s="1082"/>
      <c r="M114" s="1083"/>
      <c r="N114" s="1051"/>
      <c r="O114" s="1051"/>
      <c r="P114" s="167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3"/>
      <c r="Q115" s="972"/>
      <c r="R115" s="839"/>
      <c r="S115" s="839"/>
      <c r="T115" s="839"/>
      <c r="U115" s="839"/>
      <c r="V115" s="839"/>
      <c r="W115" s="839"/>
      <c r="X115" s="839"/>
      <c r="Y115" s="839"/>
      <c r="Z115" s="839"/>
      <c r="AA115" s="839"/>
      <c r="AB115" s="839"/>
      <c r="AC115" s="839"/>
    </row>
    <row r="116" ht="15.75" spans="1:29">
      <c r="A116" s="1036"/>
      <c r="B116" s="1005" t="s">
        <v>1857</v>
      </c>
      <c r="C116" s="1013"/>
      <c r="D116" s="1013"/>
      <c r="E116" s="1013"/>
      <c r="F116" s="1013"/>
      <c r="G116" s="1013"/>
      <c r="H116" s="1030"/>
      <c r="I116" s="1030"/>
      <c r="J116" s="1030"/>
      <c r="K116" s="1081"/>
      <c r="L116" s="1082"/>
      <c r="M116" s="1083"/>
      <c r="N116" s="1051"/>
      <c r="O116" s="1051"/>
      <c r="P116" s="167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3"/>
      <c r="Q117" s="972"/>
      <c r="R117" s="839"/>
      <c r="S117" s="839"/>
      <c r="T117" s="839"/>
      <c r="U117" s="839"/>
      <c r="V117" s="839"/>
      <c r="W117" s="839"/>
      <c r="X117" s="839"/>
      <c r="Y117" s="839"/>
      <c r="Z117" s="839"/>
      <c r="AA117" s="839"/>
      <c r="AB117" s="839"/>
      <c r="AC117" s="839"/>
    </row>
    <row r="118" ht="15.75" spans="1:29">
      <c r="A118" s="1036"/>
      <c r="B118" s="1005" t="s">
        <v>1858</v>
      </c>
      <c r="C118" s="1677"/>
      <c r="D118" s="1677"/>
      <c r="E118" s="1677"/>
      <c r="F118" s="1677"/>
      <c r="G118" s="1677"/>
      <c r="H118" s="1014"/>
      <c r="I118" s="1014"/>
      <c r="J118" s="1014"/>
      <c r="K118" s="1014"/>
      <c r="L118" s="1062"/>
      <c r="M118" s="1063"/>
      <c r="N118" s="1051"/>
      <c r="O118" s="1051"/>
      <c r="P118" s="167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3"/>
      <c r="Q119" s="972"/>
      <c r="R119" s="839"/>
      <c r="S119" s="839"/>
      <c r="T119" s="839"/>
      <c r="U119" s="839"/>
      <c r="V119" s="839"/>
      <c r="W119" s="839"/>
      <c r="X119" s="839"/>
      <c r="Y119" s="839"/>
      <c r="Z119" s="839"/>
      <c r="AA119" s="839"/>
      <c r="AB119" s="839"/>
      <c r="AC119" s="839"/>
    </row>
    <row r="120" s="713" customFormat="1" ht="15.75" spans="1:29">
      <c r="A120" s="1033"/>
      <c r="B120" s="1005" t="s">
        <v>1860</v>
      </c>
      <c r="C120" s="1030"/>
      <c r="D120" s="1030"/>
      <c r="E120" s="1030"/>
      <c r="F120" s="1030"/>
      <c r="G120" s="1014"/>
      <c r="H120" s="1014"/>
      <c r="I120" s="1014"/>
      <c r="J120" s="1014"/>
      <c r="K120" s="1014"/>
      <c r="L120" s="1062"/>
      <c r="M120" s="1063"/>
      <c r="N120" s="1064"/>
      <c r="O120" s="1064"/>
      <c r="P120" s="1678"/>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8"/>
      <c r="Q121" s="1096"/>
      <c r="R121" s="1097"/>
      <c r="S121" s="1097"/>
      <c r="T121" s="1097"/>
      <c r="U121" s="1097"/>
      <c r="V121" s="1097"/>
      <c r="W121" s="1097"/>
      <c r="X121" s="1097"/>
      <c r="Y121" s="1097"/>
      <c r="Z121" s="1097"/>
      <c r="AA121" s="1097"/>
      <c r="AB121" s="1097"/>
      <c r="AC121" s="1097"/>
    </row>
    <row r="122" ht="15.75" spans="1:29">
      <c r="A122" s="1036"/>
      <c r="B122" s="1005" t="s">
        <v>1811</v>
      </c>
      <c r="C122" s="1013"/>
      <c r="D122" s="1013"/>
      <c r="E122" s="1013"/>
      <c r="F122" s="1030"/>
      <c r="G122" s="1030"/>
      <c r="H122" s="1030"/>
      <c r="I122" s="1030"/>
      <c r="J122" s="1030"/>
      <c r="K122" s="1081"/>
      <c r="L122" s="1082"/>
      <c r="M122" s="1083"/>
      <c r="N122" s="1051"/>
      <c r="O122" s="1051"/>
      <c r="P122" s="167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3"/>
      <c r="Q123" s="972"/>
      <c r="R123" s="839"/>
      <c r="S123" s="839"/>
      <c r="T123" s="839"/>
      <c r="U123" s="839"/>
      <c r="V123" s="839"/>
      <c r="W123" s="839"/>
      <c r="X123" s="839"/>
      <c r="Y123" s="839"/>
      <c r="Z123" s="839"/>
      <c r="AA123" s="839"/>
      <c r="AB123" s="839"/>
      <c r="AC123" s="839"/>
    </row>
    <row r="124" ht="15.75" spans="1:29">
      <c r="A124" s="1036"/>
      <c r="B124" s="1005" t="s">
        <v>1812</v>
      </c>
      <c r="C124" s="1024" t="s">
        <v>1576</v>
      </c>
      <c r="D124" s="1024" t="s">
        <v>1577</v>
      </c>
      <c r="E124" s="1024" t="s">
        <v>1578</v>
      </c>
      <c r="F124" s="1024" t="s">
        <v>1579</v>
      </c>
      <c r="G124" s="1024" t="s">
        <v>1580</v>
      </c>
      <c r="H124" s="1006"/>
      <c r="I124" s="1006"/>
      <c r="J124" s="1006"/>
      <c r="K124" s="1055"/>
      <c r="L124" s="1056"/>
      <c r="M124" s="1057"/>
      <c r="N124" s="1051"/>
      <c r="O124" s="1051"/>
      <c r="P124" s="1678"/>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8"/>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8"/>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7" sqref="M3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611</v>
      </c>
      <c r="D1" s="1372" t="s">
        <v>124</v>
      </c>
      <c r="E1" s="1373" t="s">
        <v>1227</v>
      </c>
      <c r="F1" s="1374">
        <f ca="1">J53</f>
        <v>6</v>
      </c>
      <c r="G1" s="1375">
        <f>MATCH(C1,'数据-取费表'!A6:A16,0)+5</f>
        <v>7</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97.0409</v>
      </c>
      <c r="C2" s="1379" t="s">
        <v>1229</v>
      </c>
      <c r="D2" s="1380">
        <f ca="1">C40+J29+L46-建筑物重置成新价!T13</f>
        <v>970409</v>
      </c>
      <c r="E2" s="1381" t="s">
        <v>1636</v>
      </c>
      <c r="F2" s="1382"/>
      <c r="G2" s="1383"/>
      <c r="H2" s="1384"/>
      <c r="I2" s="1384"/>
      <c r="J2" s="1384"/>
      <c r="K2" s="1546"/>
      <c r="L2" s="1384"/>
      <c r="M2" s="1384"/>
    </row>
    <row r="3" ht="18" customHeight="1" spans="1:13">
      <c r="A3" s="1385" t="s">
        <v>1230</v>
      </c>
      <c r="B3" s="1386">
        <f ca="1">IF(ISERROR(D2/F43),0,ROUND(D2/F43,0))</f>
        <v>85124</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10499</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10486</v>
      </c>
      <c r="D6" s="1401" t="s">
        <v>1637</v>
      </c>
      <c r="E6" s="1402" t="s">
        <v>1242</v>
      </c>
      <c r="F6" s="1403">
        <f ca="1">INDIRECT("'数据-取费表'!u"&amp;$G$1)</f>
        <v>2.8</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11.4</v>
      </c>
      <c r="G7" s="1368"/>
      <c r="H7" s="1409"/>
      <c r="I7" s="1405"/>
      <c r="J7" s="1410"/>
      <c r="K7" s="1407"/>
      <c r="L7" s="1402" t="s">
        <v>1244</v>
      </c>
      <c r="M7" s="1403">
        <f ca="1">F7</f>
        <v>11.4</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13</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t="s">
        <v>1639</v>
      </c>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15344</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17670</v>
      </c>
      <c r="D14" s="1435" t="s">
        <v>1257</v>
      </c>
      <c r="E14" s="1436"/>
      <c r="F14" s="1437"/>
      <c r="G14" s="1368"/>
      <c r="H14" s="1433" t="s">
        <v>979</v>
      </c>
      <c r="I14" s="1402" t="s">
        <v>1258</v>
      </c>
      <c r="J14" s="643">
        <f ca="1">C29</f>
        <v>25574</v>
      </c>
      <c r="K14" s="1559"/>
      <c r="L14" s="1560"/>
      <c r="M14" s="1561"/>
    </row>
    <row r="15" s="1367" customFormat="1" ht="18" customHeight="1" spans="1:37">
      <c r="A15" s="1433" t="s">
        <v>1006</v>
      </c>
      <c r="B15" s="1402" t="s">
        <v>1187</v>
      </c>
      <c r="C15" s="643">
        <f ca="1">ROUND(C14*F15,0)</f>
        <v>530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384</v>
      </c>
      <c r="K16" s="1454" t="s">
        <v>1263</v>
      </c>
      <c r="L16" s="1455"/>
      <c r="M16" s="1397"/>
    </row>
    <row r="17" s="1367" customFormat="1" ht="18" customHeight="1" spans="1:37">
      <c r="A17" s="1433" t="s">
        <v>1264</v>
      </c>
      <c r="B17" s="1402" t="s">
        <v>1265</v>
      </c>
      <c r="C17" s="643">
        <f ca="1">ROUND(F17*(F43+INDIRECT("'数据-取费表'!S"&amp;$G$1)),0)</f>
        <v>2280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265</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20745</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415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384</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365</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6">
      <c r="A25" s="1433" t="s">
        <v>1035</v>
      </c>
      <c r="B25" s="1402" t="s">
        <v>1297</v>
      </c>
      <c r="C25" s="643"/>
      <c r="D25" s="1444" t="s">
        <v>1298</v>
      </c>
      <c r="E25" s="645"/>
      <c r="F25" s="1443"/>
      <c r="G25" s="1368"/>
      <c r="H25" s="1428" t="s">
        <v>1299</v>
      </c>
      <c r="I25" s="1472" t="s">
        <v>1300</v>
      </c>
      <c r="J25" s="1430">
        <f ca="1">J5-J16</f>
        <v>-384</v>
      </c>
      <c r="K25" s="1473" t="s">
        <v>1301</v>
      </c>
      <c r="L25" s="1474"/>
      <c r="M25" s="1475"/>
      <c r="P25" s="1368" t="e">
        <f ca="1">J25/J6</f>
        <v>#DIV/0!</v>
      </c>
    </row>
    <row r="26" ht="18" customHeight="1" spans="1:13">
      <c r="A26" s="1433" t="s">
        <v>1002</v>
      </c>
      <c r="B26" s="1402" t="s">
        <v>1302</v>
      </c>
      <c r="C26" s="643">
        <f ca="1">ROUND((C19+C20)*F26,0)</f>
        <v>2116</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25574</v>
      </c>
      <c r="D29" s="1451"/>
      <c r="E29" s="1426"/>
      <c r="F29" s="1452"/>
      <c r="G29" s="1440"/>
      <c r="H29" s="1453" t="s">
        <v>1317</v>
      </c>
      <c r="I29" s="1483" t="s">
        <v>1318</v>
      </c>
      <c r="J29" s="1484">
        <f ca="1">ROUND(J26/(1+F40)^F41,0)</f>
        <v>0</v>
      </c>
      <c r="K29" s="1485" t="s">
        <v>1319</v>
      </c>
      <c r="L29" s="1486"/>
      <c r="M29" s="1487">
        <f ca="1">INDIRECT("'数据-取费表'!k"&amp;$G$1)</f>
        <v>11.4</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2366</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1757</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559</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1198</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384</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15</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210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8133</v>
      </c>
      <c r="D39" s="1473" t="s">
        <v>1301</v>
      </c>
      <c r="E39" s="1474"/>
      <c r="F39" s="1475"/>
      <c r="G39" s="1368"/>
      <c r="H39" s="1462"/>
      <c r="I39" s="1567"/>
      <c r="J39" s="1568"/>
      <c r="K39" s="1576"/>
      <c r="L39" s="1462"/>
      <c r="M39" s="1462"/>
    </row>
    <row r="40" ht="18" customHeight="1" spans="1:13">
      <c r="A40" s="1392" t="s">
        <v>1305</v>
      </c>
      <c r="B40" s="1393" t="s">
        <v>1322</v>
      </c>
      <c r="C40" s="1476">
        <f ca="1">ROUND(C39*(1-((1+F42)/(1+F40))^F41)/(F40-F42),0)</f>
        <v>41905</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480">
        <f ca="1">IF(INDIRECT("'数据-取费表'!af"&amp;$G$1)=0,INDIRECT("'数据-取费表'!ae"&amp;$G$1),INDIRECT("'数据-取费表'!af"&amp;$G$1))</f>
        <v>6</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3676</v>
      </c>
      <c r="D43" s="1485" t="s">
        <v>1324</v>
      </c>
      <c r="E43" s="1486" t="s">
        <v>1325</v>
      </c>
      <c r="F43" s="1487">
        <f ca="1">INDIRECT("'数据-取费表'!k"&amp;$G$1)</f>
        <v>11.4</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-4.3867</v>
      </c>
      <c r="D45" s="1492" t="s">
        <v>1644</v>
      </c>
      <c r="E45" s="1488"/>
      <c r="F45" s="1488"/>
      <c r="O45" s="1578" t="s">
        <v>1326</v>
      </c>
      <c r="P45" s="1477"/>
      <c r="Q45" s="1477"/>
      <c r="R45" s="1477"/>
    </row>
    <row r="46" s="1368" customFormat="1" ht="13.5" spans="1:18">
      <c r="A46" s="1493" t="s">
        <v>1327</v>
      </c>
      <c r="C46" s="1494">
        <f ca="1">ROUND(C45,0)</f>
        <v>-4</v>
      </c>
      <c r="D46" s="1495" t="str">
        <f>C2</f>
        <v>万元</v>
      </c>
      <c r="I46" s="1579" t="s">
        <v>1328</v>
      </c>
      <c r="J46" s="1580"/>
      <c r="K46" s="1581"/>
      <c r="L46" s="1582">
        <f ca="1">IF(M47="住宅",0,IF(L48&gt;J51,L60,J60))</f>
        <v>929704</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41905</v>
      </c>
      <c r="R47" s="1632" t="s">
        <v>1336</v>
      </c>
    </row>
    <row r="48" s="1368" customFormat="1" ht="26.25" spans="1:18">
      <c r="A48" s="1500" t="s">
        <v>1337</v>
      </c>
      <c r="B48" s="1393" t="s">
        <v>1238</v>
      </c>
      <c r="C48" s="644">
        <f ca="1">C49+C53+C55</f>
        <v>0</v>
      </c>
      <c r="D48" s="1501"/>
      <c r="E48" s="1502"/>
      <c r="F48" s="1503"/>
      <c r="G48" s="1499"/>
      <c r="H48" s="1504"/>
      <c r="I48" s="1592" t="s">
        <v>1338</v>
      </c>
      <c r="J48" s="1593" t="s">
        <v>1861</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v>1990</v>
      </c>
      <c r="K49" s="1594" t="s">
        <v>1346</v>
      </c>
      <c r="L49" s="1597"/>
      <c r="O49" s="1598" t="s">
        <v>1347</v>
      </c>
      <c r="P49" s="1591" t="s">
        <v>1348</v>
      </c>
      <c r="Q49" s="1632">
        <f ca="1">C29</f>
        <v>25574</v>
      </c>
      <c r="R49" s="1632" t="s">
        <v>1336</v>
      </c>
    </row>
    <row r="50" s="1368" customFormat="1" ht="13.5" spans="1:18">
      <c r="A50" s="1512"/>
      <c r="B50" s="1513"/>
      <c r="C50" s="1514"/>
      <c r="D50" s="1515"/>
      <c r="E50" s="1516" t="s">
        <v>1244</v>
      </c>
      <c r="F50" s="1517">
        <f ca="1">F7</f>
        <v>11.4</v>
      </c>
      <c r="H50" s="1504"/>
      <c r="I50" s="1592" t="s">
        <v>1349</v>
      </c>
      <c r="J50" s="1599">
        <f>SUMPRODUCT((I63:I65=J47)*(J62:L62=J48)*(J63:L65))</f>
        <v>40</v>
      </c>
      <c r="K50" s="1594" t="s">
        <v>1350</v>
      </c>
      <c r="L50" s="1597">
        <f ca="1">ROUND(基准地价修正!C33*'收益法 (元)-4号楼'!F43,0)</f>
        <v>389025</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6</v>
      </c>
      <c r="K51" s="1603" t="s">
        <v>1354</v>
      </c>
      <c r="L51" s="1604">
        <f ca="1">ROUND(-PV(INDIRECT("'数据-取费表'!h"&amp;$G$1),J51,(C39-C13*C76),0),0)</f>
        <v>35263</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6</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6</v>
      </c>
      <c r="K53" s="1610" t="s">
        <v>1364</v>
      </c>
      <c r="L53" s="1611"/>
      <c r="O53" s="1590" t="s">
        <v>1189</v>
      </c>
      <c r="P53" s="1591" t="s">
        <v>1365</v>
      </c>
      <c r="Q53" s="1632">
        <f ca="1">Q47+Q48</f>
        <v>41905</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15344</v>
      </c>
      <c r="D56" s="1527"/>
      <c r="E56" s="1528"/>
      <c r="F56" s="1524"/>
      <c r="I56" s="1619" t="s">
        <v>1370</v>
      </c>
      <c r="J56" s="1620" t="s">
        <v>563</v>
      </c>
      <c r="K56" s="1592" t="s">
        <v>1371</v>
      </c>
      <c r="L56" s="1595">
        <f ca="1">IF(L48&lt;J51,"——",L48-J51)</f>
        <v>44</v>
      </c>
      <c r="O56" s="1590" t="s">
        <v>1084</v>
      </c>
      <c r="P56" s="1591" t="s">
        <v>1335</v>
      </c>
      <c r="Q56" s="1632">
        <f ca="1">C40+J29</f>
        <v>41905</v>
      </c>
      <c r="R56" s="1632" t="s">
        <v>1336</v>
      </c>
    </row>
    <row r="57" s="1368" customFormat="1" ht="24.75" spans="1:18">
      <c r="A57" s="1529"/>
      <c r="B57" s="1530" t="s">
        <v>1316</v>
      </c>
      <c r="C57" s="439">
        <f ca="1">C29</f>
        <v>25574</v>
      </c>
      <c r="D57" s="1531"/>
      <c r="E57" s="1532"/>
      <c r="F57" s="1533"/>
      <c r="I57" s="1621" t="s">
        <v>1372</v>
      </c>
      <c r="J57" s="1622" t="str">
        <f ca="1">IF(OR(M47="住宅",J51&lt;L48,J56="是"),"——",J51-L48)</f>
        <v>——</v>
      </c>
      <c r="K57" s="1592" t="s">
        <v>1650</v>
      </c>
      <c r="L57" s="1595">
        <f ca="1">IF(L48&lt;J51,"——",IF(L55="比较法",L49,IF(L55="基准地价",L50,L51)))</f>
        <v>389025</v>
      </c>
      <c r="O57" s="1590" t="s">
        <v>1087</v>
      </c>
      <c r="P57" s="1591" t="s">
        <v>1374</v>
      </c>
      <c r="Q57" s="1632">
        <f ca="1">L60</f>
        <v>929704</v>
      </c>
      <c r="R57" s="1632" t="s">
        <v>1375</v>
      </c>
    </row>
    <row r="58" s="1368" customFormat="1" ht="24.75" spans="1:18">
      <c r="A58" s="1534" t="s">
        <v>1261</v>
      </c>
      <c r="B58" s="1526" t="s">
        <v>1262</v>
      </c>
      <c r="C58" s="642">
        <f ca="1">ROUND(C59+C64+C65+C66,0)</f>
        <v>399</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 ca="1">IF(L55="比较法",L49,IF(L55="基准地价",L50,0))</f>
        <v>389025</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0.295</v>
      </c>
      <c r="M59" s="1614">
        <f ca="1">ROUND(POWER(1+L52,L47-(J51+'数据-取费表'!B24))*(POWER(1+L52,(J51+'数据-取费表'!B24))-1)/(POWER(1+L52,L47)-1),4)</f>
        <v>0.295</v>
      </c>
      <c r="N59" s="1614">
        <f ca="1">ROUND(POWER(1+L52,L47-(J51+'数据-取费表'!B20))*(POWER(1+L52,(J51+'数据-取费表'!B20))-1)/(POWER(1+L52,L47)-1),4)</f>
        <v>0.3356</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929704</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0.295</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971609</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384</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15</v>
      </c>
      <c r="D65" s="1538" t="s">
        <v>1293</v>
      </c>
      <c r="E65" s="1530" t="s">
        <v>1260</v>
      </c>
      <c r="F65" s="1471">
        <f ca="1" t="shared" si="0"/>
        <v>0.001</v>
      </c>
      <c r="I65" s="1627" t="s">
        <v>1394</v>
      </c>
      <c r="J65" s="1628">
        <v>40</v>
      </c>
      <c r="K65" s="1628">
        <v>30</v>
      </c>
      <c r="L65" s="1628">
        <v>50</v>
      </c>
      <c r="M65" s="1630">
        <v>0.02</v>
      </c>
      <c r="O65" s="1590" t="s">
        <v>1084</v>
      </c>
      <c r="P65" s="1591" t="s">
        <v>1335</v>
      </c>
      <c r="Q65" s="1632">
        <f ca="1">C40+J29</f>
        <v>41905</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929704</v>
      </c>
      <c r="R66" s="1632" t="s">
        <v>1375</v>
      </c>
    </row>
    <row r="67" s="1368" customFormat="1" ht="17.25" spans="1:18">
      <c r="A67" s="1525" t="s">
        <v>1299</v>
      </c>
      <c r="B67" s="1634" t="s">
        <v>1300</v>
      </c>
      <c r="C67" s="642">
        <f ca="1">C48-C58</f>
        <v>-399</v>
      </c>
      <c r="D67" s="1537" t="s">
        <v>1301</v>
      </c>
      <c r="E67" s="1635"/>
      <c r="F67" s="1636"/>
      <c r="O67" s="1598" t="s">
        <v>1347</v>
      </c>
      <c r="P67" s="1591" t="s">
        <v>1378</v>
      </c>
      <c r="Q67" s="1657">
        <f ca="1">L51</f>
        <v>35263</v>
      </c>
      <c r="R67" s="1632" t="s">
        <v>1395</v>
      </c>
    </row>
    <row r="68" s="1368" customFormat="1" ht="17.25" spans="1:18">
      <c r="A68" s="1637" t="s">
        <v>1305</v>
      </c>
      <c r="B68" s="1638" t="s">
        <v>1322</v>
      </c>
      <c r="C68" s="1549">
        <f ca="1">ROUND(C67*(1-((1+F70)/(1+F68))^F69)/(F68-F70),0)</f>
        <v>-1962</v>
      </c>
      <c r="D68" s="1540" t="s">
        <v>1307</v>
      </c>
      <c r="E68" s="1530" t="s">
        <v>1308</v>
      </c>
      <c r="F68" s="1412">
        <f ca="1" t="shared" ref="F68:F71" si="1">F40</f>
        <v>0.06</v>
      </c>
      <c r="O68" s="1598" t="s">
        <v>1351</v>
      </c>
      <c r="P68" s="1656" t="s">
        <v>1396</v>
      </c>
      <c r="Q68" s="1632">
        <f ca="1">ROUND(Q69-Q70*Q71,0)</f>
        <v>7059</v>
      </c>
      <c r="R68" s="1632" t="s">
        <v>1397</v>
      </c>
    </row>
    <row r="69" s="1368" customFormat="1" ht="13.5" spans="1:18">
      <c r="A69" s="1639"/>
      <c r="B69" s="1640"/>
      <c r="C69" s="1410"/>
      <c r="D69" s="1641" t="s">
        <v>1311</v>
      </c>
      <c r="E69" s="1530" t="s">
        <v>1312</v>
      </c>
      <c r="F69" s="1566">
        <f ca="1" t="shared" si="1"/>
        <v>6</v>
      </c>
      <c r="O69" s="1598" t="s">
        <v>1398</v>
      </c>
      <c r="P69" s="1656" t="s">
        <v>1399</v>
      </c>
      <c r="Q69" s="1632">
        <f ca="1">C39</f>
        <v>8133</v>
      </c>
      <c r="R69" s="1632" t="s">
        <v>1336</v>
      </c>
    </row>
    <row r="70" s="1368" customFormat="1" ht="13.5" spans="1:18">
      <c r="A70" s="1642"/>
      <c r="B70" s="1643"/>
      <c r="C70" s="1430"/>
      <c r="D70" s="1542"/>
      <c r="E70" s="1530" t="s">
        <v>1315</v>
      </c>
      <c r="F70" s="1520"/>
      <c r="O70" s="1598" t="s">
        <v>1400</v>
      </c>
      <c r="P70" s="1656" t="s">
        <v>1401</v>
      </c>
      <c r="Q70" s="1632">
        <f ca="1">C13</f>
        <v>15344</v>
      </c>
      <c r="R70" s="1632" t="s">
        <v>1336</v>
      </c>
    </row>
    <row r="71" s="1368" customFormat="1" ht="13.5" spans="1:18">
      <c r="A71" s="1644" t="s">
        <v>1317</v>
      </c>
      <c r="B71" s="1645" t="s">
        <v>1323</v>
      </c>
      <c r="C71" s="1484">
        <f ca="1">ROUND(C68/F71,0)</f>
        <v>-172</v>
      </c>
      <c r="D71" s="1646" t="s">
        <v>1324</v>
      </c>
      <c r="E71" s="1647" t="s">
        <v>1325</v>
      </c>
      <c r="F71" s="1487">
        <f ca="1" t="shared" si="1"/>
        <v>11.4</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0.295</v>
      </c>
      <c r="R74" s="1632" t="s">
        <v>1385</v>
      </c>
    </row>
    <row r="75" ht="13.5" spans="1:18">
      <c r="A75" s="1368"/>
      <c r="B75" s="1649" t="s">
        <v>1406</v>
      </c>
      <c r="C75" s="1650">
        <f ca="1">ROUND(C13*C76,0)</f>
        <v>1074</v>
      </c>
      <c r="D75" s="1368"/>
      <c r="E75" s="1368"/>
      <c r="F75" s="1368"/>
      <c r="K75" s="1577"/>
      <c r="L75" s="1368"/>
      <c r="O75" s="1590" t="s">
        <v>1189</v>
      </c>
      <c r="P75" s="1591" t="s">
        <v>1365</v>
      </c>
      <c r="Q75" s="1632">
        <f ca="1">Q65+Q66</f>
        <v>971609</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0.868</v>
      </c>
    </row>
    <row r="80" spans="2:3">
      <c r="B80" s="1649" t="s">
        <v>1411</v>
      </c>
      <c r="C80" s="475">
        <f ca="1">ROUND(C75/C39,3)</f>
        <v>0.132</v>
      </c>
    </row>
    <row r="81" spans="2:3">
      <c r="B81" s="472" t="s">
        <v>1412</v>
      </c>
      <c r="C81" s="439"/>
    </row>
    <row r="82" spans="2:3">
      <c r="B82" s="474" t="s">
        <v>1163</v>
      </c>
      <c r="C82" s="476">
        <f ca="1">1-C83</f>
        <v>0.634</v>
      </c>
    </row>
    <row r="83" spans="2:3">
      <c r="B83" s="474" t="s">
        <v>1164</v>
      </c>
      <c r="C83" s="475">
        <f ca="1">ROUND(C13/C40,3)</f>
        <v>0.366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N46" sqref="N4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610</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0.1984</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2.9</v>
      </c>
      <c r="C3" s="1151" t="s">
        <v>1414</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S15" si="0">F7</f>
        <v>100</v>
      </c>
      <c r="T7" s="959" t="s">
        <v>1782</v>
      </c>
      <c r="U7" s="960">
        <f t="shared" ref="U7:U15" si="1">H7</f>
        <v>100</v>
      </c>
      <c r="V7" s="959" t="s">
        <v>1782</v>
      </c>
      <c r="W7" s="960">
        <f t="shared" ref="W7:W15" si="2">J7</f>
        <v>100</v>
      </c>
      <c r="X7" s="961"/>
      <c r="Y7" s="904" t="s">
        <v>1781</v>
      </c>
      <c r="Z7" s="962"/>
      <c r="AA7" s="978">
        <f>D7/F7</f>
        <v>1</v>
      </c>
      <c r="AB7" s="978">
        <f>D7/H7</f>
        <v>1</v>
      </c>
      <c r="AC7" s="1356">
        <f>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si="0"/>
        <v>103</v>
      </c>
      <c r="T8" s="959" t="s">
        <v>1782</v>
      </c>
      <c r="U8" s="960">
        <f t="shared" si="1"/>
        <v>103</v>
      </c>
      <c r="V8" s="959" t="s">
        <v>1782</v>
      </c>
      <c r="W8" s="960">
        <f t="shared" si="2"/>
        <v>103</v>
      </c>
      <c r="X8" s="961"/>
      <c r="Y8" s="904" t="s">
        <v>1784</v>
      </c>
      <c r="Z8" s="962"/>
      <c r="AA8" s="978">
        <f t="shared" ref="AA8:AA47" si="3">D8/F8</f>
        <v>0.970873786407767</v>
      </c>
      <c r="AB8" s="978">
        <f t="shared" ref="AB8:AB47" si="4">D8/H8</f>
        <v>0.970873786407767</v>
      </c>
      <c r="AC8" s="1356">
        <f t="shared" ref="AC8:AC47" si="5">D8/J8</f>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1356">
        <f t="shared" si="5"/>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1356">
        <f t="shared" si="5"/>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1356">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1356">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1356">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1356">
        <f t="shared" si="5"/>
        <v>1</v>
      </c>
    </row>
    <row r="15" ht="68.25" spans="1:29">
      <c r="A15" s="778" t="s">
        <v>1791</v>
      </c>
      <c r="B15" s="779" t="s">
        <v>1869</v>
      </c>
      <c r="C15" s="1326" t="str">
        <f>估价对象房地状况!C5</f>
        <v>估价对象位于XX商圈，周边办公楼项目较多，入驻率高，办公集聚程度较好</v>
      </c>
      <c r="D15" s="781">
        <v>100</v>
      </c>
      <c r="E15" s="914"/>
      <c r="F15" s="781">
        <f>SUMIF(77:77,E16,78:78)-SUMIF(77:77,C16,78:78)+100</f>
        <v>103</v>
      </c>
      <c r="G15" s="782"/>
      <c r="H15" s="781">
        <f>SUMIF(77:77,G16,78:78)-SUMIF(77:77,C16,78:78)+100</f>
        <v>103</v>
      </c>
      <c r="I15" s="782"/>
      <c r="J15" s="781">
        <f>SUMIF(77:77,I16,78:78)-SUMIF(77:77,C16,78:78)+100</f>
        <v>103</v>
      </c>
      <c r="K15" s="1199">
        <v>3</v>
      </c>
      <c r="L15" s="913"/>
      <c r="M15" s="897"/>
      <c r="N15" s="897"/>
      <c r="O15" s="897"/>
      <c r="P15" s="1341" t="s">
        <v>1793</v>
      </c>
      <c r="Q15" s="863" t="str">
        <f t="shared" si="6"/>
        <v>办公集聚程度</v>
      </c>
      <c r="R15" s="964" t="s">
        <v>1782</v>
      </c>
      <c r="S15" s="965">
        <f t="shared" si="0"/>
        <v>103</v>
      </c>
      <c r="T15" s="964" t="s">
        <v>1782</v>
      </c>
      <c r="U15" s="965">
        <f t="shared" si="1"/>
        <v>103</v>
      </c>
      <c r="V15" s="964" t="s">
        <v>1782</v>
      </c>
      <c r="W15" s="965">
        <f t="shared" si="2"/>
        <v>103</v>
      </c>
      <c r="X15" s="951"/>
      <c r="Y15" s="915" t="s">
        <v>1793</v>
      </c>
      <c r="Z15" s="937" t="str">
        <f t="shared" si="7"/>
        <v>办公集聚程度</v>
      </c>
      <c r="AA15" s="980">
        <f t="shared" si="3"/>
        <v>0.970873786407767</v>
      </c>
      <c r="AB15" s="980">
        <f t="shared" si="4"/>
        <v>0.970873786407767</v>
      </c>
      <c r="AC15" s="1357">
        <f t="shared" si="5"/>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SUMIF(79:79,E18,80:80)-SUMIF(79:79,C18,80:80)+100</f>
        <v>103</v>
      </c>
      <c r="G17" s="790"/>
      <c r="H17" s="791">
        <f>SUMIF(79:79,G18,80:80)-SUMIF(79:79,C18,80:80)+100</f>
        <v>103</v>
      </c>
      <c r="I17" s="790"/>
      <c r="J17" s="791">
        <f>SUMIF(79:79,I18,80:80)-SUMIF(79:79,C18,80:80)+100</f>
        <v>103</v>
      </c>
      <c r="K17" s="1199">
        <v>3</v>
      </c>
      <c r="L17" s="913"/>
      <c r="M17" s="897"/>
      <c r="N17" s="897"/>
      <c r="O17" s="897"/>
      <c r="P17" s="1342"/>
      <c r="Q17" s="863" t="str">
        <f>B17</f>
        <v>交通便捷度</v>
      </c>
      <c r="R17" s="964" t="s">
        <v>1782</v>
      </c>
      <c r="S17" s="965">
        <f>F17</f>
        <v>103</v>
      </c>
      <c r="T17" s="964" t="s">
        <v>1782</v>
      </c>
      <c r="U17" s="965">
        <f>H17</f>
        <v>103</v>
      </c>
      <c r="V17" s="964" t="s">
        <v>1782</v>
      </c>
      <c r="W17" s="965">
        <f>J17</f>
        <v>103</v>
      </c>
      <c r="X17" s="951"/>
      <c r="Y17" s="916"/>
      <c r="Z17" s="937" t="str">
        <f>Q17</f>
        <v>交通便捷度</v>
      </c>
      <c r="AA17" s="980">
        <f t="shared" si="3"/>
        <v>0.970873786407767</v>
      </c>
      <c r="AB17" s="980">
        <f t="shared" si="4"/>
        <v>0.970873786407767</v>
      </c>
      <c r="AC17" s="1357">
        <f t="shared" si="5"/>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1357">
        <f t="shared" si="5"/>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1357">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2"/>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1357">
        <f t="shared" si="5"/>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2"/>
      <c r="Q25" s="863" t="str">
        <f>B25</f>
        <v>毗邻道路的类型与等级</v>
      </c>
      <c r="R25" s="964" t="s">
        <v>1782</v>
      </c>
      <c r="S25" s="965">
        <f>F25</f>
        <v>103</v>
      </c>
      <c r="T25" s="964" t="s">
        <v>1782</v>
      </c>
      <c r="U25" s="965">
        <f>H25</f>
        <v>106</v>
      </c>
      <c r="V25" s="964" t="s">
        <v>1782</v>
      </c>
      <c r="W25" s="965">
        <f>J25</f>
        <v>106</v>
      </c>
      <c r="X25" s="951"/>
      <c r="Y25" s="916"/>
      <c r="Z25" s="937" t="str">
        <f>Q25</f>
        <v>毗邻道路的类型与等级</v>
      </c>
      <c r="AA25" s="980">
        <f t="shared" si="3"/>
        <v>0.970873786407767</v>
      </c>
      <c r="AB25" s="980">
        <f t="shared" si="4"/>
        <v>0.943396226415094</v>
      </c>
      <c r="AC25" s="1357">
        <f t="shared" si="5"/>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ref="Q27:Q47" si="11">B27</f>
        <v>楼层</v>
      </c>
      <c r="R27" s="964" t="s">
        <v>1782</v>
      </c>
      <c r="S27" s="965">
        <f>F27</f>
        <v>100</v>
      </c>
      <c r="T27" s="964" t="s">
        <v>1782</v>
      </c>
      <c r="U27" s="965">
        <f>H27</f>
        <v>100</v>
      </c>
      <c r="V27" s="964" t="s">
        <v>1782</v>
      </c>
      <c r="W27" s="965">
        <f>J27</f>
        <v>100</v>
      </c>
      <c r="X27" s="951"/>
      <c r="Y27" s="916"/>
      <c r="Z27" s="937" t="str">
        <f>Q27</f>
        <v>楼层</v>
      </c>
      <c r="AA27" s="980">
        <f t="shared" si="3"/>
        <v>1</v>
      </c>
      <c r="AB27" s="980">
        <f t="shared" si="4"/>
        <v>1</v>
      </c>
      <c r="AC27" s="1357">
        <f t="shared" si="5"/>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11"/>
        <v>朝向</v>
      </c>
      <c r="R28" s="959" t="s">
        <v>1782</v>
      </c>
      <c r="S28" s="960">
        <f>F28</f>
        <v>100</v>
      </c>
      <c r="T28" s="959" t="s">
        <v>1782</v>
      </c>
      <c r="U28" s="960">
        <f>H28</f>
        <v>100</v>
      </c>
      <c r="V28" s="959" t="s">
        <v>1782</v>
      </c>
      <c r="W28" s="960">
        <f>J28</f>
        <v>100</v>
      </c>
      <c r="X28" s="961"/>
      <c r="Y28" s="916"/>
      <c r="Z28" s="979" t="str">
        <f>Q28</f>
        <v>朝向</v>
      </c>
      <c r="AA28" s="980">
        <f t="shared" si="3"/>
        <v>1</v>
      </c>
      <c r="AB28" s="980">
        <f t="shared" si="4"/>
        <v>1</v>
      </c>
      <c r="AC28" s="1357">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11"/>
        <v>111</v>
      </c>
      <c r="R29" s="964" t="s">
        <v>1782</v>
      </c>
      <c r="S29" s="965">
        <f t="shared" ref="S29:S47" si="12">F29</f>
        <v>100</v>
      </c>
      <c r="T29" s="964" t="s">
        <v>1782</v>
      </c>
      <c r="U29" s="965">
        <f t="shared" ref="U29:U47" si="13">H29</f>
        <v>100</v>
      </c>
      <c r="V29" s="964" t="s">
        <v>1782</v>
      </c>
      <c r="W29" s="965">
        <f t="shared" ref="W29:W47" si="14">J29</f>
        <v>100</v>
      </c>
      <c r="X29" s="951"/>
      <c r="Y29" s="916"/>
      <c r="Z29" s="937">
        <f t="shared" ref="Z29:Z47" si="15">Q29</f>
        <v>111</v>
      </c>
      <c r="AA29" s="980">
        <f t="shared" si="3"/>
        <v>1</v>
      </c>
      <c r="AB29" s="980">
        <f t="shared" si="4"/>
        <v>1</v>
      </c>
      <c r="AC29" s="1357">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1357">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1357">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11"/>
        <v>111</v>
      </c>
      <c r="R32" s="964" t="s">
        <v>1782</v>
      </c>
      <c r="S32" s="965">
        <f t="shared" si="12"/>
        <v>100</v>
      </c>
      <c r="T32" s="964" t="s">
        <v>1782</v>
      </c>
      <c r="U32" s="965">
        <f t="shared" si="13"/>
        <v>100</v>
      </c>
      <c r="V32" s="964" t="s">
        <v>1782</v>
      </c>
      <c r="W32" s="965">
        <f t="shared" si="14"/>
        <v>100</v>
      </c>
      <c r="X32" s="951"/>
      <c r="Y32" s="916"/>
      <c r="Z32" s="937">
        <f t="shared" si="15"/>
        <v>111</v>
      </c>
      <c r="AA32" s="980">
        <f t="shared" si="3"/>
        <v>1</v>
      </c>
      <c r="AB32" s="980">
        <f t="shared" si="4"/>
        <v>1</v>
      </c>
      <c r="AC32" s="1357">
        <f t="shared" si="5"/>
        <v>1</v>
      </c>
    </row>
    <row r="33" ht="15" spans="1:29">
      <c r="A33" s="778" t="s">
        <v>1800</v>
      </c>
      <c r="B33" s="757" t="s">
        <v>1801</v>
      </c>
      <c r="C33" s="1169" t="s">
        <v>1875</v>
      </c>
      <c r="D33" s="814">
        <v>100</v>
      </c>
      <c r="E33" s="1169" t="s">
        <v>1876</v>
      </c>
      <c r="F33" s="1164">
        <f>SUMIF(101:101,E33,102:102)-SUMIF(101:101,C33,102:102)+100</f>
        <v>105</v>
      </c>
      <c r="G33" s="1169" t="s">
        <v>1876</v>
      </c>
      <c r="H33" s="773">
        <f>SUMIF(101:101,G33,102:102)-SUMIF(101:101,C33,102:102)+100</f>
        <v>105</v>
      </c>
      <c r="I33" s="1169" t="s">
        <v>1876</v>
      </c>
      <c r="J33" s="814">
        <f>SUMIF(101:101,I33,102:102)-SUMIF(101:101,C33,102:102)+100</f>
        <v>105</v>
      </c>
      <c r="K33" s="921">
        <v>5</v>
      </c>
      <c r="L33" s="913"/>
      <c r="M33" s="897"/>
      <c r="N33" s="897"/>
      <c r="O33" s="897"/>
      <c r="P33" s="1343" t="s">
        <v>1802</v>
      </c>
      <c r="Q33" s="863" t="str">
        <f t="shared" si="11"/>
        <v>建筑类型</v>
      </c>
      <c r="R33" s="964" t="s">
        <v>1782</v>
      </c>
      <c r="S33" s="965">
        <f t="shared" si="12"/>
        <v>105</v>
      </c>
      <c r="T33" s="964" t="s">
        <v>1782</v>
      </c>
      <c r="U33" s="965">
        <f t="shared" si="13"/>
        <v>105</v>
      </c>
      <c r="V33" s="964" t="s">
        <v>1782</v>
      </c>
      <c r="W33" s="965">
        <f t="shared" si="14"/>
        <v>105</v>
      </c>
      <c r="X33" s="951"/>
      <c r="Y33" s="925" t="s">
        <v>1802</v>
      </c>
      <c r="Z33" s="937" t="str">
        <f t="shared" si="15"/>
        <v>建筑类型</v>
      </c>
      <c r="AA33" s="980">
        <f t="shared" si="3"/>
        <v>0.952380952380952</v>
      </c>
      <c r="AB33" s="980">
        <f t="shared" si="4"/>
        <v>0.952380952380952</v>
      </c>
      <c r="AC33" s="1357">
        <f t="shared" si="5"/>
        <v>0.952380952380952</v>
      </c>
    </row>
    <row r="34" s="713" customFormat="1" ht="15" spans="1:29">
      <c r="A34" s="820"/>
      <c r="B34" s="761" t="s">
        <v>1803</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4"/>
      <c r="Q34" s="1203" t="str">
        <f t="shared" si="11"/>
        <v>项目建筑规模</v>
      </c>
      <c r="R34" s="966" t="s">
        <v>1782</v>
      </c>
      <c r="S34" s="967">
        <f t="shared" si="12"/>
        <v>104</v>
      </c>
      <c r="T34" s="966" t="s">
        <v>1782</v>
      </c>
      <c r="U34" s="967">
        <f t="shared" si="13"/>
        <v>102</v>
      </c>
      <c r="V34" s="966" t="s">
        <v>1782</v>
      </c>
      <c r="W34" s="967">
        <f t="shared" si="14"/>
        <v>102</v>
      </c>
      <c r="X34" s="968"/>
      <c r="Y34" s="925"/>
      <c r="Z34" s="981" t="str">
        <f t="shared" si="15"/>
        <v>项目建筑规模</v>
      </c>
      <c r="AA34" s="980">
        <f t="shared" si="3"/>
        <v>0.961538461538462</v>
      </c>
      <c r="AB34" s="980">
        <f t="shared" si="4"/>
        <v>0.980392156862745</v>
      </c>
      <c r="AC34" s="1357">
        <f t="shared" si="5"/>
        <v>0.980392156862745</v>
      </c>
    </row>
    <row r="35" ht="15" spans="1:29">
      <c r="A35" s="815"/>
      <c r="B35" s="761" t="s">
        <v>1804</v>
      </c>
      <c r="C35" s="1174" t="s">
        <v>1877</v>
      </c>
      <c r="D35" s="773">
        <v>100</v>
      </c>
      <c r="E35" s="1174" t="s">
        <v>1878</v>
      </c>
      <c r="F35" s="1164">
        <f>SUMIF(106:106,E35,107:107)-SUMIF(106:106,C35,107:107)+100</f>
        <v>102</v>
      </c>
      <c r="G35" s="1174" t="s">
        <v>1878</v>
      </c>
      <c r="H35" s="773">
        <f>SUMIF(106:106,G35,107:107)-SUMIF(106:106,C35,107:107)+100</f>
        <v>102</v>
      </c>
      <c r="I35" s="1174" t="s">
        <v>1878</v>
      </c>
      <c r="J35" s="773">
        <f>SUMIF(106:106,I35,107:107)-SUMIF(106:106,C35,107:107)+100</f>
        <v>102</v>
      </c>
      <c r="K35" s="921">
        <v>2</v>
      </c>
      <c r="L35" s="913"/>
      <c r="M35" s="897"/>
      <c r="N35" s="897"/>
      <c r="O35" s="897"/>
      <c r="P35" s="1344"/>
      <c r="Q35" s="863" t="str">
        <f t="shared" si="11"/>
        <v>建筑结构</v>
      </c>
      <c r="R35" s="964" t="s">
        <v>1782</v>
      </c>
      <c r="S35" s="965">
        <f t="shared" si="12"/>
        <v>102</v>
      </c>
      <c r="T35" s="964" t="s">
        <v>1782</v>
      </c>
      <c r="U35" s="965">
        <f t="shared" si="13"/>
        <v>102</v>
      </c>
      <c r="V35" s="964" t="s">
        <v>1782</v>
      </c>
      <c r="W35" s="965">
        <f t="shared" si="14"/>
        <v>102</v>
      </c>
      <c r="X35" s="951"/>
      <c r="Y35" s="925"/>
      <c r="Z35" s="937" t="str">
        <f t="shared" si="15"/>
        <v>建筑结构</v>
      </c>
      <c r="AA35" s="980">
        <f t="shared" si="3"/>
        <v>0.980392156862745</v>
      </c>
      <c r="AB35" s="980">
        <f t="shared" si="4"/>
        <v>0.980392156862745</v>
      </c>
      <c r="AC35" s="1357">
        <f t="shared" si="5"/>
        <v>0.980392156862745</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11"/>
        <v>公共部分装修</v>
      </c>
      <c r="R36" s="964" t="s">
        <v>1782</v>
      </c>
      <c r="S36" s="965">
        <f t="shared" si="12"/>
        <v>104</v>
      </c>
      <c r="T36" s="964" t="s">
        <v>1782</v>
      </c>
      <c r="U36" s="965">
        <f t="shared" si="13"/>
        <v>104</v>
      </c>
      <c r="V36" s="964" t="s">
        <v>1782</v>
      </c>
      <c r="W36" s="965">
        <f t="shared" si="14"/>
        <v>104</v>
      </c>
      <c r="X36" s="951"/>
      <c r="Y36" s="925"/>
      <c r="Z36" s="937" t="str">
        <f t="shared" si="15"/>
        <v>公共部分装修</v>
      </c>
      <c r="AA36" s="980">
        <f t="shared" si="3"/>
        <v>0.961538461538462</v>
      </c>
      <c r="AB36" s="980">
        <f t="shared" si="4"/>
        <v>0.961538461538462</v>
      </c>
      <c r="AC36" s="1357">
        <f t="shared" si="5"/>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11"/>
        <v>成新度</v>
      </c>
      <c r="R37" s="964" t="s">
        <v>1782</v>
      </c>
      <c r="S37" s="965">
        <f t="shared" si="12"/>
        <v>100</v>
      </c>
      <c r="T37" s="964" t="s">
        <v>1782</v>
      </c>
      <c r="U37" s="965">
        <f t="shared" si="13"/>
        <v>102</v>
      </c>
      <c r="V37" s="964" t="s">
        <v>1782</v>
      </c>
      <c r="W37" s="965">
        <f t="shared" si="14"/>
        <v>100</v>
      </c>
      <c r="X37" s="951"/>
      <c r="Y37" s="925"/>
      <c r="Z37" s="937" t="str">
        <f t="shared" si="15"/>
        <v>成新度</v>
      </c>
      <c r="AA37" s="980">
        <f t="shared" si="3"/>
        <v>1</v>
      </c>
      <c r="AB37" s="980">
        <f t="shared" si="4"/>
        <v>0.980392156862745</v>
      </c>
      <c r="AC37" s="1357">
        <f t="shared" si="5"/>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11"/>
        <v>写字楼等级</v>
      </c>
      <c r="R38" s="959" t="s">
        <v>1782</v>
      </c>
      <c r="S38" s="960">
        <f t="shared" si="12"/>
        <v>100</v>
      </c>
      <c r="T38" s="959" t="s">
        <v>1782</v>
      </c>
      <c r="U38" s="960">
        <f t="shared" si="13"/>
        <v>100</v>
      </c>
      <c r="V38" s="959" t="s">
        <v>1782</v>
      </c>
      <c r="W38" s="960">
        <f t="shared" si="14"/>
        <v>100</v>
      </c>
      <c r="X38" s="961"/>
      <c r="Y38" s="925"/>
      <c r="Z38" s="979" t="str">
        <f t="shared" si="15"/>
        <v>写字楼等级</v>
      </c>
      <c r="AA38" s="978">
        <f t="shared" si="3"/>
        <v>1</v>
      </c>
      <c r="AB38" s="978">
        <f t="shared" si="4"/>
        <v>1</v>
      </c>
      <c r="AC38" s="1356">
        <f t="shared" si="5"/>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11"/>
        <v>物业管理</v>
      </c>
      <c r="R39" s="964" t="s">
        <v>1782</v>
      </c>
      <c r="S39" s="965">
        <f t="shared" si="12"/>
        <v>104</v>
      </c>
      <c r="T39" s="964" t="s">
        <v>1782</v>
      </c>
      <c r="U39" s="965">
        <f t="shared" si="13"/>
        <v>104</v>
      </c>
      <c r="V39" s="964" t="s">
        <v>1782</v>
      </c>
      <c r="W39" s="965">
        <f t="shared" si="14"/>
        <v>104</v>
      </c>
      <c r="X39" s="951"/>
      <c r="Y39" s="925" t="s">
        <v>1802</v>
      </c>
      <c r="Z39" s="937" t="str">
        <f t="shared" si="15"/>
        <v>物业管理</v>
      </c>
      <c r="AA39" s="980">
        <f t="shared" si="3"/>
        <v>0.961538461538462</v>
      </c>
      <c r="AB39" s="980">
        <f t="shared" si="4"/>
        <v>0.961538461538462</v>
      </c>
      <c r="AC39" s="1357">
        <f t="shared" si="5"/>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11"/>
        <v>市政基础设施</v>
      </c>
      <c r="R40" s="964" t="s">
        <v>1782</v>
      </c>
      <c r="S40" s="965">
        <f t="shared" si="12"/>
        <v>100</v>
      </c>
      <c r="T40" s="964" t="s">
        <v>1782</v>
      </c>
      <c r="U40" s="965">
        <f t="shared" si="13"/>
        <v>100</v>
      </c>
      <c r="V40" s="964" t="s">
        <v>1782</v>
      </c>
      <c r="W40" s="965">
        <f t="shared" si="14"/>
        <v>100</v>
      </c>
      <c r="X40" s="951"/>
      <c r="Y40" s="925"/>
      <c r="Z40" s="937" t="str">
        <f t="shared" si="15"/>
        <v>市政基础设施</v>
      </c>
      <c r="AA40" s="980">
        <f t="shared" si="3"/>
        <v>1</v>
      </c>
      <c r="AB40" s="980">
        <f t="shared" si="4"/>
        <v>1</v>
      </c>
      <c r="AC40" s="1357">
        <f t="shared" si="5"/>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11"/>
        <v>层高</v>
      </c>
      <c r="R41" s="964" t="s">
        <v>1782</v>
      </c>
      <c r="S41" s="965">
        <f t="shared" si="12"/>
        <v>100</v>
      </c>
      <c r="T41" s="964" t="s">
        <v>1782</v>
      </c>
      <c r="U41" s="965">
        <f t="shared" si="13"/>
        <v>100</v>
      </c>
      <c r="V41" s="964" t="s">
        <v>1782</v>
      </c>
      <c r="W41" s="965">
        <f t="shared" si="14"/>
        <v>100</v>
      </c>
      <c r="X41" s="951"/>
      <c r="Y41" s="925"/>
      <c r="Z41" s="937" t="str">
        <f t="shared" si="15"/>
        <v>层高</v>
      </c>
      <c r="AA41" s="980">
        <f t="shared" si="3"/>
        <v>1</v>
      </c>
      <c r="AB41" s="980">
        <f t="shared" si="4"/>
        <v>1</v>
      </c>
      <c r="AC41" s="1357">
        <f t="shared" si="5"/>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11"/>
        <v>单套建筑面积</v>
      </c>
      <c r="R42" s="966" t="s">
        <v>1782</v>
      </c>
      <c r="S42" s="967">
        <f t="shared" si="12"/>
        <v>100</v>
      </c>
      <c r="T42" s="966" t="s">
        <v>1782</v>
      </c>
      <c r="U42" s="967">
        <f t="shared" si="13"/>
        <v>100</v>
      </c>
      <c r="V42" s="966" t="s">
        <v>1782</v>
      </c>
      <c r="W42" s="967">
        <f t="shared" si="14"/>
        <v>100</v>
      </c>
      <c r="X42" s="968"/>
      <c r="Y42" s="925"/>
      <c r="Z42" s="981" t="str">
        <f t="shared" si="15"/>
        <v>单套建筑面积</v>
      </c>
      <c r="AA42" s="980">
        <f t="shared" si="3"/>
        <v>1</v>
      </c>
      <c r="AB42" s="980">
        <f t="shared" si="4"/>
        <v>1</v>
      </c>
      <c r="AC42" s="1357">
        <f t="shared" si="5"/>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11"/>
        <v>内部装修</v>
      </c>
      <c r="R43" s="964" t="s">
        <v>1782</v>
      </c>
      <c r="S43" s="965">
        <f t="shared" si="12"/>
        <v>100</v>
      </c>
      <c r="T43" s="964" t="s">
        <v>1782</v>
      </c>
      <c r="U43" s="965">
        <f t="shared" si="13"/>
        <v>100</v>
      </c>
      <c r="V43" s="964" t="s">
        <v>1782</v>
      </c>
      <c r="W43" s="965">
        <f t="shared" si="14"/>
        <v>100</v>
      </c>
      <c r="X43" s="951"/>
      <c r="Y43" s="925"/>
      <c r="Z43" s="937" t="str">
        <f t="shared" si="15"/>
        <v>内部装修</v>
      </c>
      <c r="AA43" s="980">
        <f t="shared" si="3"/>
        <v>1</v>
      </c>
      <c r="AB43" s="980">
        <f t="shared" si="4"/>
        <v>1</v>
      </c>
      <c r="AC43" s="1357">
        <f t="shared" si="5"/>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11"/>
        <v>内部装修维护情况</v>
      </c>
      <c r="R44" s="964" t="s">
        <v>1782</v>
      </c>
      <c r="S44" s="965">
        <f t="shared" si="12"/>
        <v>102</v>
      </c>
      <c r="T44" s="964" t="s">
        <v>1782</v>
      </c>
      <c r="U44" s="965">
        <f t="shared" si="13"/>
        <v>102</v>
      </c>
      <c r="V44" s="964" t="s">
        <v>1782</v>
      </c>
      <c r="W44" s="965">
        <f t="shared" si="14"/>
        <v>102</v>
      </c>
      <c r="X44" s="951"/>
      <c r="Y44" s="925"/>
      <c r="Z44" s="937" t="str">
        <f t="shared" si="15"/>
        <v>内部装修维护情况</v>
      </c>
      <c r="AA44" s="980">
        <f t="shared" si="3"/>
        <v>0.980392156862745</v>
      </c>
      <c r="AB44" s="980">
        <f t="shared" si="4"/>
        <v>0.980392156862745</v>
      </c>
      <c r="AC44" s="1357">
        <f t="shared" si="5"/>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11"/>
        <v>111</v>
      </c>
      <c r="R45" s="959" t="s">
        <v>1782</v>
      </c>
      <c r="S45" s="960">
        <f t="shared" si="12"/>
        <v>100</v>
      </c>
      <c r="T45" s="959" t="s">
        <v>1782</v>
      </c>
      <c r="U45" s="960">
        <f t="shared" si="13"/>
        <v>100</v>
      </c>
      <c r="V45" s="959" t="s">
        <v>1782</v>
      </c>
      <c r="W45" s="960">
        <f t="shared" si="14"/>
        <v>100</v>
      </c>
      <c r="X45" s="961"/>
      <c r="Y45" s="925"/>
      <c r="Z45" s="979">
        <f t="shared" si="15"/>
        <v>111</v>
      </c>
      <c r="AA45" s="978">
        <f t="shared" si="3"/>
        <v>1</v>
      </c>
      <c r="AB45" s="978">
        <f t="shared" si="4"/>
        <v>1</v>
      </c>
      <c r="AC45" s="1356">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11"/>
        <v>111</v>
      </c>
      <c r="R46" s="964" t="s">
        <v>1782</v>
      </c>
      <c r="S46" s="965">
        <f t="shared" si="12"/>
        <v>100</v>
      </c>
      <c r="T46" s="964" t="s">
        <v>1782</v>
      </c>
      <c r="U46" s="965">
        <f t="shared" si="13"/>
        <v>100</v>
      </c>
      <c r="V46" s="964" t="s">
        <v>1782</v>
      </c>
      <c r="W46" s="965">
        <f t="shared" si="14"/>
        <v>100</v>
      </c>
      <c r="X46" s="951"/>
      <c r="Y46" s="925"/>
      <c r="Z46" s="937">
        <f t="shared" si="15"/>
        <v>111</v>
      </c>
      <c r="AA46" s="980">
        <f t="shared" si="3"/>
        <v>1</v>
      </c>
      <c r="AB46" s="980">
        <f t="shared" si="4"/>
        <v>1</v>
      </c>
      <c r="AC46" s="1357">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11"/>
        <v>111</v>
      </c>
      <c r="R47" s="964" t="s">
        <v>1782</v>
      </c>
      <c r="S47" s="965">
        <f t="shared" si="12"/>
        <v>100</v>
      </c>
      <c r="T47" s="964" t="s">
        <v>1782</v>
      </c>
      <c r="U47" s="965">
        <f t="shared" si="13"/>
        <v>100</v>
      </c>
      <c r="V47" s="964" t="s">
        <v>1782</v>
      </c>
      <c r="W47" s="965">
        <f t="shared" si="14"/>
        <v>100</v>
      </c>
      <c r="X47" s="951"/>
      <c r="Y47" s="1294"/>
      <c r="Z47" s="937">
        <f t="shared" si="15"/>
        <v>111</v>
      </c>
      <c r="AA47" s="980">
        <f t="shared" si="3"/>
        <v>1</v>
      </c>
      <c r="AB47" s="980">
        <f t="shared" si="4"/>
        <v>1</v>
      </c>
      <c r="AC47" s="1357">
        <f t="shared" si="5"/>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1814</v>
      </c>
      <c r="B49" s="1185"/>
      <c r="C49" s="1186">
        <f>R50</f>
        <v>2.9</v>
      </c>
      <c r="D49" s="833" t="s">
        <v>1815</v>
      </c>
      <c r="E49" s="1187">
        <f>R49</f>
        <v>3.1</v>
      </c>
      <c r="F49" s="834"/>
      <c r="G49" s="1186">
        <f>T49</f>
        <v>2.8</v>
      </c>
      <c r="H49" s="834"/>
      <c r="I49" s="1187">
        <f>V49</f>
        <v>2.7</v>
      </c>
      <c r="J49" s="834"/>
      <c r="K49" s="930">
        <f>F49+H49+J49</f>
        <v>0</v>
      </c>
      <c r="L49" s="929"/>
      <c r="M49" s="897"/>
      <c r="N49" s="897"/>
      <c r="O49" s="897"/>
      <c r="P49" s="862" t="str">
        <f>A49</f>
        <v>比较价值（元/平方米）</v>
      </c>
      <c r="Q49" s="863"/>
      <c r="R49" s="980">
        <f>IF(F1="售价",ROUND(PRODUCT(R48,AA7:AA47),0),ROUND(PRODUCT(R48,AA7:AA47),1))</f>
        <v>3.1</v>
      </c>
      <c r="S49" s="980"/>
      <c r="T49" s="980">
        <f>IF(F1="售价",ROUND(PRODUCT(T48,AB7:AB47),0),ROUND(PRODUCT(T48,AB7:AB47),1))</f>
        <v>2.8</v>
      </c>
      <c r="U49" s="980"/>
      <c r="V49" s="980">
        <f>IF(F1="售价",ROUND(PRODUCT(V48,AC7:AC47),0),ROUND(PRODUCT(V48,AC7:AC47),1))</f>
        <v>2.7</v>
      </c>
      <c r="W49" s="980"/>
      <c r="X49" s="1108"/>
      <c r="Y49" s="1108"/>
      <c r="Z49" s="1108"/>
      <c r="AA49" s="1108"/>
      <c r="AB49" s="1108"/>
      <c r="AC49" s="783"/>
    </row>
    <row r="50" ht="15.75" spans="1:29">
      <c r="A50" s="836" t="s">
        <v>1816</v>
      </c>
      <c r="B50" s="837"/>
      <c r="C50" s="1188">
        <f>R50</f>
        <v>2.9</v>
      </c>
      <c r="D50" s="1188"/>
      <c r="E50" s="1188"/>
      <c r="F50" s="1188"/>
      <c r="G50" s="1188"/>
      <c r="H50" s="1188"/>
      <c r="I50" s="1188"/>
      <c r="J50" s="838"/>
      <c r="K50" s="931"/>
      <c r="L50" s="929"/>
      <c r="M50" s="897"/>
      <c r="N50" s="897"/>
      <c r="O50" s="897"/>
      <c r="P50" s="1346" t="str">
        <f>A50</f>
        <v>估价对象XX用房的比较价值（楼面单价，元/平方米）</v>
      </c>
      <c r="Q50" s="1351"/>
      <c r="R50" s="1352">
        <f>IF(F1="售价",ROUND(IF(D49="简单平均",AVERAGE(R49:V49),R49*F49+T49*H49+V49*J49),0),ROUND(IF(D49="简单平均",AVERAGE(R49:V49),R49*F49+T49*H49+V49*J49),1))</f>
        <v>2.9</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IF(E48&lt;E49,E49/E48-1,E48/E49-1)</f>
        <v>0.380645161290322</v>
      </c>
      <c r="F53" s="844" t="str">
        <f>IF(OR(E53&gt;=0.3,E53&lt;=-0.3),"超过30%","")</f>
        <v>超过30%</v>
      </c>
      <c r="G53" s="843">
        <f>IF(G48&lt;G49,G49/G48-1,G48/G49-1)</f>
        <v>0.428571428571429</v>
      </c>
      <c r="H53" s="844" t="str">
        <f>IF(OR(G53&gt;=0.3,G53&lt;=-0.3),"超过30%","")</f>
        <v>超过30%</v>
      </c>
      <c r="I53" s="843">
        <f>IF(I48&lt;I49,I49/I48-1,I48/I49-1)</f>
        <v>0.418518518518519</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0.107142857142857</v>
      </c>
      <c r="F54" s="844" t="str">
        <f>IF(OR(E54&gt;=0.2,E54&lt;=-0.2),"超过20%","")</f>
        <v/>
      </c>
      <c r="G54" s="843">
        <f>IF(G49&lt;I49,I49/G49-1,G49/I49-1)</f>
        <v>0.037037037037037</v>
      </c>
      <c r="H54" s="844" t="str">
        <f>IF(OR(G54&gt;=0.2,G54&lt;=-0.2),"超过20%","")</f>
        <v/>
      </c>
      <c r="I54" s="843">
        <f>IF(I49&lt;E49,E49/I49-1,I49/E49-1)</f>
        <v>0.148148148148148</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1875</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7" workbookViewId="0">
      <selection activeCell="M32" sqref="M32"/>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611</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0.0032</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2.8</v>
      </c>
      <c r="C3" s="1151" t="s">
        <v>1414</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W7" si="0">F7</f>
        <v>100</v>
      </c>
      <c r="T7" s="959" t="s">
        <v>1782</v>
      </c>
      <c r="U7" s="960">
        <f t="shared" si="0"/>
        <v>100</v>
      </c>
      <c r="V7" s="959" t="s">
        <v>1782</v>
      </c>
      <c r="W7" s="960">
        <f t="shared" si="0"/>
        <v>100</v>
      </c>
      <c r="X7" s="961"/>
      <c r="Y7" s="904" t="s">
        <v>1781</v>
      </c>
      <c r="Z7" s="962"/>
      <c r="AA7" s="978">
        <f t="shared" ref="AA7:AA15" si="1">D7/F7</f>
        <v>1</v>
      </c>
      <c r="AB7" s="978">
        <f t="shared" ref="AB7:AB15" si="2">D7/H7</f>
        <v>1</v>
      </c>
      <c r="AC7" s="1356">
        <f t="shared" ref="AC7:AC15" si="3">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ref="S8:W8" si="4">F8</f>
        <v>103</v>
      </c>
      <c r="T8" s="959" t="s">
        <v>1782</v>
      </c>
      <c r="U8" s="960">
        <f t="shared" si="4"/>
        <v>103</v>
      </c>
      <c r="V8" s="959" t="s">
        <v>1782</v>
      </c>
      <c r="W8" s="960">
        <f t="shared" si="4"/>
        <v>103</v>
      </c>
      <c r="X8" s="961"/>
      <c r="Y8" s="904" t="s">
        <v>1784</v>
      </c>
      <c r="Z8" s="962"/>
      <c r="AA8" s="978">
        <f t="shared" si="1"/>
        <v>0.970873786407767</v>
      </c>
      <c r="AB8" s="978">
        <f t="shared" si="2"/>
        <v>0.970873786407767</v>
      </c>
      <c r="AC8" s="1356">
        <f t="shared" si="3"/>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5">B9</f>
        <v>用途</v>
      </c>
      <c r="R9" s="959" t="s">
        <v>1782</v>
      </c>
      <c r="S9" s="960">
        <f t="shared" ref="S9:W9" si="6">F9</f>
        <v>100</v>
      </c>
      <c r="T9" s="959" t="s">
        <v>1782</v>
      </c>
      <c r="U9" s="960">
        <f t="shared" si="6"/>
        <v>100</v>
      </c>
      <c r="V9" s="959" t="s">
        <v>1782</v>
      </c>
      <c r="W9" s="960">
        <f t="shared" si="6"/>
        <v>100</v>
      </c>
      <c r="X9" s="961"/>
      <c r="Y9" s="963" t="s">
        <v>1788</v>
      </c>
      <c r="Z9" s="979" t="str">
        <f t="shared" ref="Z9:Z15" si="7">Q9</f>
        <v>用途</v>
      </c>
      <c r="AA9" s="978">
        <f t="shared" si="1"/>
        <v>1</v>
      </c>
      <c r="AB9" s="978">
        <f t="shared" si="2"/>
        <v>1</v>
      </c>
      <c r="AC9" s="1356">
        <f t="shared" si="3"/>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1782</v>
      </c>
      <c r="S10" s="960">
        <f t="shared" ref="S10:W10" si="8">F10</f>
        <v>100</v>
      </c>
      <c r="T10" s="959" t="s">
        <v>1782</v>
      </c>
      <c r="U10" s="960">
        <f t="shared" si="8"/>
        <v>100</v>
      </c>
      <c r="V10" s="959" t="s">
        <v>1782</v>
      </c>
      <c r="W10" s="960">
        <f t="shared" si="8"/>
        <v>100</v>
      </c>
      <c r="X10" s="961"/>
      <c r="Y10" s="963"/>
      <c r="Z10" s="979" t="str">
        <f t="shared" si="7"/>
        <v>土地使用年限（年）</v>
      </c>
      <c r="AA10" s="978">
        <f t="shared" si="1"/>
        <v>1</v>
      </c>
      <c r="AB10" s="978">
        <f t="shared" si="2"/>
        <v>1</v>
      </c>
      <c r="AC10" s="1356">
        <f t="shared" si="3"/>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1782</v>
      </c>
      <c r="S11" s="960">
        <f t="shared" ref="S11:W11" si="9">F11</f>
        <v>100</v>
      </c>
      <c r="T11" s="959" t="s">
        <v>1782</v>
      </c>
      <c r="U11" s="960">
        <f t="shared" si="9"/>
        <v>100</v>
      </c>
      <c r="V11" s="959" t="s">
        <v>1782</v>
      </c>
      <c r="W11" s="960">
        <f t="shared" si="9"/>
        <v>100</v>
      </c>
      <c r="X11" s="961"/>
      <c r="Y11" s="963"/>
      <c r="Z11" s="979" t="str">
        <f t="shared" si="7"/>
        <v>容积率</v>
      </c>
      <c r="AA11" s="978">
        <f t="shared" si="1"/>
        <v>1</v>
      </c>
      <c r="AB11" s="978">
        <f t="shared" si="2"/>
        <v>1</v>
      </c>
      <c r="AC11" s="1356">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1782</v>
      </c>
      <c r="S12" s="960">
        <f t="shared" ref="S12:W12" si="10">F12</f>
        <v>100</v>
      </c>
      <c r="T12" s="959" t="s">
        <v>1782</v>
      </c>
      <c r="U12" s="960">
        <f t="shared" si="10"/>
        <v>100</v>
      </c>
      <c r="V12" s="959" t="s">
        <v>1782</v>
      </c>
      <c r="W12" s="960">
        <f t="shared" si="10"/>
        <v>100</v>
      </c>
      <c r="X12" s="961"/>
      <c r="Y12" s="963"/>
      <c r="Z12" s="979">
        <f t="shared" si="7"/>
        <v>111</v>
      </c>
      <c r="AA12" s="978">
        <f t="shared" si="1"/>
        <v>1</v>
      </c>
      <c r="AB12" s="978">
        <f t="shared" si="2"/>
        <v>1</v>
      </c>
      <c r="AC12" s="1356">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1782</v>
      </c>
      <c r="S13" s="960">
        <f t="shared" ref="S13:W13" si="11">F13</f>
        <v>100</v>
      </c>
      <c r="T13" s="959" t="s">
        <v>1782</v>
      </c>
      <c r="U13" s="960">
        <f t="shared" si="11"/>
        <v>100</v>
      </c>
      <c r="V13" s="959" t="s">
        <v>1782</v>
      </c>
      <c r="W13" s="960">
        <f t="shared" si="11"/>
        <v>100</v>
      </c>
      <c r="X13" s="961"/>
      <c r="Y13" s="963"/>
      <c r="Z13" s="979">
        <f t="shared" si="7"/>
        <v>111</v>
      </c>
      <c r="AA13" s="978">
        <f t="shared" si="1"/>
        <v>1</v>
      </c>
      <c r="AB13" s="978">
        <f t="shared" si="2"/>
        <v>1</v>
      </c>
      <c r="AC13" s="1356">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1782</v>
      </c>
      <c r="S14" s="960">
        <f t="shared" ref="S14:W14" si="12">F14</f>
        <v>100</v>
      </c>
      <c r="T14" s="959" t="s">
        <v>1782</v>
      </c>
      <c r="U14" s="960">
        <f t="shared" si="12"/>
        <v>100</v>
      </c>
      <c r="V14" s="959" t="s">
        <v>1782</v>
      </c>
      <c r="W14" s="960">
        <f t="shared" si="12"/>
        <v>100</v>
      </c>
      <c r="X14" s="961"/>
      <c r="Y14" s="963"/>
      <c r="Z14" s="979">
        <f t="shared" si="7"/>
        <v>111</v>
      </c>
      <c r="AA14" s="978">
        <f t="shared" si="1"/>
        <v>1</v>
      </c>
      <c r="AB14" s="978">
        <f t="shared" si="2"/>
        <v>1</v>
      </c>
      <c r="AC14" s="1356">
        <f t="shared" si="3"/>
        <v>1</v>
      </c>
    </row>
    <row r="15" ht="68.25" spans="1:29">
      <c r="A15" s="778" t="s">
        <v>1791</v>
      </c>
      <c r="B15" s="779" t="s">
        <v>1869</v>
      </c>
      <c r="C15" s="1326" t="str">
        <f>估价对象房地状况!C5</f>
        <v>估价对象位于XX商圈，周边办公楼项目较多，入驻率高，办公集聚程度较好</v>
      </c>
      <c r="D15" s="781">
        <v>100</v>
      </c>
      <c r="E15" s="914"/>
      <c r="F15" s="781">
        <f t="shared" ref="F15:F19" si="13">SUMIF(77:77,E16,78:78)-SUMIF(77:77,C16,78:78)+100</f>
        <v>103</v>
      </c>
      <c r="G15" s="782"/>
      <c r="H15" s="781">
        <f t="shared" ref="H15:H19" si="14">SUMIF(77:77,G16,78:78)-SUMIF(77:77,C16,78:78)+100</f>
        <v>103</v>
      </c>
      <c r="I15" s="782"/>
      <c r="J15" s="781">
        <f t="shared" ref="J15:J19" si="15">SUMIF(77:77,I16,78:78)-SUMIF(77:77,C16,78:78)+100</f>
        <v>103</v>
      </c>
      <c r="K15" s="1199">
        <v>3</v>
      </c>
      <c r="L15" s="913"/>
      <c r="M15" s="897"/>
      <c r="N15" s="897"/>
      <c r="O15" s="897"/>
      <c r="P15" s="1341" t="s">
        <v>1793</v>
      </c>
      <c r="Q15" s="863" t="str">
        <f t="shared" si="5"/>
        <v>办公集聚程度</v>
      </c>
      <c r="R15" s="964" t="s">
        <v>1782</v>
      </c>
      <c r="S15" s="965">
        <f t="shared" ref="S15:W15" si="16">F15</f>
        <v>103</v>
      </c>
      <c r="T15" s="964" t="s">
        <v>1782</v>
      </c>
      <c r="U15" s="965">
        <f t="shared" si="16"/>
        <v>103</v>
      </c>
      <c r="V15" s="964" t="s">
        <v>1782</v>
      </c>
      <c r="W15" s="965">
        <f t="shared" si="16"/>
        <v>103</v>
      </c>
      <c r="X15" s="951"/>
      <c r="Y15" s="915" t="s">
        <v>1793</v>
      </c>
      <c r="Z15" s="937" t="str">
        <f t="shared" si="7"/>
        <v>办公集聚程度</v>
      </c>
      <c r="AA15" s="980">
        <f t="shared" si="1"/>
        <v>0.970873786407767</v>
      </c>
      <c r="AB15" s="980">
        <f t="shared" si="2"/>
        <v>0.970873786407767</v>
      </c>
      <c r="AC15" s="1357">
        <f t="shared" si="3"/>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 t="shared" si="13"/>
        <v>103</v>
      </c>
      <c r="G17" s="790"/>
      <c r="H17" s="791">
        <f t="shared" si="14"/>
        <v>103</v>
      </c>
      <c r="I17" s="790"/>
      <c r="J17" s="791">
        <f t="shared" si="15"/>
        <v>103</v>
      </c>
      <c r="K17" s="1199">
        <v>3</v>
      </c>
      <c r="L17" s="913"/>
      <c r="M17" s="897"/>
      <c r="N17" s="897"/>
      <c r="O17" s="897"/>
      <c r="P17" s="1342"/>
      <c r="Q17" s="863" t="str">
        <f t="shared" ref="Q17:Q21" si="17">B17</f>
        <v>交通便捷度</v>
      </c>
      <c r="R17" s="964" t="s">
        <v>1782</v>
      </c>
      <c r="S17" s="965">
        <f t="shared" ref="S17:W17" si="18">F17</f>
        <v>103</v>
      </c>
      <c r="T17" s="964" t="s">
        <v>1782</v>
      </c>
      <c r="U17" s="965">
        <f t="shared" si="18"/>
        <v>103</v>
      </c>
      <c r="V17" s="964" t="s">
        <v>1782</v>
      </c>
      <c r="W17" s="965">
        <f t="shared" si="18"/>
        <v>103</v>
      </c>
      <c r="X17" s="951"/>
      <c r="Y17" s="916"/>
      <c r="Z17" s="937" t="str">
        <f t="shared" ref="Z17:Z21" si="19">Q17</f>
        <v>交通便捷度</v>
      </c>
      <c r="AA17" s="980">
        <f t="shared" ref="AA17:AA21" si="20">D17/F17</f>
        <v>0.970873786407767</v>
      </c>
      <c r="AB17" s="980">
        <f t="shared" ref="AB17:AB21" si="21">D17/H17</f>
        <v>0.970873786407767</v>
      </c>
      <c r="AC17" s="1357">
        <f t="shared" ref="AC17:AC21" si="22">D17/J17</f>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2"/>
      <c r="Q19" s="863" t="str">
        <f t="shared" si="17"/>
        <v>公共配套设施</v>
      </c>
      <c r="R19" s="964" t="s">
        <v>1782</v>
      </c>
      <c r="S19" s="965">
        <f t="shared" ref="S19:W19" si="23">F19</f>
        <v>100</v>
      </c>
      <c r="T19" s="964" t="s">
        <v>1782</v>
      </c>
      <c r="U19" s="965">
        <f t="shared" si="23"/>
        <v>100</v>
      </c>
      <c r="V19" s="964" t="s">
        <v>1782</v>
      </c>
      <c r="W19" s="965">
        <f t="shared" si="23"/>
        <v>100</v>
      </c>
      <c r="X19" s="951"/>
      <c r="Y19" s="916"/>
      <c r="Z19" s="937" t="str">
        <f t="shared" si="19"/>
        <v>公共配套设施</v>
      </c>
      <c r="AA19" s="980">
        <f t="shared" si="20"/>
        <v>1</v>
      </c>
      <c r="AB19" s="980">
        <f t="shared" si="21"/>
        <v>1</v>
      </c>
      <c r="AC19" s="1357">
        <f t="shared" si="22"/>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2"/>
      <c r="Q21" s="863" t="str">
        <f t="shared" si="17"/>
        <v>基础设施水平</v>
      </c>
      <c r="R21" s="964" t="s">
        <v>1782</v>
      </c>
      <c r="S21" s="965">
        <f t="shared" ref="S21:W21" si="27">F21</f>
        <v>100</v>
      </c>
      <c r="T21" s="964" t="s">
        <v>1782</v>
      </c>
      <c r="U21" s="965">
        <f t="shared" si="27"/>
        <v>100</v>
      </c>
      <c r="V21" s="964" t="s">
        <v>1782</v>
      </c>
      <c r="W21" s="965">
        <f t="shared" si="27"/>
        <v>100</v>
      </c>
      <c r="X21" s="951"/>
      <c r="Y21" s="916"/>
      <c r="Z21" s="937" t="str">
        <f t="shared" si="19"/>
        <v>基础设施水平</v>
      </c>
      <c r="AA21" s="980">
        <f t="shared" si="20"/>
        <v>1</v>
      </c>
      <c r="AB21" s="980">
        <f t="shared" si="21"/>
        <v>1</v>
      </c>
      <c r="AC21" s="1357">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2"/>
      <c r="Q23" s="863" t="str">
        <f t="shared" ref="Q23:Q47" si="28">B23</f>
        <v>环境质量</v>
      </c>
      <c r="R23" s="964" t="s">
        <v>1782</v>
      </c>
      <c r="S23" s="965">
        <f t="shared" ref="S23:W23" si="29">F23</f>
        <v>100</v>
      </c>
      <c r="T23" s="964" t="s">
        <v>1782</v>
      </c>
      <c r="U23" s="965">
        <f t="shared" si="29"/>
        <v>100</v>
      </c>
      <c r="V23" s="964" t="s">
        <v>1782</v>
      </c>
      <c r="W23" s="965">
        <f t="shared" si="29"/>
        <v>100</v>
      </c>
      <c r="X23" s="951"/>
      <c r="Y23" s="916"/>
      <c r="Z23" s="937" t="str">
        <f t="shared" ref="Z23:Z47" si="30">Q23</f>
        <v>环境质量</v>
      </c>
      <c r="AA23" s="980">
        <f t="shared" ref="AA23:AA47" si="31">D23/F23</f>
        <v>1</v>
      </c>
      <c r="AB23" s="980">
        <f t="shared" ref="AB23:AB47" si="32">D23/H23</f>
        <v>1</v>
      </c>
      <c r="AC23" s="1357">
        <f t="shared" ref="AC23:AC47" si="33">D23/J23</f>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 t="shared" si="24"/>
        <v>103</v>
      </c>
      <c r="G25" s="1329"/>
      <c r="H25" s="773">
        <f t="shared" si="25"/>
        <v>106</v>
      </c>
      <c r="I25" s="772"/>
      <c r="J25" s="773">
        <f t="shared" si="26"/>
        <v>106</v>
      </c>
      <c r="K25" s="1199">
        <v>3</v>
      </c>
      <c r="L25" s="913"/>
      <c r="M25" s="897"/>
      <c r="N25" s="897"/>
      <c r="O25" s="897"/>
      <c r="P25" s="1342"/>
      <c r="Q25" s="863" t="str">
        <f t="shared" si="28"/>
        <v>毗邻道路的类型与等级</v>
      </c>
      <c r="R25" s="964" t="s">
        <v>1782</v>
      </c>
      <c r="S25" s="965">
        <f t="shared" ref="S25:W25" si="34">F25</f>
        <v>103</v>
      </c>
      <c r="T25" s="964" t="s">
        <v>1782</v>
      </c>
      <c r="U25" s="965">
        <f t="shared" si="34"/>
        <v>106</v>
      </c>
      <c r="V25" s="964" t="s">
        <v>1782</v>
      </c>
      <c r="W25" s="965">
        <f t="shared" si="34"/>
        <v>106</v>
      </c>
      <c r="X25" s="951"/>
      <c r="Y25" s="916"/>
      <c r="Z25" s="937" t="str">
        <f t="shared" si="30"/>
        <v>毗邻道路的类型与等级</v>
      </c>
      <c r="AA25" s="980">
        <f t="shared" si="31"/>
        <v>0.970873786407767</v>
      </c>
      <c r="AB25" s="980">
        <f t="shared" si="32"/>
        <v>0.943396226415094</v>
      </c>
      <c r="AC25" s="1357">
        <f t="shared" si="33"/>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si="28"/>
        <v>楼层</v>
      </c>
      <c r="R27" s="964" t="s">
        <v>1782</v>
      </c>
      <c r="S27" s="965">
        <f t="shared" ref="S27:W27" si="35">F27</f>
        <v>100</v>
      </c>
      <c r="T27" s="964" t="s">
        <v>1782</v>
      </c>
      <c r="U27" s="965">
        <f t="shared" si="35"/>
        <v>100</v>
      </c>
      <c r="V27" s="964" t="s">
        <v>1782</v>
      </c>
      <c r="W27" s="965">
        <f t="shared" si="35"/>
        <v>100</v>
      </c>
      <c r="X27" s="951"/>
      <c r="Y27" s="916"/>
      <c r="Z27" s="937" t="str">
        <f t="shared" si="30"/>
        <v>楼层</v>
      </c>
      <c r="AA27" s="980">
        <f t="shared" si="31"/>
        <v>1</v>
      </c>
      <c r="AB27" s="980">
        <f t="shared" si="32"/>
        <v>1</v>
      </c>
      <c r="AC27" s="1357">
        <f t="shared" si="33"/>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28"/>
        <v>朝向</v>
      </c>
      <c r="R28" s="959" t="s">
        <v>1782</v>
      </c>
      <c r="S28" s="960">
        <f t="shared" ref="S28:W28" si="36">F28</f>
        <v>100</v>
      </c>
      <c r="T28" s="959" t="s">
        <v>1782</v>
      </c>
      <c r="U28" s="960">
        <f t="shared" si="36"/>
        <v>100</v>
      </c>
      <c r="V28" s="959" t="s">
        <v>1782</v>
      </c>
      <c r="W28" s="960">
        <f t="shared" si="36"/>
        <v>100</v>
      </c>
      <c r="X28" s="961"/>
      <c r="Y28" s="916"/>
      <c r="Z28" s="979" t="str">
        <f t="shared" si="30"/>
        <v>朝向</v>
      </c>
      <c r="AA28" s="980">
        <f t="shared" si="31"/>
        <v>1</v>
      </c>
      <c r="AB28" s="980">
        <f t="shared" si="32"/>
        <v>1</v>
      </c>
      <c r="AC28" s="1357">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28"/>
        <v>111</v>
      </c>
      <c r="R29" s="964" t="s">
        <v>1782</v>
      </c>
      <c r="S29" s="965">
        <f t="shared" ref="S29:W29" si="37">F29</f>
        <v>100</v>
      </c>
      <c r="T29" s="964" t="s">
        <v>1782</v>
      </c>
      <c r="U29" s="965">
        <f t="shared" si="37"/>
        <v>100</v>
      </c>
      <c r="V29" s="964" t="s">
        <v>1782</v>
      </c>
      <c r="W29" s="965">
        <f t="shared" si="37"/>
        <v>100</v>
      </c>
      <c r="X29" s="951"/>
      <c r="Y29" s="916"/>
      <c r="Z29" s="937">
        <f t="shared" si="30"/>
        <v>111</v>
      </c>
      <c r="AA29" s="980">
        <f t="shared" si="31"/>
        <v>1</v>
      </c>
      <c r="AB29" s="980">
        <f t="shared" si="32"/>
        <v>1</v>
      </c>
      <c r="AC29" s="1357">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28"/>
        <v>111</v>
      </c>
      <c r="R30" s="964" t="s">
        <v>1782</v>
      </c>
      <c r="S30" s="965">
        <f t="shared" ref="S30:W30" si="38">F30</f>
        <v>100</v>
      </c>
      <c r="T30" s="964" t="s">
        <v>1782</v>
      </c>
      <c r="U30" s="965">
        <f t="shared" si="38"/>
        <v>100</v>
      </c>
      <c r="V30" s="964" t="s">
        <v>1782</v>
      </c>
      <c r="W30" s="965">
        <f t="shared" si="38"/>
        <v>100</v>
      </c>
      <c r="X30" s="951"/>
      <c r="Y30" s="916"/>
      <c r="Z30" s="937">
        <f t="shared" si="30"/>
        <v>111</v>
      </c>
      <c r="AA30" s="980">
        <f t="shared" si="31"/>
        <v>1</v>
      </c>
      <c r="AB30" s="980">
        <f t="shared" si="32"/>
        <v>1</v>
      </c>
      <c r="AC30" s="1357">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28"/>
        <v>111</v>
      </c>
      <c r="R31" s="964" t="s">
        <v>1782</v>
      </c>
      <c r="S31" s="965">
        <f t="shared" ref="S31:W31" si="39">F31</f>
        <v>100</v>
      </c>
      <c r="T31" s="964" t="s">
        <v>1782</v>
      </c>
      <c r="U31" s="965">
        <f t="shared" si="39"/>
        <v>100</v>
      </c>
      <c r="V31" s="964" t="s">
        <v>1782</v>
      </c>
      <c r="W31" s="965">
        <f t="shared" si="39"/>
        <v>100</v>
      </c>
      <c r="X31" s="951"/>
      <c r="Y31" s="916"/>
      <c r="Z31" s="937">
        <f t="shared" si="30"/>
        <v>111</v>
      </c>
      <c r="AA31" s="980">
        <f t="shared" si="31"/>
        <v>1</v>
      </c>
      <c r="AB31" s="980">
        <f t="shared" si="32"/>
        <v>1</v>
      </c>
      <c r="AC31" s="1357">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28"/>
        <v>111</v>
      </c>
      <c r="R32" s="964" t="s">
        <v>1782</v>
      </c>
      <c r="S32" s="965">
        <f t="shared" ref="S32:W32" si="40">F32</f>
        <v>100</v>
      </c>
      <c r="T32" s="964" t="s">
        <v>1782</v>
      </c>
      <c r="U32" s="965">
        <f t="shared" si="40"/>
        <v>100</v>
      </c>
      <c r="V32" s="964" t="s">
        <v>1782</v>
      </c>
      <c r="W32" s="965">
        <f t="shared" si="40"/>
        <v>100</v>
      </c>
      <c r="X32" s="951"/>
      <c r="Y32" s="916"/>
      <c r="Z32" s="937">
        <f t="shared" si="30"/>
        <v>111</v>
      </c>
      <c r="AA32" s="980">
        <f t="shared" si="31"/>
        <v>1</v>
      </c>
      <c r="AB32" s="980">
        <f t="shared" si="32"/>
        <v>1</v>
      </c>
      <c r="AC32" s="1357">
        <f t="shared" si="33"/>
        <v>1</v>
      </c>
    </row>
    <row r="33" ht="15" spans="1:29">
      <c r="A33" s="778" t="s">
        <v>1800</v>
      </c>
      <c r="B33" s="757" t="s">
        <v>1801</v>
      </c>
      <c r="C33" s="1169" t="s">
        <v>1896</v>
      </c>
      <c r="D33" s="814">
        <v>100</v>
      </c>
      <c r="E33" s="1169" t="s">
        <v>1876</v>
      </c>
      <c r="F33" s="1164">
        <f>SUMIF(101:101,E33,102:102)-SUMIF(101:101,C33,102:102)+100</f>
        <v>110</v>
      </c>
      <c r="G33" s="1169" t="s">
        <v>1876</v>
      </c>
      <c r="H33" s="773">
        <f>SUMIF(101:101,G33,102:102)-SUMIF(101:101,C33,102:102)+100</f>
        <v>110</v>
      </c>
      <c r="I33" s="1169" t="s">
        <v>1876</v>
      </c>
      <c r="J33" s="814">
        <f>SUMIF(101:101,I33,102:102)-SUMIF(101:101,C33,102:102)+100</f>
        <v>110</v>
      </c>
      <c r="K33" s="921">
        <v>5</v>
      </c>
      <c r="L33" s="913"/>
      <c r="M33" s="897"/>
      <c r="N33" s="897"/>
      <c r="O33" s="897"/>
      <c r="P33" s="1343" t="s">
        <v>1802</v>
      </c>
      <c r="Q33" s="863" t="str">
        <f t="shared" si="28"/>
        <v>建筑类型</v>
      </c>
      <c r="R33" s="964" t="s">
        <v>1782</v>
      </c>
      <c r="S33" s="965">
        <f t="shared" ref="S33:W33" si="41">F33</f>
        <v>110</v>
      </c>
      <c r="T33" s="964" t="s">
        <v>1782</v>
      </c>
      <c r="U33" s="965">
        <f t="shared" si="41"/>
        <v>110</v>
      </c>
      <c r="V33" s="964" t="s">
        <v>1782</v>
      </c>
      <c r="W33" s="965">
        <f t="shared" si="41"/>
        <v>110</v>
      </c>
      <c r="X33" s="951"/>
      <c r="Y33" s="925" t="s">
        <v>1802</v>
      </c>
      <c r="Z33" s="937" t="str">
        <f t="shared" si="30"/>
        <v>建筑类型</v>
      </c>
      <c r="AA33" s="980">
        <f t="shared" si="31"/>
        <v>0.909090909090909</v>
      </c>
      <c r="AB33" s="980">
        <f t="shared" si="32"/>
        <v>0.909090909090909</v>
      </c>
      <c r="AC33" s="1357">
        <f t="shared" si="33"/>
        <v>0.909090909090909</v>
      </c>
    </row>
    <row r="34" s="713" customFormat="1" ht="15" spans="1:29">
      <c r="A34" s="820"/>
      <c r="B34" s="761" t="s">
        <v>1803</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4"/>
      <c r="Q34" s="1203" t="str">
        <f t="shared" si="28"/>
        <v>项目建筑规模</v>
      </c>
      <c r="R34" s="966" t="s">
        <v>1782</v>
      </c>
      <c r="S34" s="967">
        <f t="shared" ref="S34:W34" si="42">F34</f>
        <v>100</v>
      </c>
      <c r="T34" s="966" t="s">
        <v>1782</v>
      </c>
      <c r="U34" s="967">
        <f t="shared" si="42"/>
        <v>98</v>
      </c>
      <c r="V34" s="966" t="s">
        <v>1782</v>
      </c>
      <c r="W34" s="967">
        <f t="shared" si="42"/>
        <v>98</v>
      </c>
      <c r="X34" s="968"/>
      <c r="Y34" s="925"/>
      <c r="Z34" s="981" t="str">
        <f t="shared" si="30"/>
        <v>项目建筑规模</v>
      </c>
      <c r="AA34" s="980">
        <f t="shared" si="31"/>
        <v>1</v>
      </c>
      <c r="AB34" s="980">
        <f t="shared" si="32"/>
        <v>1.02040816326531</v>
      </c>
      <c r="AC34" s="1357">
        <f t="shared" si="33"/>
        <v>1.02040816326531</v>
      </c>
    </row>
    <row r="35" ht="15" spans="1:29">
      <c r="A35" s="815"/>
      <c r="B35" s="761" t="s">
        <v>1804</v>
      </c>
      <c r="C35" s="1174" t="s">
        <v>797</v>
      </c>
      <c r="D35" s="773">
        <v>100</v>
      </c>
      <c r="E35" s="1174" t="s">
        <v>1878</v>
      </c>
      <c r="F35" s="1164">
        <f>SUMIF(106:106,E35,107:107)-SUMIF(106:106,C35,107:107)+100</f>
        <v>104</v>
      </c>
      <c r="G35" s="1174" t="s">
        <v>1878</v>
      </c>
      <c r="H35" s="773">
        <f>SUMIF(106:106,G35,107:107)-SUMIF(106:106,C35,107:107)+100</f>
        <v>104</v>
      </c>
      <c r="I35" s="1174" t="s">
        <v>1878</v>
      </c>
      <c r="J35" s="773">
        <f>SUMIF(106:106,I35,107:107)-SUMIF(106:106,C35,107:107)+100</f>
        <v>104</v>
      </c>
      <c r="K35" s="921">
        <v>2</v>
      </c>
      <c r="L35" s="913"/>
      <c r="M35" s="897"/>
      <c r="N35" s="897"/>
      <c r="O35" s="897"/>
      <c r="P35" s="1344"/>
      <c r="Q35" s="863" t="str">
        <f t="shared" si="28"/>
        <v>建筑结构</v>
      </c>
      <c r="R35" s="964" t="s">
        <v>1782</v>
      </c>
      <c r="S35" s="965">
        <f t="shared" ref="S35:W35" si="43">F35</f>
        <v>104</v>
      </c>
      <c r="T35" s="964" t="s">
        <v>1782</v>
      </c>
      <c r="U35" s="965">
        <f t="shared" si="43"/>
        <v>104</v>
      </c>
      <c r="V35" s="964" t="s">
        <v>1782</v>
      </c>
      <c r="W35" s="965">
        <f t="shared" si="43"/>
        <v>104</v>
      </c>
      <c r="X35" s="951"/>
      <c r="Y35" s="925"/>
      <c r="Z35" s="937" t="str">
        <f t="shared" si="30"/>
        <v>建筑结构</v>
      </c>
      <c r="AA35" s="980">
        <f t="shared" si="31"/>
        <v>0.961538461538462</v>
      </c>
      <c r="AB35" s="980">
        <f t="shared" si="32"/>
        <v>0.961538461538462</v>
      </c>
      <c r="AC35" s="1357">
        <f t="shared" si="33"/>
        <v>0.961538461538462</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28"/>
        <v>公共部分装修</v>
      </c>
      <c r="R36" s="964" t="s">
        <v>1782</v>
      </c>
      <c r="S36" s="965">
        <f t="shared" ref="S36:W36" si="44">F36</f>
        <v>104</v>
      </c>
      <c r="T36" s="964" t="s">
        <v>1782</v>
      </c>
      <c r="U36" s="965">
        <f t="shared" si="44"/>
        <v>104</v>
      </c>
      <c r="V36" s="964" t="s">
        <v>1782</v>
      </c>
      <c r="W36" s="965">
        <f t="shared" si="44"/>
        <v>104</v>
      </c>
      <c r="X36" s="951"/>
      <c r="Y36" s="925"/>
      <c r="Z36" s="937" t="str">
        <f t="shared" si="30"/>
        <v>公共部分装修</v>
      </c>
      <c r="AA36" s="980">
        <f t="shared" si="31"/>
        <v>0.961538461538462</v>
      </c>
      <c r="AB36" s="980">
        <f t="shared" si="32"/>
        <v>0.961538461538462</v>
      </c>
      <c r="AC36" s="1357">
        <f t="shared" si="33"/>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28"/>
        <v>成新度</v>
      </c>
      <c r="R37" s="964" t="s">
        <v>1782</v>
      </c>
      <c r="S37" s="965">
        <f t="shared" ref="S37:W37" si="45">F37</f>
        <v>100</v>
      </c>
      <c r="T37" s="964" t="s">
        <v>1782</v>
      </c>
      <c r="U37" s="965">
        <f t="shared" si="45"/>
        <v>102</v>
      </c>
      <c r="V37" s="964" t="s">
        <v>1782</v>
      </c>
      <c r="W37" s="965">
        <f t="shared" si="45"/>
        <v>100</v>
      </c>
      <c r="X37" s="951"/>
      <c r="Y37" s="925"/>
      <c r="Z37" s="937" t="str">
        <f t="shared" si="30"/>
        <v>成新度</v>
      </c>
      <c r="AA37" s="980">
        <f t="shared" si="31"/>
        <v>1</v>
      </c>
      <c r="AB37" s="980">
        <f t="shared" si="32"/>
        <v>0.980392156862745</v>
      </c>
      <c r="AC37" s="1357">
        <f t="shared" si="33"/>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28"/>
        <v>写字楼等级</v>
      </c>
      <c r="R38" s="959" t="s">
        <v>1782</v>
      </c>
      <c r="S38" s="960">
        <f t="shared" ref="S38:W38" si="46">F38</f>
        <v>100</v>
      </c>
      <c r="T38" s="959" t="s">
        <v>1782</v>
      </c>
      <c r="U38" s="960">
        <f t="shared" si="46"/>
        <v>100</v>
      </c>
      <c r="V38" s="959" t="s">
        <v>1782</v>
      </c>
      <c r="W38" s="960">
        <f t="shared" si="46"/>
        <v>100</v>
      </c>
      <c r="X38" s="961"/>
      <c r="Y38" s="925"/>
      <c r="Z38" s="979" t="str">
        <f t="shared" si="30"/>
        <v>写字楼等级</v>
      </c>
      <c r="AA38" s="978">
        <f t="shared" si="31"/>
        <v>1</v>
      </c>
      <c r="AB38" s="978">
        <f t="shared" si="32"/>
        <v>1</v>
      </c>
      <c r="AC38" s="1356">
        <f t="shared" si="33"/>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28"/>
        <v>物业管理</v>
      </c>
      <c r="R39" s="964" t="s">
        <v>1782</v>
      </c>
      <c r="S39" s="965">
        <f t="shared" ref="S39:W39" si="47">F39</f>
        <v>104</v>
      </c>
      <c r="T39" s="964" t="s">
        <v>1782</v>
      </c>
      <c r="U39" s="965">
        <f t="shared" si="47"/>
        <v>104</v>
      </c>
      <c r="V39" s="964" t="s">
        <v>1782</v>
      </c>
      <c r="W39" s="965">
        <f t="shared" si="47"/>
        <v>104</v>
      </c>
      <c r="X39" s="951"/>
      <c r="Y39" s="925" t="s">
        <v>1802</v>
      </c>
      <c r="Z39" s="937" t="str">
        <f t="shared" si="30"/>
        <v>物业管理</v>
      </c>
      <c r="AA39" s="980">
        <f t="shared" si="31"/>
        <v>0.961538461538462</v>
      </c>
      <c r="AB39" s="980">
        <f t="shared" si="32"/>
        <v>0.961538461538462</v>
      </c>
      <c r="AC39" s="1357">
        <f t="shared" si="33"/>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28"/>
        <v>市政基础设施</v>
      </c>
      <c r="R40" s="964" t="s">
        <v>1782</v>
      </c>
      <c r="S40" s="965">
        <f t="shared" ref="S40:W40" si="48">F40</f>
        <v>100</v>
      </c>
      <c r="T40" s="964" t="s">
        <v>1782</v>
      </c>
      <c r="U40" s="965">
        <f t="shared" si="48"/>
        <v>100</v>
      </c>
      <c r="V40" s="964" t="s">
        <v>1782</v>
      </c>
      <c r="W40" s="965">
        <f t="shared" si="48"/>
        <v>100</v>
      </c>
      <c r="X40" s="951"/>
      <c r="Y40" s="925"/>
      <c r="Z40" s="937" t="str">
        <f t="shared" si="30"/>
        <v>市政基础设施</v>
      </c>
      <c r="AA40" s="980">
        <f t="shared" si="31"/>
        <v>1</v>
      </c>
      <c r="AB40" s="980">
        <f t="shared" si="32"/>
        <v>1</v>
      </c>
      <c r="AC40" s="1357">
        <f t="shared" si="33"/>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28"/>
        <v>层高</v>
      </c>
      <c r="R41" s="964" t="s">
        <v>1782</v>
      </c>
      <c r="S41" s="965">
        <f t="shared" ref="S41:W41" si="49">F41</f>
        <v>100</v>
      </c>
      <c r="T41" s="964" t="s">
        <v>1782</v>
      </c>
      <c r="U41" s="965">
        <f t="shared" si="49"/>
        <v>100</v>
      </c>
      <c r="V41" s="964" t="s">
        <v>1782</v>
      </c>
      <c r="W41" s="965">
        <f t="shared" si="49"/>
        <v>100</v>
      </c>
      <c r="X41" s="951"/>
      <c r="Y41" s="925"/>
      <c r="Z41" s="937" t="str">
        <f t="shared" si="30"/>
        <v>层高</v>
      </c>
      <c r="AA41" s="980">
        <f t="shared" si="31"/>
        <v>1</v>
      </c>
      <c r="AB41" s="980">
        <f t="shared" si="32"/>
        <v>1</v>
      </c>
      <c r="AC41" s="1357">
        <f t="shared" si="33"/>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28"/>
        <v>单套建筑面积</v>
      </c>
      <c r="R42" s="966" t="s">
        <v>1782</v>
      </c>
      <c r="S42" s="967">
        <f t="shared" ref="S42:W42" si="50">F42</f>
        <v>100</v>
      </c>
      <c r="T42" s="966" t="s">
        <v>1782</v>
      </c>
      <c r="U42" s="967">
        <f t="shared" si="50"/>
        <v>100</v>
      </c>
      <c r="V42" s="966" t="s">
        <v>1782</v>
      </c>
      <c r="W42" s="967">
        <f t="shared" si="50"/>
        <v>100</v>
      </c>
      <c r="X42" s="968"/>
      <c r="Y42" s="925"/>
      <c r="Z42" s="981" t="str">
        <f t="shared" si="30"/>
        <v>单套建筑面积</v>
      </c>
      <c r="AA42" s="980">
        <f t="shared" si="31"/>
        <v>1</v>
      </c>
      <c r="AB42" s="980">
        <f t="shared" si="32"/>
        <v>1</v>
      </c>
      <c r="AC42" s="1357">
        <f t="shared" si="33"/>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28"/>
        <v>内部装修</v>
      </c>
      <c r="R43" s="964" t="s">
        <v>1782</v>
      </c>
      <c r="S43" s="965">
        <f t="shared" ref="S43:W43" si="51">F43</f>
        <v>100</v>
      </c>
      <c r="T43" s="964" t="s">
        <v>1782</v>
      </c>
      <c r="U43" s="965">
        <f t="shared" si="51"/>
        <v>100</v>
      </c>
      <c r="V43" s="964" t="s">
        <v>1782</v>
      </c>
      <c r="W43" s="965">
        <f t="shared" si="51"/>
        <v>100</v>
      </c>
      <c r="X43" s="951"/>
      <c r="Y43" s="925"/>
      <c r="Z43" s="937" t="str">
        <f t="shared" si="30"/>
        <v>内部装修</v>
      </c>
      <c r="AA43" s="980">
        <f t="shared" si="31"/>
        <v>1</v>
      </c>
      <c r="AB43" s="980">
        <f t="shared" si="32"/>
        <v>1</v>
      </c>
      <c r="AC43" s="1357">
        <f t="shared" si="33"/>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28"/>
        <v>内部装修维护情况</v>
      </c>
      <c r="R44" s="964" t="s">
        <v>1782</v>
      </c>
      <c r="S44" s="965">
        <f t="shared" ref="S44:W44" si="52">F44</f>
        <v>102</v>
      </c>
      <c r="T44" s="964" t="s">
        <v>1782</v>
      </c>
      <c r="U44" s="965">
        <f t="shared" si="52"/>
        <v>102</v>
      </c>
      <c r="V44" s="964" t="s">
        <v>1782</v>
      </c>
      <c r="W44" s="965">
        <f t="shared" si="52"/>
        <v>102</v>
      </c>
      <c r="X44" s="951"/>
      <c r="Y44" s="925"/>
      <c r="Z44" s="937" t="str">
        <f t="shared" si="30"/>
        <v>内部装修维护情况</v>
      </c>
      <c r="AA44" s="980">
        <f t="shared" si="31"/>
        <v>0.980392156862745</v>
      </c>
      <c r="AB44" s="980">
        <f t="shared" si="32"/>
        <v>0.980392156862745</v>
      </c>
      <c r="AC44" s="1357">
        <f t="shared" si="33"/>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28"/>
        <v>111</v>
      </c>
      <c r="R45" s="959" t="s">
        <v>1782</v>
      </c>
      <c r="S45" s="960">
        <f t="shared" ref="S45:W45" si="53">F45</f>
        <v>100</v>
      </c>
      <c r="T45" s="959" t="s">
        <v>1782</v>
      </c>
      <c r="U45" s="960">
        <f t="shared" si="53"/>
        <v>100</v>
      </c>
      <c r="V45" s="959" t="s">
        <v>1782</v>
      </c>
      <c r="W45" s="960">
        <f t="shared" si="53"/>
        <v>100</v>
      </c>
      <c r="X45" s="961"/>
      <c r="Y45" s="925"/>
      <c r="Z45" s="979">
        <f t="shared" si="30"/>
        <v>111</v>
      </c>
      <c r="AA45" s="978">
        <f t="shared" si="31"/>
        <v>1</v>
      </c>
      <c r="AB45" s="978">
        <f t="shared" si="32"/>
        <v>1</v>
      </c>
      <c r="AC45" s="1356">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28"/>
        <v>111</v>
      </c>
      <c r="R46" s="964" t="s">
        <v>1782</v>
      </c>
      <c r="S46" s="965">
        <f t="shared" ref="S46:W46" si="54">F46</f>
        <v>100</v>
      </c>
      <c r="T46" s="964" t="s">
        <v>1782</v>
      </c>
      <c r="U46" s="965">
        <f t="shared" si="54"/>
        <v>100</v>
      </c>
      <c r="V46" s="964" t="s">
        <v>1782</v>
      </c>
      <c r="W46" s="965">
        <f t="shared" si="54"/>
        <v>100</v>
      </c>
      <c r="X46" s="951"/>
      <c r="Y46" s="925"/>
      <c r="Z46" s="937">
        <f t="shared" si="30"/>
        <v>111</v>
      </c>
      <c r="AA46" s="980">
        <f t="shared" si="31"/>
        <v>1</v>
      </c>
      <c r="AB46" s="980">
        <f t="shared" si="32"/>
        <v>1</v>
      </c>
      <c r="AC46" s="1357">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28"/>
        <v>111</v>
      </c>
      <c r="R47" s="964" t="s">
        <v>1782</v>
      </c>
      <c r="S47" s="965">
        <f t="shared" ref="S47:W47" si="55">F47</f>
        <v>100</v>
      </c>
      <c r="T47" s="964" t="s">
        <v>1782</v>
      </c>
      <c r="U47" s="965">
        <f t="shared" si="55"/>
        <v>100</v>
      </c>
      <c r="V47" s="964" t="s">
        <v>1782</v>
      </c>
      <c r="W47" s="965">
        <f t="shared" si="55"/>
        <v>100</v>
      </c>
      <c r="X47" s="951"/>
      <c r="Y47" s="1294"/>
      <c r="Z47" s="937">
        <f t="shared" si="30"/>
        <v>111</v>
      </c>
      <c r="AA47" s="980">
        <f t="shared" si="31"/>
        <v>1</v>
      </c>
      <c r="AB47" s="980">
        <f t="shared" si="32"/>
        <v>1</v>
      </c>
      <c r="AC47" s="1357">
        <f t="shared" si="33"/>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1814</v>
      </c>
      <c r="B49" s="1185"/>
      <c r="C49" s="1186">
        <f>R50</f>
        <v>2.8</v>
      </c>
      <c r="D49" s="833" t="s">
        <v>1815</v>
      </c>
      <c r="E49" s="1187">
        <f t="shared" ref="E49:I49" si="58">R49</f>
        <v>3</v>
      </c>
      <c r="F49" s="834"/>
      <c r="G49" s="1186">
        <f t="shared" si="58"/>
        <v>2.7</v>
      </c>
      <c r="H49" s="834"/>
      <c r="I49" s="1187">
        <f t="shared" si="58"/>
        <v>2.7</v>
      </c>
      <c r="J49" s="834"/>
      <c r="K49" s="930">
        <f>F49+H49+J49</f>
        <v>0</v>
      </c>
      <c r="L49" s="929"/>
      <c r="M49" s="897"/>
      <c r="N49" s="897"/>
      <c r="O49" s="897"/>
      <c r="P49" s="862" t="str">
        <f t="shared" si="56"/>
        <v>比较价值（元/平方米）</v>
      </c>
      <c r="Q49" s="863"/>
      <c r="R49" s="980">
        <f>IF(F1="售价",ROUND(PRODUCT(R48,AA7:AA47),0),ROUND(PRODUCT(R48,AA7:AA47),1))</f>
        <v>3</v>
      </c>
      <c r="S49" s="980"/>
      <c r="T49" s="980">
        <f>IF(F1="售价",ROUND(PRODUCT(T48,AB7:AB47),0),ROUND(PRODUCT(T48,AB7:AB47),1))</f>
        <v>2.7</v>
      </c>
      <c r="U49" s="980"/>
      <c r="V49" s="980">
        <f>IF(F1="售价",ROUND(PRODUCT(V48,AC7:AC47),0),ROUND(PRODUCT(V48,AC7:AC47),1))</f>
        <v>2.7</v>
      </c>
      <c r="W49" s="980"/>
      <c r="X49" s="1108"/>
      <c r="Y49" s="1108"/>
      <c r="Z49" s="1108"/>
      <c r="AA49" s="1108"/>
      <c r="AB49" s="1108"/>
      <c r="AC49" s="783"/>
    </row>
    <row r="50" ht="15.75" spans="1:29">
      <c r="A50" s="836" t="s">
        <v>1816</v>
      </c>
      <c r="B50" s="837"/>
      <c r="C50" s="1188">
        <f>R50</f>
        <v>2.8</v>
      </c>
      <c r="D50" s="1188"/>
      <c r="E50" s="1188"/>
      <c r="F50" s="1188"/>
      <c r="G50" s="1188"/>
      <c r="H50" s="1188"/>
      <c r="I50" s="1188"/>
      <c r="J50" s="838"/>
      <c r="K50" s="931"/>
      <c r="L50" s="929"/>
      <c r="M50" s="897"/>
      <c r="N50" s="897"/>
      <c r="O50" s="897"/>
      <c r="P50" s="1346" t="str">
        <f t="shared" si="56"/>
        <v>估价对象XX用房的比较价值（楼面单价，元/平方米）</v>
      </c>
      <c r="Q50" s="1351"/>
      <c r="R50" s="1352">
        <f>IF(F1="售价",ROUND(IF(D49="简单平均",AVERAGE(R49:V49),R49*F49+T49*H49+V49*J49),0),ROUND(IF(D49="简单平均",AVERAGE(R49:V49),R49*F49+T49*H49+V49*J49),1))</f>
        <v>2.8</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 t="shared" ref="E53:I53" si="59">IF(E48&lt;E49,E49/E48-1,E48/E49-1)</f>
        <v>0.426666666666667</v>
      </c>
      <c r="F53" s="844" t="str">
        <f t="shared" ref="F53:J53" si="60">IF(OR(E53&gt;=0.3,E53&lt;=-0.3),"超过30%","")</f>
        <v>超过30%</v>
      </c>
      <c r="G53" s="843">
        <f t="shared" si="59"/>
        <v>0.481481481481481</v>
      </c>
      <c r="H53" s="844" t="str">
        <f t="shared" si="60"/>
        <v>超过30%</v>
      </c>
      <c r="I53" s="843">
        <f t="shared" si="59"/>
        <v>0.418518518518519</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0.111111111111111</v>
      </c>
      <c r="F54" s="844" t="str">
        <f t="shared" ref="F54:J54" si="61">IF(OR(E54&gt;=0.2,E54&lt;=-0.2),"超过20%","")</f>
        <v/>
      </c>
      <c r="G54" s="843">
        <f>IF(G49&lt;I49,I49/G49-1,G49/I49-1)</f>
        <v>0</v>
      </c>
      <c r="H54" s="844" t="str">
        <f t="shared" si="61"/>
        <v/>
      </c>
      <c r="I54" s="843">
        <f>IF(I49&lt;E49,E49/I49-1,I49/E49-1)</f>
        <v>0.111111111111111</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97</v>
      </c>
      <c r="E78" s="1008">
        <f t="shared" si="66"/>
        <v>94</v>
      </c>
      <c r="F78" s="1008">
        <f t="shared" si="66"/>
        <v>91</v>
      </c>
      <c r="G78" s="1008">
        <f t="shared" si="66"/>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97</v>
      </c>
      <c r="E80" s="1008">
        <f t="shared" si="67"/>
        <v>94</v>
      </c>
      <c r="F80" s="1008">
        <f t="shared" si="67"/>
        <v>91</v>
      </c>
      <c r="G80" s="1008">
        <f t="shared" si="67"/>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100</v>
      </c>
      <c r="E90" s="1008">
        <f t="shared" si="72"/>
        <v>100</v>
      </c>
      <c r="F90" s="1008">
        <f t="shared" si="72"/>
        <v>100</v>
      </c>
      <c r="G90" s="1008">
        <f t="shared" si="72"/>
        <v>100</v>
      </c>
      <c r="H90" s="1008">
        <f t="shared" si="72"/>
        <v>100</v>
      </c>
      <c r="I90" s="1008">
        <f t="shared" si="72"/>
        <v>100</v>
      </c>
      <c r="J90" s="1008">
        <f t="shared" si="72"/>
        <v>100</v>
      </c>
      <c r="K90" s="1008">
        <f t="shared" si="72"/>
        <v>100</v>
      </c>
      <c r="L90" s="1008">
        <f t="shared" si="72"/>
        <v>100</v>
      </c>
      <c r="M90" s="1008">
        <f t="shared" si="72"/>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1897</v>
      </c>
      <c r="E101" s="1361" t="s">
        <v>1896</v>
      </c>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362" t="s">
        <v>797</v>
      </c>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100</v>
      </c>
      <c r="E124" s="1008">
        <f t="shared" si="84"/>
        <v>100</v>
      </c>
      <c r="F124" s="1008">
        <f t="shared" si="84"/>
        <v>100</v>
      </c>
      <c r="G124" s="1008">
        <f t="shared" si="84"/>
        <v>100</v>
      </c>
      <c r="H124" s="1008">
        <f t="shared" si="84"/>
        <v>100</v>
      </c>
      <c r="I124" s="1008">
        <f t="shared" si="84"/>
        <v>100</v>
      </c>
      <c r="J124" s="1008">
        <f t="shared" si="84"/>
        <v>100</v>
      </c>
      <c r="K124" s="1008">
        <f t="shared" si="84"/>
        <v>100</v>
      </c>
      <c r="L124" s="1008">
        <f t="shared" si="84"/>
        <v>100</v>
      </c>
      <c r="M124" s="1058">
        <f t="shared" si="84"/>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98</v>
      </c>
      <c r="E126" s="1008">
        <f t="shared" si="85"/>
        <v>96</v>
      </c>
      <c r="F126" s="1008">
        <f t="shared" si="85"/>
        <v>94</v>
      </c>
      <c r="G126" s="1008">
        <f t="shared" si="85"/>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55" workbookViewId="0">
      <selection activeCell="U91" sqref="U91"/>
    </sheetView>
  </sheetViews>
  <sheetFormatPr defaultColWidth="9" defaultRowHeight="14.25"/>
  <cols>
    <col min="1" max="16384" width="9" style="1319"/>
  </cols>
  <sheetData>
    <row r="6" spans="18:18">
      <c r="R6" s="1319" t="s">
        <v>1898</v>
      </c>
    </row>
    <row r="7" spans="18:18">
      <c r="R7" s="1319" t="s">
        <v>1899</v>
      </c>
    </row>
    <row r="10" spans="18:18">
      <c r="R10" s="1319" t="s">
        <v>1900</v>
      </c>
    </row>
    <row r="11" spans="18:18">
      <c r="R11" s="1319" t="s">
        <v>1901</v>
      </c>
    </row>
    <row r="40" spans="20:20">
      <c r="T40" s="1319" t="s">
        <v>1902</v>
      </c>
    </row>
    <row r="41" spans="20:20">
      <c r="T41" s="1319" t="s">
        <v>1903</v>
      </c>
    </row>
    <row r="42" spans="20:20">
      <c r="T42" s="1319" t="s">
        <v>1904</v>
      </c>
    </row>
    <row r="75" spans="19:19">
      <c r="S75" s="1319" t="s">
        <v>1905</v>
      </c>
    </row>
    <row r="76" spans="19:19">
      <c r="S76" s="1319" t="s">
        <v>1906</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1907</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1071</v>
      </c>
      <c r="B3" s="728">
        <f ca="1">IF(C2="——",C43,ROUND(B2*10000/D3,0))</f>
        <v>0</v>
      </c>
      <c r="C3" s="1151" t="s">
        <v>1414</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1281"/>
      <c r="M4" s="1282"/>
      <c r="N4" s="1282"/>
      <c r="O4" s="1282"/>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1281"/>
      <c r="M6" s="1282"/>
      <c r="N6" s="1282"/>
      <c r="O6" s="1282"/>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1784</v>
      </c>
      <c r="Q8" s="962"/>
      <c r="R8" s="959" t="s">
        <v>1782</v>
      </c>
      <c r="S8" s="960">
        <f t="shared" si="0"/>
        <v>100</v>
      </c>
      <c r="T8" s="959" t="s">
        <v>1782</v>
      </c>
      <c r="U8" s="960">
        <f t="shared" si="1"/>
        <v>100</v>
      </c>
      <c r="V8" s="959" t="s">
        <v>1782</v>
      </c>
      <c r="W8" s="960">
        <f t="shared" si="2"/>
        <v>100</v>
      </c>
      <c r="X8" s="961"/>
      <c r="Y8" s="904" t="s">
        <v>1784</v>
      </c>
      <c r="Z8" s="962"/>
      <c r="AA8" s="978">
        <f t="shared" ref="AA8:AA40" si="3">D8/F8</f>
        <v>1</v>
      </c>
      <c r="AB8" s="978">
        <f t="shared" ref="AB8:AB40" si="4">D8/H8</f>
        <v>1</v>
      </c>
      <c r="AC8" s="978">
        <f t="shared" ref="AC8:AC40" si="5">D8/J8</f>
        <v>1</v>
      </c>
    </row>
    <row r="9" s="711" customFormat="1" spans="1:29">
      <c r="A9" s="756" t="s">
        <v>1785</v>
      </c>
      <c r="B9" s="757" t="s">
        <v>1786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1106" t="s">
        <v>1908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1870</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1782</v>
      </c>
      <c r="S25" s="965">
        <f>F25</f>
        <v>100</v>
      </c>
      <c r="T25" s="964" t="s">
        <v>1782</v>
      </c>
      <c r="U25" s="965">
        <f>H25</f>
        <v>100</v>
      </c>
      <c r="V25" s="964" t="s">
        <v>1782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1782</v>
      </c>
      <c r="S26" s="965">
        <f>F26</f>
        <v>100</v>
      </c>
      <c r="T26" s="964" t="s">
        <v>1782</v>
      </c>
      <c r="U26" s="965">
        <f>H26</f>
        <v>100</v>
      </c>
      <c r="V26" s="964" t="s">
        <v>1782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1782</v>
      </c>
      <c r="S27" s="960">
        <f>F27</f>
        <v>100</v>
      </c>
      <c r="T27" s="959" t="s">
        <v>1782</v>
      </c>
      <c r="U27" s="960">
        <f>H27</f>
        <v>100</v>
      </c>
      <c r="V27" s="959" t="s">
        <v>1782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1782</v>
      </c>
      <c r="S28" s="965">
        <f t="shared" ref="S28:S40" si="12">F28</f>
        <v>100</v>
      </c>
      <c r="T28" s="964" t="s">
        <v>1782</v>
      </c>
      <c r="U28" s="965">
        <f t="shared" ref="U28:U40" si="13">H28</f>
        <v>100</v>
      </c>
      <c r="V28" s="964" t="s">
        <v>1782</v>
      </c>
      <c r="W28" s="965">
        <f t="shared" ref="W28:W40" si="14">J28</f>
        <v>100</v>
      </c>
      <c r="X28" s="951"/>
      <c r="Y28" s="916"/>
      <c r="Z28" s="937">
        <f t="shared" ref="Z28:Z40" si="15">Q28</f>
        <v>111</v>
      </c>
      <c r="AA28" s="980">
        <f t="shared" si="3"/>
        <v>1</v>
      </c>
      <c r="AB28" s="980">
        <f t="shared" si="4"/>
        <v>1</v>
      </c>
      <c r="AC28" s="980">
        <f t="shared" si="5"/>
        <v>1</v>
      </c>
    </row>
    <row r="29" ht="28.5" spans="1:29">
      <c r="A29" s="1168" t="s">
        <v>1800</v>
      </c>
      <c r="B29" s="757" t="s">
        <v>1801</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1802</v>
      </c>
      <c r="Q29" s="863" t="str">
        <f t="shared" si="11"/>
        <v>建筑类型</v>
      </c>
      <c r="R29" s="964" t="s">
        <v>1782</v>
      </c>
      <c r="S29" s="965">
        <f t="shared" si="12"/>
        <v>100</v>
      </c>
      <c r="T29" s="964" t="s">
        <v>1782</v>
      </c>
      <c r="U29" s="965">
        <f t="shared" si="13"/>
        <v>100</v>
      </c>
      <c r="V29" s="964" t="s">
        <v>1782</v>
      </c>
      <c r="W29" s="965">
        <f t="shared" si="14"/>
        <v>100</v>
      </c>
      <c r="X29" s="951"/>
      <c r="Y29" s="925" t="s">
        <v>1802</v>
      </c>
      <c r="Z29" s="937" t="str">
        <f t="shared" si="15"/>
        <v>建筑类型</v>
      </c>
      <c r="AA29" s="980">
        <f t="shared" si="3"/>
        <v>1</v>
      </c>
      <c r="AB29" s="980">
        <f t="shared" si="4"/>
        <v>1</v>
      </c>
      <c r="AC29" s="980">
        <f t="shared" si="5"/>
        <v>1</v>
      </c>
    </row>
    <row r="30" s="713" customFormat="1" ht="15" spans="1:29">
      <c r="A30" s="820"/>
      <c r="B30" s="761" t="s">
        <v>1803</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1782</v>
      </c>
      <c r="S30" s="967" t="e">
        <f t="shared" si="12"/>
        <v>#N/A</v>
      </c>
      <c r="T30" s="966" t="s">
        <v>1782</v>
      </c>
      <c r="U30" s="967" t="e">
        <f t="shared" si="13"/>
        <v>#N/A</v>
      </c>
      <c r="V30" s="966" t="s">
        <v>1782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1804</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1782</v>
      </c>
      <c r="S31" s="965">
        <f t="shared" si="12"/>
        <v>100</v>
      </c>
      <c r="T31" s="964" t="s">
        <v>1782</v>
      </c>
      <c r="U31" s="965">
        <f t="shared" si="13"/>
        <v>100</v>
      </c>
      <c r="V31" s="964" t="s">
        <v>1782</v>
      </c>
      <c r="W31" s="965">
        <f t="shared" si="14"/>
        <v>100</v>
      </c>
      <c r="X31" s="951"/>
      <c r="Y31" s="925"/>
      <c r="Z31" s="937" t="str">
        <f t="shared" si="15"/>
        <v>建筑结构</v>
      </c>
      <c r="AA31" s="980">
        <f t="shared" si="3"/>
        <v>1</v>
      </c>
      <c r="AB31" s="980">
        <f t="shared" si="4"/>
        <v>1</v>
      </c>
      <c r="AC31" s="980">
        <f t="shared" si="5"/>
        <v>1</v>
      </c>
    </row>
    <row r="32" ht="15" spans="1:29">
      <c r="A32" s="815"/>
      <c r="B32" s="761" t="s">
        <v>1806</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1782</v>
      </c>
      <c r="S32" s="965">
        <f t="shared" si="12"/>
        <v>100</v>
      </c>
      <c r="T32" s="964" t="s">
        <v>1782</v>
      </c>
      <c r="U32" s="965">
        <f t="shared" si="13"/>
        <v>100</v>
      </c>
      <c r="V32" s="964" t="s">
        <v>1782</v>
      </c>
      <c r="W32" s="965">
        <f t="shared" si="14"/>
        <v>100</v>
      </c>
      <c r="X32" s="951"/>
      <c r="Y32" s="925"/>
      <c r="Z32" s="937" t="str">
        <f t="shared" si="15"/>
        <v>公共部分装修</v>
      </c>
      <c r="AA32" s="980">
        <f t="shared" si="3"/>
        <v>1</v>
      </c>
      <c r="AB32" s="980">
        <f t="shared" si="4"/>
        <v>1</v>
      </c>
      <c r="AC32" s="980">
        <f t="shared" si="5"/>
        <v>1</v>
      </c>
    </row>
    <row r="33" ht="15" spans="1:29">
      <c r="A33" s="815"/>
      <c r="B33" s="761" t="s">
        <v>646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1782</v>
      </c>
      <c r="S33" s="965" t="e">
        <f t="shared" si="12"/>
        <v>#N/A</v>
      </c>
      <c r="T33" s="964" t="s">
        <v>1782</v>
      </c>
      <c r="U33" s="965" t="e">
        <f t="shared" si="13"/>
        <v>#N/A</v>
      </c>
      <c r="V33" s="964" t="s">
        <v>1782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1782</v>
      </c>
      <c r="S34" s="960">
        <f t="shared" si="12"/>
        <v>100</v>
      </c>
      <c r="T34" s="959" t="s">
        <v>1782</v>
      </c>
      <c r="U34" s="960">
        <f t="shared" si="13"/>
        <v>100</v>
      </c>
      <c r="V34" s="959" t="s">
        <v>1782</v>
      </c>
      <c r="W34" s="960">
        <f t="shared" si="14"/>
        <v>100</v>
      </c>
      <c r="X34" s="961"/>
      <c r="Y34" s="925"/>
      <c r="Z34" s="979" t="str">
        <f t="shared" si="15"/>
        <v>物业管理</v>
      </c>
      <c r="AA34" s="978">
        <f t="shared" si="3"/>
        <v>1</v>
      </c>
      <c r="AB34" s="978">
        <f t="shared" si="4"/>
        <v>1</v>
      </c>
      <c r="AC34" s="978">
        <f t="shared" si="5"/>
        <v>1</v>
      </c>
    </row>
    <row r="35" ht="15" spans="1:29">
      <c r="A35" s="815"/>
      <c r="B35" s="761" t="s">
        <v>1808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1802</v>
      </c>
      <c r="Q35" s="863" t="str">
        <f t="shared" si="11"/>
        <v>市政基础设施</v>
      </c>
      <c r="R35" s="964" t="s">
        <v>1782</v>
      </c>
      <c r="S35" s="965">
        <f t="shared" si="12"/>
        <v>100</v>
      </c>
      <c r="T35" s="964" t="s">
        <v>1782</v>
      </c>
      <c r="U35" s="965">
        <f t="shared" si="13"/>
        <v>100</v>
      </c>
      <c r="V35" s="964" t="s">
        <v>1782</v>
      </c>
      <c r="W35" s="965">
        <f t="shared" si="14"/>
        <v>100</v>
      </c>
      <c r="X35" s="951"/>
      <c r="Y35" s="925" t="s">
        <v>1802</v>
      </c>
      <c r="Z35" s="937" t="str">
        <f t="shared" si="15"/>
        <v>市政基础设施</v>
      </c>
      <c r="AA35" s="980">
        <f t="shared" si="3"/>
        <v>1</v>
      </c>
      <c r="AB35" s="980">
        <f t="shared" si="4"/>
        <v>1</v>
      </c>
      <c r="AC35" s="980">
        <f t="shared" si="5"/>
        <v>1</v>
      </c>
    </row>
    <row r="36" ht="15" spans="1:29">
      <c r="A36" s="815"/>
      <c r="B36" s="761" t="s">
        <v>1811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1782</v>
      </c>
      <c r="S36" s="965">
        <f t="shared" si="12"/>
        <v>100</v>
      </c>
      <c r="T36" s="964" t="s">
        <v>1782</v>
      </c>
      <c r="U36" s="965">
        <f t="shared" si="13"/>
        <v>100</v>
      </c>
      <c r="V36" s="964" t="s">
        <v>1782</v>
      </c>
      <c r="W36" s="965">
        <f t="shared" si="14"/>
        <v>100</v>
      </c>
      <c r="X36" s="951"/>
      <c r="Y36" s="925"/>
      <c r="Z36" s="937" t="str">
        <f t="shared" si="15"/>
        <v>内部装修</v>
      </c>
      <c r="AA36" s="980">
        <f t="shared" si="3"/>
        <v>1</v>
      </c>
      <c r="AB36" s="980">
        <f t="shared" si="4"/>
        <v>1</v>
      </c>
      <c r="AC36" s="980">
        <f t="shared" si="5"/>
        <v>1</v>
      </c>
    </row>
    <row r="37" ht="15" spans="1:29">
      <c r="A37" s="815"/>
      <c r="B37" s="761" t="s">
        <v>1909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1782</v>
      </c>
      <c r="S37" s="965">
        <f t="shared" si="12"/>
        <v>100</v>
      </c>
      <c r="T37" s="964" t="s">
        <v>1782</v>
      </c>
      <c r="U37" s="965">
        <f t="shared" si="13"/>
        <v>100</v>
      </c>
      <c r="V37" s="964" t="s">
        <v>1782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1782</v>
      </c>
      <c r="S38" s="967">
        <f t="shared" si="12"/>
        <v>100</v>
      </c>
      <c r="T38" s="966" t="s">
        <v>1782</v>
      </c>
      <c r="U38" s="967">
        <f t="shared" si="13"/>
        <v>100</v>
      </c>
      <c r="V38" s="966" t="s">
        <v>1782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1782</v>
      </c>
      <c r="S39" s="965">
        <f t="shared" si="12"/>
        <v>100</v>
      </c>
      <c r="T39" s="964" t="s">
        <v>1782</v>
      </c>
      <c r="U39" s="965">
        <f t="shared" si="13"/>
        <v>100</v>
      </c>
      <c r="V39" s="964" t="s">
        <v>1782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1782</v>
      </c>
      <c r="S40" s="965">
        <f t="shared" si="12"/>
        <v>100</v>
      </c>
      <c r="T40" s="964" t="s">
        <v>1782</v>
      </c>
      <c r="U40" s="965">
        <f t="shared" si="13"/>
        <v>100</v>
      </c>
      <c r="V40" s="964" t="s">
        <v>1782</v>
      </c>
      <c r="W40" s="965">
        <f t="shared" si="14"/>
        <v>100</v>
      </c>
      <c r="X40" s="951"/>
      <c r="Y40" s="1294"/>
      <c r="Z40" s="937">
        <f t="shared" si="15"/>
        <v>111</v>
      </c>
      <c r="AA40" s="980">
        <f t="shared" si="3"/>
        <v>1</v>
      </c>
      <c r="AB40" s="980">
        <f t="shared" si="4"/>
        <v>1</v>
      </c>
      <c r="AC40" s="980">
        <f t="shared" si="5"/>
        <v>1</v>
      </c>
    </row>
    <row r="41" ht="15" spans="1:29">
      <c r="A41" s="822" t="s">
        <v>1813</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1814</v>
      </c>
      <c r="B42" s="1185"/>
      <c r="C42" s="1186" t="e">
        <f>R43</f>
        <v>#DIV/0!</v>
      </c>
      <c r="D42" s="833" t="s">
        <v>1815</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1816</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1820</v>
      </c>
      <c r="B51" s="885"/>
      <c r="C51" s="886"/>
      <c r="D51" s="886"/>
      <c r="E51" s="886"/>
      <c r="F51" s="887"/>
      <c r="G51" s="887"/>
      <c r="H51" s="886"/>
      <c r="I51" s="886"/>
      <c r="J51" s="886"/>
      <c r="K51" s="1133"/>
      <c r="L51" s="1134"/>
      <c r="M51" s="946"/>
      <c r="N51" s="946"/>
      <c r="O51" s="946"/>
      <c r="P51" s="1298"/>
      <c r="Q51" s="1300"/>
    </row>
    <row r="52" s="716" customFormat="1" ht="15" spans="1:16">
      <c r="A52" s="1190" t="s">
        <v>1780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1821</v>
      </c>
      <c r="B54" s="991"/>
      <c r="C54" s="992"/>
      <c r="D54" s="993"/>
      <c r="E54" s="993"/>
      <c r="F54" s="993"/>
      <c r="G54" s="993"/>
      <c r="H54" s="993"/>
      <c r="I54" s="993"/>
      <c r="J54" s="993"/>
      <c r="K54" s="993"/>
      <c r="L54" s="993"/>
      <c r="M54" s="1041"/>
      <c r="N54" s="1301"/>
      <c r="O54" s="1302"/>
      <c r="P54" s="1300"/>
      <c r="Q54" s="1300"/>
    </row>
    <row r="55" s="711" customFormat="1" ht="15" spans="1:17">
      <c r="A55" s="994" t="s">
        <v>1783</v>
      </c>
      <c r="B55" s="995"/>
      <c r="C55" s="996" t="s">
        <v>1822</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1823</v>
      </c>
      <c r="B57" s="1001" t="s">
        <v>1786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1790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1791</v>
      </c>
      <c r="B70" s="1001" t="s">
        <v>1908</v>
      </c>
      <c r="C70" s="1022" t="s">
        <v>1576</v>
      </c>
      <c r="D70" s="1022" t="s">
        <v>1577</v>
      </c>
      <c r="E70" s="1022" t="s">
        <v>1578</v>
      </c>
      <c r="F70" s="1022" t="s">
        <v>1579</v>
      </c>
      <c r="G70" s="1022" t="s">
        <v>1580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1794</v>
      </c>
      <c r="C72" s="1024" t="s">
        <v>1576</v>
      </c>
      <c r="D72" s="1024" t="s">
        <v>1577</v>
      </c>
      <c r="E72" s="1024" t="s">
        <v>1578</v>
      </c>
      <c r="F72" s="1024" t="s">
        <v>1579</v>
      </c>
      <c r="G72" s="1024" t="s">
        <v>1580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1795</v>
      </c>
      <c r="C74" s="1024" t="s">
        <v>1576</v>
      </c>
      <c r="D74" s="1024" t="s">
        <v>1577</v>
      </c>
      <c r="E74" s="1024" t="s">
        <v>1578</v>
      </c>
      <c r="F74" s="1024" t="s">
        <v>1579</v>
      </c>
      <c r="G74" s="1024" t="s">
        <v>1580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1796</v>
      </c>
      <c r="C76" s="1029" t="s">
        <v>1824</v>
      </c>
      <c r="D76" s="1029" t="s">
        <v>1825</v>
      </c>
      <c r="E76" s="1029" t="s">
        <v>1826</v>
      </c>
      <c r="F76" s="1029" t="s">
        <v>1827</v>
      </c>
      <c r="G76" s="1029" t="s">
        <v>1828</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1870</v>
      </c>
      <c r="C78" s="1024" t="s">
        <v>1576</v>
      </c>
      <c r="D78" s="1024" t="s">
        <v>1577</v>
      </c>
      <c r="E78" s="1024" t="s">
        <v>1578</v>
      </c>
      <c r="F78" s="1024" t="s">
        <v>1579</v>
      </c>
      <c r="G78" s="1024" t="s">
        <v>1580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1800</v>
      </c>
      <c r="B88" s="1001" t="s">
        <v>1801</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1804</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1806</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1811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1910</v>
      </c>
      <c r="C106" s="1024" t="s">
        <v>1576</v>
      </c>
      <c r="D106" s="1024" t="s">
        <v>1577</v>
      </c>
      <c r="E106" s="1024" t="s">
        <v>1578</v>
      </c>
      <c r="F106" s="1024" t="s">
        <v>1579</v>
      </c>
      <c r="G106" s="1024" t="s">
        <v>1580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1912</v>
      </c>
      <c r="C1" s="1140" t="s">
        <v>1765</v>
      </c>
      <c r="D1" s="1141"/>
      <c r="E1" s="1142"/>
      <c r="F1" s="1143"/>
      <c r="G1" s="1219" t="s">
        <v>1766</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1071</v>
      </c>
      <c r="B3" s="728" t="e">
        <f ca="1">IF(AND(C2="——",B37="元/平方米"),C39,ROUND(B2*10000/D3,0))</f>
        <v>#DIV/0!</v>
      </c>
      <c r="C3" s="1151" t="s">
        <v>1414</v>
      </c>
      <c r="D3" s="1152">
        <f>SUMIF('数据-汇总表'!$C19:$C33,D1,'数据-汇总表'!$E19:$E33)</f>
        <v>0</v>
      </c>
      <c r="E3" s="1151" t="s">
        <v>1913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6" si="3">D8/F8</f>
        <v>1</v>
      </c>
      <c r="AB8" s="978">
        <f t="shared" ref="AB8:AB36" si="4">D8/H8</f>
        <v>1</v>
      </c>
      <c r="AC8" s="978">
        <f t="shared" ref="AC8:AC36" si="5">D8/J8</f>
        <v>1</v>
      </c>
    </row>
    <row r="9" s="711" customFormat="1" spans="1:29">
      <c r="A9" s="1221" t="s">
        <v>1785</v>
      </c>
      <c r="B9" s="1222" t="s">
        <v>1786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1224"/>
      <c r="B10" s="1225" t="s">
        <v>1789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30" t="s">
        <v>1791</v>
      </c>
      <c r="B14" s="779" t="s">
        <v>1794</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1795</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1796</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1797</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1854</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237" t="s">
        <v>1800</v>
      </c>
      <c r="B26" s="1238" t="s">
        <v>1914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1802</v>
      </c>
      <c r="Q26" s="863" t="str">
        <f t="shared" si="11"/>
        <v>配套类型</v>
      </c>
      <c r="R26" s="964" t="s">
        <v>1782</v>
      </c>
      <c r="S26" s="965">
        <f t="shared" ref="S26:S36" si="12">F26</f>
        <v>0</v>
      </c>
      <c r="T26" s="964" t="s">
        <v>1782</v>
      </c>
      <c r="U26" s="965">
        <f t="shared" ref="U26:U36" si="13">H26</f>
        <v>0</v>
      </c>
      <c r="V26" s="964" t="s">
        <v>1782</v>
      </c>
      <c r="W26" s="965">
        <f t="shared" ref="W26:W36" si="14">J26</f>
        <v>0</v>
      </c>
      <c r="X26" s="951"/>
      <c r="Y26" s="925" t="s">
        <v>1802</v>
      </c>
      <c r="Z26" s="937" t="str">
        <f t="shared" ref="Z26:Z36" si="15">Q26</f>
        <v>配套类型</v>
      </c>
      <c r="AA26" s="980" t="e">
        <f t="shared" si="3"/>
        <v>#DIV/0!</v>
      </c>
      <c r="AB26" s="980" t="e">
        <f t="shared" si="4"/>
        <v>#DIV/0!</v>
      </c>
      <c r="AC26" s="980" t="e">
        <f t="shared" si="5"/>
        <v>#DIV/0!</v>
      </c>
    </row>
    <row r="27" s="713" customFormat="1" ht="15" spans="1:29">
      <c r="A27" s="1240"/>
      <c r="B27" s="801" t="s">
        <v>1915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1782</v>
      </c>
      <c r="S27" s="967">
        <f t="shared" si="12"/>
        <v>100</v>
      </c>
      <c r="T27" s="966" t="s">
        <v>1782</v>
      </c>
      <c r="U27" s="967">
        <f t="shared" si="13"/>
        <v>100</v>
      </c>
      <c r="V27" s="966" t="s">
        <v>1782</v>
      </c>
      <c r="W27" s="967">
        <f t="shared" si="14"/>
        <v>100</v>
      </c>
      <c r="X27" s="968"/>
      <c r="Y27" s="925"/>
      <c r="Z27" s="981" t="str">
        <f t="shared" si="15"/>
        <v>项目停车位配比</v>
      </c>
      <c r="AA27" s="980">
        <f t="shared" si="3"/>
        <v>1</v>
      </c>
      <c r="AB27" s="980">
        <f t="shared" si="4"/>
        <v>1</v>
      </c>
      <c r="AC27" s="980">
        <f t="shared" si="5"/>
        <v>1</v>
      </c>
    </row>
    <row r="28" ht="15" spans="1:29">
      <c r="A28" s="1242"/>
      <c r="B28" s="801" t="s">
        <v>1806</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1782</v>
      </c>
      <c r="S28" s="965">
        <f t="shared" si="12"/>
        <v>100</v>
      </c>
      <c r="T28" s="964" t="s">
        <v>1782</v>
      </c>
      <c r="U28" s="965">
        <f t="shared" si="13"/>
        <v>100</v>
      </c>
      <c r="V28" s="964" t="s">
        <v>1782</v>
      </c>
      <c r="W28" s="965">
        <f t="shared" si="14"/>
        <v>100</v>
      </c>
      <c r="X28" s="951"/>
      <c r="Y28" s="925"/>
      <c r="Z28" s="937" t="str">
        <f t="shared" si="15"/>
        <v>公共部分装修</v>
      </c>
      <c r="AA28" s="980">
        <f t="shared" si="3"/>
        <v>1</v>
      </c>
      <c r="AB28" s="980">
        <f t="shared" si="4"/>
        <v>1</v>
      </c>
      <c r="AC28" s="980">
        <f t="shared" si="5"/>
        <v>1</v>
      </c>
    </row>
    <row r="29" ht="15" spans="1:29">
      <c r="A29" s="1242"/>
      <c r="B29" s="801" t="s">
        <v>1916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1782</v>
      </c>
      <c r="S29" s="965" t="e">
        <f t="shared" si="12"/>
        <v>#N/A</v>
      </c>
      <c r="T29" s="964" t="s">
        <v>1782</v>
      </c>
      <c r="U29" s="965" t="e">
        <f t="shared" si="13"/>
        <v>#N/A</v>
      </c>
      <c r="V29" s="964" t="s">
        <v>1782</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1782</v>
      </c>
      <c r="S30" s="965">
        <f t="shared" si="12"/>
        <v>100</v>
      </c>
      <c r="T30" s="964" t="s">
        <v>1782</v>
      </c>
      <c r="U30" s="965">
        <f t="shared" si="13"/>
        <v>100</v>
      </c>
      <c r="V30" s="964" t="s">
        <v>1782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1782</v>
      </c>
      <c r="S31" s="960" t="e">
        <f t="shared" si="12"/>
        <v>#N/A</v>
      </c>
      <c r="T31" s="959" t="s">
        <v>1782</v>
      </c>
      <c r="U31" s="960" t="e">
        <f t="shared" si="13"/>
        <v>#N/A</v>
      </c>
      <c r="V31" s="959" t="s">
        <v>1782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1802</v>
      </c>
      <c r="Q32" s="863" t="str">
        <f t="shared" si="11"/>
        <v>车位类型</v>
      </c>
      <c r="R32" s="964" t="s">
        <v>1782</v>
      </c>
      <c r="S32" s="965">
        <f t="shared" si="12"/>
        <v>100</v>
      </c>
      <c r="T32" s="964" t="s">
        <v>1782</v>
      </c>
      <c r="U32" s="965">
        <f t="shared" si="13"/>
        <v>100</v>
      </c>
      <c r="V32" s="964" t="s">
        <v>1782</v>
      </c>
      <c r="W32" s="965">
        <f t="shared" si="14"/>
        <v>100</v>
      </c>
      <c r="X32" s="951"/>
      <c r="Y32" s="925" t="s">
        <v>1802</v>
      </c>
      <c r="Z32" s="937" t="str">
        <f t="shared" si="15"/>
        <v>车位类型</v>
      </c>
      <c r="AA32" s="980">
        <f t="shared" si="3"/>
        <v>1</v>
      </c>
      <c r="AB32" s="980">
        <f t="shared" si="4"/>
        <v>1</v>
      </c>
      <c r="AC32" s="980">
        <f t="shared" si="5"/>
        <v>1</v>
      </c>
    </row>
    <row r="33" ht="15" spans="1:29">
      <c r="A33" s="1242"/>
      <c r="B33" s="801" t="s">
        <v>1920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1782</v>
      </c>
      <c r="S33" s="965">
        <f t="shared" si="12"/>
        <v>100</v>
      </c>
      <c r="T33" s="964" t="s">
        <v>1782</v>
      </c>
      <c r="U33" s="965">
        <f t="shared" si="13"/>
        <v>100</v>
      </c>
      <c r="V33" s="964" t="s">
        <v>1782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1782</v>
      </c>
      <c r="S35" s="967">
        <f t="shared" si="12"/>
        <v>100</v>
      </c>
      <c r="T35" s="966" t="s">
        <v>1782</v>
      </c>
      <c r="U35" s="967">
        <f t="shared" si="13"/>
        <v>100</v>
      </c>
      <c r="V35" s="966" t="s">
        <v>1782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1782</v>
      </c>
      <c r="S36" s="965">
        <f t="shared" si="12"/>
        <v>100</v>
      </c>
      <c r="T36" s="964" t="s">
        <v>1782</v>
      </c>
      <c r="U36" s="965">
        <f t="shared" si="13"/>
        <v>100</v>
      </c>
      <c r="V36" s="964" t="s">
        <v>1782</v>
      </c>
      <c r="W36" s="965">
        <f t="shared" si="14"/>
        <v>100</v>
      </c>
      <c r="X36" s="951"/>
      <c r="Y36" s="925"/>
      <c r="Z36" s="937">
        <f t="shared" si="15"/>
        <v>111</v>
      </c>
      <c r="AA36" s="980">
        <f t="shared" si="3"/>
        <v>1</v>
      </c>
      <c r="AB36" s="980">
        <f t="shared" si="4"/>
        <v>1</v>
      </c>
      <c r="AC36" s="980">
        <f t="shared" si="5"/>
        <v>1</v>
      </c>
    </row>
    <row r="37" ht="15" spans="1:29">
      <c r="A37" s="822" t="s">
        <v>1921</v>
      </c>
      <c r="B37" s="1245" t="s">
        <v>1922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1814</v>
      </c>
      <c r="B38" s="1185" t="str">
        <f>B37</f>
        <v>元/平方米</v>
      </c>
      <c r="C38" s="1186" t="e">
        <f>R39</f>
        <v>#DIV/0!</v>
      </c>
      <c r="D38" s="833" t="s">
        <v>1815</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1923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1820</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1780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1821</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1783</v>
      </c>
      <c r="B51" s="995"/>
      <c r="C51" s="996" t="s">
        <v>1822</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1823</v>
      </c>
      <c r="B53" s="1001" t="s">
        <v>1786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1791</v>
      </c>
      <c r="B63" s="1001" t="s">
        <v>1794</v>
      </c>
      <c r="C63" s="1022" t="s">
        <v>1576</v>
      </c>
      <c r="D63" s="1022" t="s">
        <v>1577</v>
      </c>
      <c r="E63" s="1022" t="s">
        <v>1578</v>
      </c>
      <c r="F63" s="1022" t="s">
        <v>1579</v>
      </c>
      <c r="G63" s="1022" t="s">
        <v>1580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1795</v>
      </c>
      <c r="C65" s="1024" t="s">
        <v>1576</v>
      </c>
      <c r="D65" s="1024" t="s">
        <v>1577</v>
      </c>
      <c r="E65" s="1024" t="s">
        <v>1578</v>
      </c>
      <c r="F65" s="1024" t="s">
        <v>1579</v>
      </c>
      <c r="G65" s="1024" t="s">
        <v>1580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1796</v>
      </c>
      <c r="C67" s="1029" t="s">
        <v>1824</v>
      </c>
      <c r="D67" s="1029" t="s">
        <v>1825</v>
      </c>
      <c r="E67" s="1029" t="s">
        <v>1826</v>
      </c>
      <c r="F67" s="1029" t="s">
        <v>1827</v>
      </c>
      <c r="G67" s="1029" t="s">
        <v>1828</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1797</v>
      </c>
      <c r="C69" s="1024" t="s">
        <v>1576</v>
      </c>
      <c r="D69" s="1024" t="s">
        <v>1577</v>
      </c>
      <c r="E69" s="1024" t="s">
        <v>1578</v>
      </c>
      <c r="F69" s="1024" t="s">
        <v>1579</v>
      </c>
      <c r="G69" s="1024" t="s">
        <v>1580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1854</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1800</v>
      </c>
      <c r="B79" s="1001" t="s">
        <v>1924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1915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1806</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1916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1920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1925</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 ca="1">IF(C2="——",C37,ROUND(B2*10000/D3,0))</f>
        <v>#DIV/0!</v>
      </c>
      <c r="C3" s="1151" t="s">
        <v>1414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4" si="3">D8/F8</f>
        <v>1</v>
      </c>
      <c r="AB8" s="978">
        <f t="shared" ref="AB8:AB34" si="4">D8/H8</f>
        <v>1</v>
      </c>
      <c r="AC8" s="978">
        <f t="shared" ref="AC8:AC34" si="5">D8/J8</f>
        <v>1</v>
      </c>
    </row>
    <row r="9" s="711" customFormat="1" spans="1:29">
      <c r="A9" s="756" t="s">
        <v>1785</v>
      </c>
      <c r="B9" s="757" t="s">
        <v>1786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760"/>
      <c r="B10" s="761" t="s">
        <v>1789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78" t="s">
        <v>1791</v>
      </c>
      <c r="B14" s="1106" t="s">
        <v>1794</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1795</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1796</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1797</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1854</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168" t="s">
        <v>1800</v>
      </c>
      <c r="B26" s="757" t="s">
        <v>1806</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1802</v>
      </c>
      <c r="Q26" s="863" t="str">
        <f t="shared" si="11"/>
        <v>公共部分装修</v>
      </c>
      <c r="R26" s="964" t="s">
        <v>1782</v>
      </c>
      <c r="S26" s="965">
        <f t="shared" ref="S26:S34" si="12">F26</f>
        <v>100</v>
      </c>
      <c r="T26" s="964" t="s">
        <v>1782</v>
      </c>
      <c r="U26" s="965">
        <f t="shared" ref="U26:U34" si="13">H26</f>
        <v>100</v>
      </c>
      <c r="V26" s="964" t="s">
        <v>1782</v>
      </c>
      <c r="W26" s="965">
        <f t="shared" ref="W26:W34" si="14">J26</f>
        <v>100</v>
      </c>
      <c r="X26" s="951"/>
      <c r="Y26" s="925" t="s">
        <v>1802</v>
      </c>
      <c r="Z26" s="937" t="str">
        <f t="shared" ref="Z26:Z34" si="15">Q26</f>
        <v>公共部分装修</v>
      </c>
      <c r="AA26" s="980">
        <f t="shared" si="3"/>
        <v>1</v>
      </c>
      <c r="AB26" s="980">
        <f t="shared" si="4"/>
        <v>1</v>
      </c>
      <c r="AC26" s="980">
        <f t="shared" si="5"/>
        <v>1</v>
      </c>
    </row>
    <row r="27" s="713" customFormat="1" ht="15" spans="1:29">
      <c r="A27" s="820"/>
      <c r="B27" s="761" t="s">
        <v>1916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1782</v>
      </c>
      <c r="S27" s="967" t="e">
        <f t="shared" si="12"/>
        <v>#N/A</v>
      </c>
      <c r="T27" s="966" t="s">
        <v>1782</v>
      </c>
      <c r="U27" s="967" t="e">
        <f t="shared" si="13"/>
        <v>#N/A</v>
      </c>
      <c r="V27" s="966" t="s">
        <v>1782</v>
      </c>
      <c r="W27" s="967" t="e">
        <f t="shared" si="14"/>
        <v>#N/A</v>
      </c>
      <c r="X27" s="968"/>
      <c r="Y27" s="925"/>
      <c r="Z27" s="981" t="str">
        <f t="shared" si="15"/>
        <v>成新率</v>
      </c>
      <c r="AA27" s="980" t="e">
        <f t="shared" si="3"/>
        <v>#N/A</v>
      </c>
      <c r="AB27" s="980" t="e">
        <f t="shared" si="4"/>
        <v>#N/A</v>
      </c>
      <c r="AC27" s="980" t="e">
        <f t="shared" si="5"/>
        <v>#N/A</v>
      </c>
    </row>
    <row r="28" ht="15" spans="1:29">
      <c r="A28" s="815"/>
      <c r="B28" s="761" t="s">
        <v>1917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1782</v>
      </c>
      <c r="S28" s="965">
        <f t="shared" si="12"/>
        <v>100</v>
      </c>
      <c r="T28" s="964" t="s">
        <v>1782</v>
      </c>
      <c r="U28" s="965">
        <f t="shared" si="13"/>
        <v>100</v>
      </c>
      <c r="V28" s="964" t="s">
        <v>1782</v>
      </c>
      <c r="W28" s="965">
        <f t="shared" si="14"/>
        <v>100</v>
      </c>
      <c r="X28" s="951"/>
      <c r="Y28" s="925"/>
      <c r="Z28" s="937" t="str">
        <f t="shared" si="15"/>
        <v>物业等级</v>
      </c>
      <c r="AA28" s="980">
        <f t="shared" si="3"/>
        <v>1</v>
      </c>
      <c r="AB28" s="980">
        <f t="shared" si="4"/>
        <v>1</v>
      </c>
      <c r="AC28" s="980">
        <f t="shared" si="5"/>
        <v>1</v>
      </c>
    </row>
    <row r="29" ht="15" spans="1:29">
      <c r="A29" s="815"/>
      <c r="B29" s="761" t="s">
        <v>1926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1782</v>
      </c>
      <c r="S29" s="965">
        <f t="shared" si="12"/>
        <v>100</v>
      </c>
      <c r="T29" s="964" t="s">
        <v>1782</v>
      </c>
      <c r="U29" s="965">
        <f t="shared" si="13"/>
        <v>100</v>
      </c>
      <c r="V29" s="964" t="s">
        <v>1782</v>
      </c>
      <c r="W29" s="965">
        <f t="shared" si="14"/>
        <v>100</v>
      </c>
      <c r="X29" s="951"/>
      <c r="Y29" s="925"/>
      <c r="Z29" s="937" t="str">
        <f t="shared" si="15"/>
        <v>有无电梯</v>
      </c>
      <c r="AA29" s="980">
        <f t="shared" si="3"/>
        <v>1</v>
      </c>
      <c r="AB29" s="980">
        <f t="shared" si="4"/>
        <v>1</v>
      </c>
      <c r="AC29" s="980">
        <f t="shared" si="5"/>
        <v>1</v>
      </c>
    </row>
    <row r="30" ht="15" spans="1:29">
      <c r="A30" s="815"/>
      <c r="B30" s="761" t="s">
        <v>605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1782</v>
      </c>
      <c r="S30" s="965" t="e">
        <f t="shared" si="12"/>
        <v>#N/A</v>
      </c>
      <c r="T30" s="964" t="s">
        <v>1782</v>
      </c>
      <c r="U30" s="965" t="e">
        <f t="shared" si="13"/>
        <v>#N/A</v>
      </c>
      <c r="V30" s="964" t="s">
        <v>1782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1782</v>
      </c>
      <c r="S31" s="960">
        <f t="shared" si="12"/>
        <v>100</v>
      </c>
      <c r="T31" s="959" t="s">
        <v>1782</v>
      </c>
      <c r="U31" s="960">
        <f t="shared" si="13"/>
        <v>100</v>
      </c>
      <c r="V31" s="959" t="s">
        <v>1782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1802</v>
      </c>
      <c r="Q32" s="863">
        <f t="shared" si="11"/>
        <v>111</v>
      </c>
      <c r="R32" s="964" t="s">
        <v>1782</v>
      </c>
      <c r="S32" s="965">
        <f t="shared" si="12"/>
        <v>100</v>
      </c>
      <c r="T32" s="964" t="s">
        <v>1782</v>
      </c>
      <c r="U32" s="965">
        <f t="shared" si="13"/>
        <v>100</v>
      </c>
      <c r="V32" s="964" t="s">
        <v>1782</v>
      </c>
      <c r="W32" s="965">
        <f t="shared" si="14"/>
        <v>100</v>
      </c>
      <c r="X32" s="951"/>
      <c r="Y32" s="925" t="s">
        <v>1802</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1782</v>
      </c>
      <c r="S33" s="965">
        <f t="shared" si="12"/>
        <v>100</v>
      </c>
      <c r="T33" s="964" t="s">
        <v>1782</v>
      </c>
      <c r="U33" s="965">
        <f t="shared" si="13"/>
        <v>100</v>
      </c>
      <c r="V33" s="964" t="s">
        <v>1782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ht="15" spans="1:29">
      <c r="A35" s="822" t="s">
        <v>1813</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1814</v>
      </c>
      <c r="B36" s="1185"/>
      <c r="C36" s="1186" t="e">
        <f>R37</f>
        <v>#DIV/0!</v>
      </c>
      <c r="D36" s="833" t="s">
        <v>1815</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1816</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1820</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1780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1821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1783</v>
      </c>
      <c r="B49" s="995"/>
      <c r="C49" s="996" t="s">
        <v>1822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1823</v>
      </c>
      <c r="B51" s="1001" t="s">
        <v>1786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1791</v>
      </c>
      <c r="B61" s="1001" t="s">
        <v>1794</v>
      </c>
      <c r="C61" s="1022" t="s">
        <v>1576</v>
      </c>
      <c r="D61" s="1022" t="s">
        <v>1577</v>
      </c>
      <c r="E61" s="1022" t="s">
        <v>1578</v>
      </c>
      <c r="F61" s="1022" t="s">
        <v>1579</v>
      </c>
      <c r="G61" s="1022" t="s">
        <v>1580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1928</v>
      </c>
      <c r="C63" s="1024" t="s">
        <v>1576</v>
      </c>
      <c r="D63" s="1024" t="s">
        <v>1577</v>
      </c>
      <c r="E63" s="1024" t="s">
        <v>1578</v>
      </c>
      <c r="F63" s="1024" t="s">
        <v>1579</v>
      </c>
      <c r="G63" s="1024" t="s">
        <v>1580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1796</v>
      </c>
      <c r="C65" s="1029" t="s">
        <v>1824</v>
      </c>
      <c r="D65" s="1029" t="s">
        <v>1825</v>
      </c>
      <c r="E65" s="1029" t="s">
        <v>1826</v>
      </c>
      <c r="F65" s="1029" t="s">
        <v>1827</v>
      </c>
      <c r="G65" s="1029" t="s">
        <v>1828</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1797</v>
      </c>
      <c r="C67" s="1024" t="s">
        <v>1576</v>
      </c>
      <c r="D67" s="1024" t="s">
        <v>1577</v>
      </c>
      <c r="E67" s="1024" t="s">
        <v>1578</v>
      </c>
      <c r="F67" s="1024" t="s">
        <v>1579</v>
      </c>
      <c r="G67" s="1024" t="s">
        <v>1580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1854</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1800</v>
      </c>
      <c r="B77" s="1001" t="s">
        <v>1806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1916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1926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1929</v>
      </c>
      <c r="B1" s="721"/>
      <c r="C1" s="722" t="s">
        <v>1930</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5" si="3">D8/F8</f>
        <v>#DIV/0!</v>
      </c>
      <c r="AB8" s="978" t="e">
        <f t="shared" ref="AB8:AB45" si="4">D8/H8</f>
        <v>#DIV/0!</v>
      </c>
      <c r="AC8" s="978" t="e">
        <f t="shared" ref="AC8:AC45" si="5">D8/J8</f>
        <v>#DIV/0!</v>
      </c>
    </row>
    <row r="9" s="711" customFormat="1" spans="1:29">
      <c r="A9" s="756" t="s">
        <v>1785</v>
      </c>
      <c r="B9" s="757" t="s">
        <v>1786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1931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1782</v>
      </c>
      <c r="S12" s="960">
        <f t="shared" si="0"/>
        <v>100</v>
      </c>
      <c r="T12" s="959" t="s">
        <v>1782</v>
      </c>
      <c r="U12" s="960">
        <f t="shared" si="1"/>
        <v>100</v>
      </c>
      <c r="V12" s="959" t="s">
        <v>1782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94.5" spans="1:29">
      <c r="A15" s="778" t="s">
        <v>1791</v>
      </c>
      <c r="B15" s="1106" t="s">
        <v>1792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1850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1782</v>
      </c>
      <c r="S17" s="965">
        <f>F17</f>
        <v>100</v>
      </c>
      <c r="T17" s="964" t="s">
        <v>1782</v>
      </c>
      <c r="U17" s="965">
        <f>H17</f>
        <v>100</v>
      </c>
      <c r="V17" s="964" t="s">
        <v>1782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1782</v>
      </c>
      <c r="S19" s="965">
        <f>F19</f>
        <v>100</v>
      </c>
      <c r="T19" s="964" t="s">
        <v>1782</v>
      </c>
      <c r="U19" s="965">
        <f>H19</f>
        <v>100</v>
      </c>
      <c r="V19" s="964" t="s">
        <v>1782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1794</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1782</v>
      </c>
      <c r="S21" s="965">
        <f>F21</f>
        <v>100</v>
      </c>
      <c r="T21" s="964" t="s">
        <v>1782</v>
      </c>
      <c r="U21" s="965">
        <f>H21</f>
        <v>100</v>
      </c>
      <c r="V21" s="964" t="s">
        <v>1782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1932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1782</v>
      </c>
      <c r="S23" s="965">
        <f>F23</f>
        <v>100</v>
      </c>
      <c r="T23" s="964" t="s">
        <v>1782</v>
      </c>
      <c r="U23" s="965">
        <f>H23</f>
        <v>100</v>
      </c>
      <c r="V23" s="964" t="s">
        <v>1782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1933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1782</v>
      </c>
      <c r="S25" s="965">
        <f>F25</f>
        <v>100</v>
      </c>
      <c r="T25" s="964" t="s">
        <v>1782</v>
      </c>
      <c r="U25" s="965">
        <f>H25</f>
        <v>100</v>
      </c>
      <c r="V25" s="964" t="s">
        <v>1782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1795</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1782</v>
      </c>
      <c r="S27" s="960">
        <f>F27</f>
        <v>100</v>
      </c>
      <c r="T27" s="959" t="s">
        <v>1782</v>
      </c>
      <c r="U27" s="960">
        <f>H27</f>
        <v>100</v>
      </c>
      <c r="V27" s="959" t="s">
        <v>1782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1796</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1782</v>
      </c>
      <c r="S29" s="960">
        <f>F29</f>
        <v>100</v>
      </c>
      <c r="T29" s="959" t="s">
        <v>1782</v>
      </c>
      <c r="U29" s="960">
        <f>H29</f>
        <v>100</v>
      </c>
      <c r="V29" s="959" t="s">
        <v>1782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1851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1782</v>
      </c>
      <c r="S31" s="965">
        <f t="shared" ref="S31:S45" si="10">F31</f>
        <v>100</v>
      </c>
      <c r="T31" s="964" t="s">
        <v>1782</v>
      </c>
      <c r="U31" s="965">
        <f t="shared" ref="U31:U45" si="11">H31</f>
        <v>100</v>
      </c>
      <c r="V31" s="964" t="s">
        <v>1782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1871</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1782</v>
      </c>
      <c r="S32" s="965">
        <f t="shared" si="10"/>
        <v>100</v>
      </c>
      <c r="T32" s="964" t="s">
        <v>1782</v>
      </c>
      <c r="U32" s="965">
        <f t="shared" si="11"/>
        <v>100</v>
      </c>
      <c r="V32" s="964" t="s">
        <v>1782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1934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1782</v>
      </c>
      <c r="S34" s="965">
        <f t="shared" si="10"/>
        <v>100</v>
      </c>
      <c r="T34" s="964" t="s">
        <v>1782</v>
      </c>
      <c r="U34" s="965">
        <f t="shared" si="11"/>
        <v>100</v>
      </c>
      <c r="V34" s="964" t="s">
        <v>1782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1782</v>
      </c>
      <c r="S35" s="965">
        <f t="shared" si="10"/>
        <v>100</v>
      </c>
      <c r="T35" s="964" t="s">
        <v>1782</v>
      </c>
      <c r="U35" s="965">
        <f t="shared" si="11"/>
        <v>100</v>
      </c>
      <c r="V35" s="964" t="s">
        <v>1782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1802</v>
      </c>
      <c r="Q36" s="863">
        <f t="shared" si="8"/>
        <v>111</v>
      </c>
      <c r="R36" s="964" t="s">
        <v>1782</v>
      </c>
      <c r="S36" s="965">
        <f t="shared" si="10"/>
        <v>100</v>
      </c>
      <c r="T36" s="964" t="s">
        <v>1782</v>
      </c>
      <c r="U36" s="965">
        <f t="shared" si="11"/>
        <v>100</v>
      </c>
      <c r="V36" s="964" t="s">
        <v>1782</v>
      </c>
      <c r="W36" s="965">
        <f t="shared" si="12"/>
        <v>100</v>
      </c>
      <c r="X36" s="951"/>
      <c r="Y36" s="925" t="s">
        <v>1802</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1782</v>
      </c>
      <c r="S37" s="967">
        <f t="shared" si="10"/>
        <v>100</v>
      </c>
      <c r="T37" s="966" t="s">
        <v>1782</v>
      </c>
      <c r="U37" s="967">
        <f t="shared" si="11"/>
        <v>100</v>
      </c>
      <c r="V37" s="966" t="s">
        <v>1782</v>
      </c>
      <c r="W37" s="967">
        <f t="shared" si="12"/>
        <v>100</v>
      </c>
      <c r="X37" s="968"/>
      <c r="Y37" s="925"/>
      <c r="Z37" s="981">
        <f t="shared" si="13"/>
        <v>111</v>
      </c>
      <c r="AA37" s="980">
        <f t="shared" si="3"/>
        <v>1</v>
      </c>
      <c r="AB37" s="980">
        <f t="shared" si="4"/>
        <v>1</v>
      </c>
      <c r="AC37" s="980">
        <f t="shared" si="5"/>
        <v>1</v>
      </c>
    </row>
    <row r="38" ht="15" spans="1:29">
      <c r="A38" s="815" t="s">
        <v>1800</v>
      </c>
      <c r="B38" s="812" t="s">
        <v>1935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1782</v>
      </c>
      <c r="S38" s="965" t="e">
        <f t="shared" si="10"/>
        <v>#N/A</v>
      </c>
      <c r="T38" s="964" t="s">
        <v>1782</v>
      </c>
      <c r="U38" s="965" t="e">
        <f t="shared" si="11"/>
        <v>#N/A</v>
      </c>
      <c r="V38" s="964" t="s">
        <v>1782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1936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1782</v>
      </c>
      <c r="S39" s="965">
        <f t="shared" si="10"/>
        <v>100</v>
      </c>
      <c r="T39" s="964" t="s">
        <v>1782</v>
      </c>
      <c r="U39" s="965">
        <f t="shared" si="11"/>
        <v>100</v>
      </c>
      <c r="V39" s="964" t="s">
        <v>1782</v>
      </c>
      <c r="W39" s="965">
        <f t="shared" si="12"/>
        <v>100</v>
      </c>
      <c r="X39" s="951"/>
      <c r="Y39" s="925"/>
      <c r="Z39" s="937" t="str">
        <f t="shared" si="13"/>
        <v>宗地形状</v>
      </c>
      <c r="AA39" s="980">
        <f t="shared" si="3"/>
        <v>1</v>
      </c>
      <c r="AB39" s="980">
        <f t="shared" si="4"/>
        <v>1</v>
      </c>
      <c r="AC39" s="980">
        <f t="shared" si="5"/>
        <v>1</v>
      </c>
    </row>
    <row r="40" ht="15" spans="1:29">
      <c r="A40" s="815"/>
      <c r="B40" s="761" t="s">
        <v>1937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1782</v>
      </c>
      <c r="S40" s="965">
        <f t="shared" si="10"/>
        <v>100</v>
      </c>
      <c r="T40" s="964" t="s">
        <v>1782</v>
      </c>
      <c r="U40" s="965">
        <f t="shared" si="11"/>
        <v>100</v>
      </c>
      <c r="V40" s="964" t="s">
        <v>1782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1782</v>
      </c>
      <c r="S41" s="960">
        <f t="shared" si="10"/>
        <v>100</v>
      </c>
      <c r="T41" s="959" t="s">
        <v>1782</v>
      </c>
      <c r="U41" s="960">
        <f t="shared" si="11"/>
        <v>100</v>
      </c>
      <c r="V41" s="959" t="s">
        <v>1782</v>
      </c>
      <c r="W41" s="960">
        <f t="shared" si="12"/>
        <v>100</v>
      </c>
      <c r="X41" s="961"/>
      <c r="Y41" s="925"/>
      <c r="Z41" s="979" t="str">
        <f t="shared" si="13"/>
        <v>宗地开发程度</v>
      </c>
      <c r="AA41" s="978">
        <f t="shared" si="3"/>
        <v>1</v>
      </c>
      <c r="AB41" s="978">
        <f t="shared" si="4"/>
        <v>1</v>
      </c>
      <c r="AC41" s="978">
        <f t="shared" si="5"/>
        <v>1</v>
      </c>
    </row>
    <row r="42" ht="15" spans="1:29">
      <c r="A42" s="815"/>
      <c r="B42" s="761" t="s">
        <v>1939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1802</v>
      </c>
      <c r="Q42" s="863" t="str">
        <f t="shared" si="14"/>
        <v>工程地质条件</v>
      </c>
      <c r="R42" s="964" t="s">
        <v>1782</v>
      </c>
      <c r="S42" s="965">
        <f t="shared" si="10"/>
        <v>100</v>
      </c>
      <c r="T42" s="964" t="s">
        <v>1782</v>
      </c>
      <c r="U42" s="965">
        <f t="shared" si="11"/>
        <v>100</v>
      </c>
      <c r="V42" s="964" t="s">
        <v>1782</v>
      </c>
      <c r="W42" s="965">
        <f t="shared" si="12"/>
        <v>100</v>
      </c>
      <c r="X42" s="951"/>
      <c r="Y42" s="925" t="s">
        <v>1802</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1782</v>
      </c>
      <c r="S43" s="965">
        <f t="shared" si="10"/>
        <v>100</v>
      </c>
      <c r="T43" s="964" t="s">
        <v>1782</v>
      </c>
      <c r="U43" s="965">
        <f t="shared" si="11"/>
        <v>100</v>
      </c>
      <c r="V43" s="964" t="s">
        <v>1782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1782</v>
      </c>
      <c r="S44" s="965">
        <f t="shared" si="10"/>
        <v>100</v>
      </c>
      <c r="T44" s="964" t="s">
        <v>1782</v>
      </c>
      <c r="U44" s="965">
        <f t="shared" si="11"/>
        <v>100</v>
      </c>
      <c r="V44" s="964" t="s">
        <v>1782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1782</v>
      </c>
      <c r="S45" s="967">
        <f t="shared" si="10"/>
        <v>100</v>
      </c>
      <c r="T45" s="966" t="s">
        <v>1782</v>
      </c>
      <c r="U45" s="967">
        <f t="shared" si="11"/>
        <v>100</v>
      </c>
      <c r="V45" s="966" t="s">
        <v>1782</v>
      </c>
      <c r="W45" s="967">
        <f t="shared" si="12"/>
        <v>100</v>
      </c>
      <c r="X45" s="968"/>
      <c r="Y45" s="925"/>
      <c r="Z45" s="981">
        <f t="shared" si="13"/>
        <v>111</v>
      </c>
      <c r="AA45" s="980">
        <f t="shared" si="3"/>
        <v>1</v>
      </c>
      <c r="AB45" s="980">
        <f t="shared" si="4"/>
        <v>1</v>
      </c>
      <c r="AC45" s="980">
        <f t="shared" si="5"/>
        <v>1</v>
      </c>
    </row>
    <row r="46" ht="15" spans="1:29">
      <c r="A46" s="822" t="s">
        <v>1921</v>
      </c>
      <c r="B46" s="823" t="s">
        <v>1940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1814</v>
      </c>
      <c r="B47" s="831"/>
      <c r="C47" s="832" t="e">
        <f>R48</f>
        <v>#DIV/0!</v>
      </c>
      <c r="D47" s="833" t="s">
        <v>1815</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1941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1817</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1818</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1819</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1942</v>
      </c>
      <c r="B55" s="851" t="s">
        <v>1943</v>
      </c>
      <c r="C55" s="852" t="s">
        <v>1944</v>
      </c>
      <c r="D55" s="853" t="s">
        <v>1945</v>
      </c>
      <c r="E55" s="854" t="s">
        <v>1946</v>
      </c>
      <c r="F55" s="1118" t="s">
        <v>1947</v>
      </c>
      <c r="G55" s="732" t="s">
        <v>1948</v>
      </c>
      <c r="H55" s="856"/>
      <c r="I55" s="1122" t="s">
        <v>1949</v>
      </c>
      <c r="J55" s="1123">
        <f>项目基本情况!F35</f>
        <v>0</v>
      </c>
      <c r="K55" s="938" t="s">
        <v>1950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1951</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1952</v>
      </c>
      <c r="B57" s="410" t="e">
        <f>ROUND($C$48*C57*D57,0)</f>
        <v>#DIV/0!</v>
      </c>
      <c r="C57" s="865">
        <f t="shared" ref="C57:C64" si="16">IF($C$55="北京市系数",I57,J57)</f>
        <v>0</v>
      </c>
      <c r="D57" s="866">
        <v>0.25</v>
      </c>
      <c r="E57" s="867"/>
      <c r="F57" s="1119" t="e">
        <f t="shared" si="15"/>
        <v>#DIV/0!</v>
      </c>
      <c r="G57" s="868" t="s">
        <v>1953</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1954</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1955</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1956</v>
      </c>
      <c r="B60" s="410" t="e">
        <f t="shared" si="17"/>
        <v>#DIV/0!</v>
      </c>
      <c r="C60" s="865">
        <f t="shared" si="16"/>
        <v>0.3</v>
      </c>
      <c r="D60" s="866">
        <v>0.25</v>
      </c>
      <c r="E60" s="409">
        <f>'数据-汇总表'!E11</f>
        <v>0</v>
      </c>
      <c r="F60" s="1119" t="e">
        <f t="shared" si="15"/>
        <v>#DIV/0!</v>
      </c>
      <c r="G60" s="872" t="s">
        <v>1957</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1958</v>
      </c>
      <c r="B61" s="410" t="e">
        <f t="shared" si="17"/>
        <v>#DIV/0!</v>
      </c>
      <c r="C61" s="865">
        <f t="shared" si="16"/>
        <v>0.3</v>
      </c>
      <c r="D61" s="866">
        <v>0.25</v>
      </c>
      <c r="E61" s="409">
        <f>'数据-汇总表'!E12</f>
        <v>0</v>
      </c>
      <c r="F61" s="1119" t="e">
        <f t="shared" si="15"/>
        <v>#DIV/0!</v>
      </c>
      <c r="G61" s="873" t="s">
        <v>1959</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1960</v>
      </c>
      <c r="B62" s="410" t="e">
        <f t="shared" si="17"/>
        <v>#DIV/0!</v>
      </c>
      <c r="C62" s="865">
        <f t="shared" si="16"/>
        <v>0</v>
      </c>
      <c r="D62" s="866">
        <v>0.25</v>
      </c>
      <c r="E62" s="409">
        <f>'数据-汇总表'!E13</f>
        <v>0</v>
      </c>
      <c r="F62" s="1119" t="e">
        <f t="shared" si="15"/>
        <v>#DIV/0!</v>
      </c>
      <c r="G62" s="873" t="s">
        <v>1961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1962</v>
      </c>
      <c r="B63" s="410" t="e">
        <f t="shared" si="17"/>
        <v>#DIV/0!</v>
      </c>
      <c r="C63" s="865">
        <f t="shared" si="16"/>
        <v>0</v>
      </c>
      <c r="D63" s="866">
        <v>0.25</v>
      </c>
      <c r="E63" s="409">
        <f>'数据-汇总表'!E14</f>
        <v>0</v>
      </c>
      <c r="F63" s="1119" t="e">
        <f t="shared" si="15"/>
        <v>#DIV/0!</v>
      </c>
      <c r="G63" s="872" t="s">
        <v>1953</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1963</v>
      </c>
      <c r="B64" s="410" t="e">
        <f t="shared" si="17"/>
        <v>#DIV/0!</v>
      </c>
      <c r="C64" s="865">
        <f t="shared" si="16"/>
        <v>0.2</v>
      </c>
      <c r="D64" s="866">
        <v>0.25</v>
      </c>
      <c r="E64" s="409">
        <f>'数据-汇总表'!E15</f>
        <v>0</v>
      </c>
      <c r="F64" s="1119" t="e">
        <f t="shared" si="15"/>
        <v>#DIV/0!</v>
      </c>
      <c r="G64" s="874" t="s">
        <v>1957</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1964</v>
      </c>
      <c r="B65" s="877" t="s">
        <v>1965</v>
      </c>
      <c r="C65" s="877" t="s">
        <v>1965</v>
      </c>
      <c r="D65" s="877" t="s">
        <v>1965</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1820</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1966</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1821</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1783</v>
      </c>
      <c r="B72" s="995"/>
      <c r="C72" s="996" t="s">
        <v>1822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1823</v>
      </c>
      <c r="B74" s="1001" t="s">
        <v>1786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1790</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1791</v>
      </c>
      <c r="B87" s="1001" t="s">
        <v>1792</v>
      </c>
      <c r="C87" s="1022" t="s">
        <v>1576</v>
      </c>
      <c r="D87" s="1022" t="s">
        <v>1577</v>
      </c>
      <c r="E87" s="1022" t="s">
        <v>1578</v>
      </c>
      <c r="F87" s="1022" t="s">
        <v>1579</v>
      </c>
      <c r="G87" s="1022" t="s">
        <v>1580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1850</v>
      </c>
      <c r="C89" s="1024" t="s">
        <v>1576</v>
      </c>
      <c r="D89" s="1024" t="s">
        <v>1577</v>
      </c>
      <c r="E89" s="1024" t="s">
        <v>1578</v>
      </c>
      <c r="F89" s="1024" t="s">
        <v>1579</v>
      </c>
      <c r="G89" s="1024" t="s">
        <v>1580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1869</v>
      </c>
      <c r="C91" s="1024" t="s">
        <v>1576</v>
      </c>
      <c r="D91" s="1024" t="s">
        <v>1577</v>
      </c>
      <c r="E91" s="1024" t="s">
        <v>1578</v>
      </c>
      <c r="F91" s="1024" t="s">
        <v>1579</v>
      </c>
      <c r="G91" s="1024" t="s">
        <v>1580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1794</v>
      </c>
      <c r="C93" s="1024" t="s">
        <v>1576</v>
      </c>
      <c r="D93" s="1024" t="s">
        <v>1577</v>
      </c>
      <c r="E93" s="1024" t="s">
        <v>1578</v>
      </c>
      <c r="F93" s="1024" t="s">
        <v>1579</v>
      </c>
      <c r="G93" s="1024" t="s">
        <v>1580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1932</v>
      </c>
      <c r="C95" s="1024" t="s">
        <v>1576</v>
      </c>
      <c r="D95" s="1024" t="s">
        <v>1577</v>
      </c>
      <c r="E95" s="1024" t="s">
        <v>1578</v>
      </c>
      <c r="F95" s="1024" t="s">
        <v>1579</v>
      </c>
      <c r="G95" s="1024" t="s">
        <v>1580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1933</v>
      </c>
      <c r="C97" s="1022" t="s">
        <v>1576</v>
      </c>
      <c r="D97" s="1022" t="s">
        <v>1577</v>
      </c>
      <c r="E97" s="1022" t="s">
        <v>1578</v>
      </c>
      <c r="F97" s="1022" t="s">
        <v>1579</v>
      </c>
      <c r="G97" s="1022" t="s">
        <v>1580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1795</v>
      </c>
      <c r="C99" s="1022" t="s">
        <v>1576</v>
      </c>
      <c r="D99" s="1022" t="s">
        <v>1577</v>
      </c>
      <c r="E99" s="1022" t="s">
        <v>1578</v>
      </c>
      <c r="F99" s="1022" t="s">
        <v>1579</v>
      </c>
      <c r="G99" s="1022" t="s">
        <v>1580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1796</v>
      </c>
      <c r="C101" s="1029" t="s">
        <v>1824</v>
      </c>
      <c r="D101" s="1029" t="s">
        <v>1825</v>
      </c>
      <c r="E101" s="1029" t="s">
        <v>1826</v>
      </c>
      <c r="F101" s="1029" t="s">
        <v>1827</v>
      </c>
      <c r="G101" s="1029" t="s">
        <v>1828</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1968</v>
      </c>
      <c r="D103" s="1006" t="s">
        <v>1969</v>
      </c>
      <c r="E103" s="1006" t="s">
        <v>1970</v>
      </c>
      <c r="F103" s="1006" t="s">
        <v>1971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1871</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1934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1800</v>
      </c>
      <c r="B115" s="1001" t="s">
        <v>1935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1936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2548</v>
      </c>
      <c r="E5" s="3672"/>
    </row>
    <row r="6" spans="1:5">
      <c r="A6" s="3672"/>
      <c r="B6" s="3676"/>
      <c r="C6" s="3677" t="s">
        <v>98</v>
      </c>
      <c r="D6" s="3678" t="str">
        <f ca="1">NUMBERSTRING(INT(D5*10000),2)&amp;"元整"</f>
        <v>贰仟伍佰肆拾捌万元整</v>
      </c>
      <c r="E6" s="3672"/>
    </row>
    <row r="7" ht="15.75" spans="1:5">
      <c r="A7" s="3672"/>
      <c r="B7" s="3679"/>
      <c r="C7" s="3680" t="s">
        <v>99</v>
      </c>
      <c r="D7" s="3681">
        <f ca="1">结果表!H102</f>
        <v>36636</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2548</v>
      </c>
      <c r="E13" s="3672"/>
    </row>
    <row r="14" spans="1:5">
      <c r="A14" s="3672"/>
      <c r="B14" s="3676"/>
      <c r="C14" s="3677" t="s">
        <v>98</v>
      </c>
      <c r="D14" s="3678" t="str">
        <f ca="1">NUMBERSTRING(INT(D13*10000),2)&amp;"元整"</f>
        <v>贰仟伍佰肆拾捌万元整</v>
      </c>
      <c r="E14" s="3672"/>
    </row>
    <row r="15" ht="15" spans="1:5">
      <c r="A15" s="3672"/>
      <c r="B15" s="3679"/>
      <c r="C15" s="3680" t="s">
        <v>99</v>
      </c>
      <c r="D15" s="3691">
        <f ca="1">结果表!H108</f>
        <v>36636</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1929</v>
      </c>
      <c r="B1" s="721"/>
      <c r="C1" s="722" t="s">
        <v>1907</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1972</v>
      </c>
      <c r="D6" s="745"/>
      <c r="E6" s="746" t="s">
        <v>1972</v>
      </c>
      <c r="F6" s="747"/>
      <c r="G6" s="744" t="s">
        <v>1972</v>
      </c>
      <c r="H6" s="745"/>
      <c r="I6" s="744" t="s">
        <v>1972</v>
      </c>
      <c r="J6" s="745"/>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0" si="3">D8/F8</f>
        <v>#DIV/0!</v>
      </c>
      <c r="AB8" s="978" t="e">
        <f t="shared" ref="AB8:AB40" si="4">D8/H8</f>
        <v>#DIV/0!</v>
      </c>
      <c r="AC8" s="978" t="e">
        <f t="shared" ref="AC8:AC40" si="5">D8/J8</f>
        <v>#DIV/0!</v>
      </c>
    </row>
    <row r="9" s="711" customFormat="1" spans="1:29">
      <c r="A9" s="756" t="s">
        <v>1785</v>
      </c>
      <c r="B9" s="757" t="s">
        <v>1786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779" t="s">
        <v>1908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1794</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1932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1782</v>
      </c>
      <c r="S19" s="965">
        <f>F19</f>
        <v>100</v>
      </c>
      <c r="T19" s="964" t="s">
        <v>1782</v>
      </c>
      <c r="U19" s="965">
        <f>H19</f>
        <v>100</v>
      </c>
      <c r="V19" s="964" t="s">
        <v>1782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1782</v>
      </c>
      <c r="S21" s="965">
        <f>F21</f>
        <v>100</v>
      </c>
      <c r="T21" s="964" t="s">
        <v>1782</v>
      </c>
      <c r="U21" s="965">
        <f>H21</f>
        <v>100</v>
      </c>
      <c r="V21" s="964" t="s">
        <v>1782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1795</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1782</v>
      </c>
      <c r="S23" s="960">
        <f>F23</f>
        <v>100</v>
      </c>
      <c r="T23" s="959" t="s">
        <v>1782</v>
      </c>
      <c r="U23" s="960">
        <f>H23</f>
        <v>100</v>
      </c>
      <c r="V23" s="959" t="s">
        <v>1782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1796</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1782</v>
      </c>
      <c r="S25" s="960">
        <f>F25</f>
        <v>100</v>
      </c>
      <c r="T25" s="959" t="s">
        <v>1782</v>
      </c>
      <c r="U25" s="960">
        <f>H25</f>
        <v>100</v>
      </c>
      <c r="V25" s="959" t="s">
        <v>1782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1851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1782</v>
      </c>
      <c r="S27" s="965">
        <f t="shared" ref="S27:S40" si="10">F27</f>
        <v>100</v>
      </c>
      <c r="T27" s="964" t="s">
        <v>1782</v>
      </c>
      <c r="U27" s="965">
        <f t="shared" ref="U27:U40" si="11">H27</f>
        <v>100</v>
      </c>
      <c r="V27" s="964" t="s">
        <v>1782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1871</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1782</v>
      </c>
      <c r="S28" s="965">
        <f t="shared" si="10"/>
        <v>100</v>
      </c>
      <c r="T28" s="964" t="s">
        <v>1782</v>
      </c>
      <c r="U28" s="965">
        <f t="shared" si="11"/>
        <v>100</v>
      </c>
      <c r="V28" s="964" t="s">
        <v>1782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1934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1782</v>
      </c>
      <c r="S30" s="965">
        <f t="shared" si="10"/>
        <v>100</v>
      </c>
      <c r="T30" s="964" t="s">
        <v>1782</v>
      </c>
      <c r="U30" s="965">
        <f t="shared" si="11"/>
        <v>100</v>
      </c>
      <c r="V30" s="964" t="s">
        <v>1782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1782</v>
      </c>
      <c r="S31" s="965">
        <f t="shared" si="10"/>
        <v>100</v>
      </c>
      <c r="T31" s="964" t="s">
        <v>1782</v>
      </c>
      <c r="U31" s="965">
        <f t="shared" si="11"/>
        <v>100</v>
      </c>
      <c r="V31" s="964" t="s">
        <v>1782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1802</v>
      </c>
      <c r="Q32" s="863">
        <f t="shared" si="8"/>
        <v>111</v>
      </c>
      <c r="R32" s="964" t="s">
        <v>1782</v>
      </c>
      <c r="S32" s="965">
        <f t="shared" si="10"/>
        <v>100</v>
      </c>
      <c r="T32" s="964" t="s">
        <v>1782</v>
      </c>
      <c r="U32" s="965">
        <f t="shared" si="11"/>
        <v>100</v>
      </c>
      <c r="V32" s="964" t="s">
        <v>1782</v>
      </c>
      <c r="W32" s="965">
        <f t="shared" si="12"/>
        <v>100</v>
      </c>
      <c r="X32" s="951"/>
      <c r="Y32" s="925" t="s">
        <v>1802</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1782</v>
      </c>
      <c r="S33" s="967">
        <f t="shared" si="10"/>
        <v>100</v>
      </c>
      <c r="T33" s="966" t="s">
        <v>1782</v>
      </c>
      <c r="U33" s="967">
        <f t="shared" si="11"/>
        <v>100</v>
      </c>
      <c r="V33" s="966" t="s">
        <v>1782</v>
      </c>
      <c r="W33" s="967">
        <f t="shared" si="12"/>
        <v>100</v>
      </c>
      <c r="X33" s="968"/>
      <c r="Y33" s="925"/>
      <c r="Z33" s="981">
        <f t="shared" si="13"/>
        <v>111</v>
      </c>
      <c r="AA33" s="980">
        <f t="shared" si="3"/>
        <v>1</v>
      </c>
      <c r="AB33" s="980">
        <f t="shared" si="4"/>
        <v>1</v>
      </c>
      <c r="AC33" s="980">
        <f t="shared" si="5"/>
        <v>1</v>
      </c>
    </row>
    <row r="34" ht="15" spans="1:29">
      <c r="A34" s="778" t="s">
        <v>1800</v>
      </c>
      <c r="B34" s="812" t="s">
        <v>1935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1782</v>
      </c>
      <c r="S34" s="965" t="e">
        <f t="shared" si="10"/>
        <v>#N/A</v>
      </c>
      <c r="T34" s="964" t="s">
        <v>1782</v>
      </c>
      <c r="U34" s="965" t="e">
        <f t="shared" si="11"/>
        <v>#N/A</v>
      </c>
      <c r="V34" s="964" t="s">
        <v>1782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1936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1782</v>
      </c>
      <c r="S35" s="965">
        <f t="shared" si="10"/>
        <v>100</v>
      </c>
      <c r="T35" s="964" t="s">
        <v>1782</v>
      </c>
      <c r="U35" s="965">
        <f t="shared" si="11"/>
        <v>100</v>
      </c>
      <c r="V35" s="964" t="s">
        <v>1782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1782</v>
      </c>
      <c r="S36" s="960">
        <f t="shared" si="10"/>
        <v>100</v>
      </c>
      <c r="T36" s="959" t="s">
        <v>1782</v>
      </c>
      <c r="U36" s="960">
        <f t="shared" si="11"/>
        <v>100</v>
      </c>
      <c r="V36" s="959" t="s">
        <v>1782</v>
      </c>
      <c r="W36" s="960">
        <f t="shared" si="12"/>
        <v>100</v>
      </c>
      <c r="X36" s="961"/>
      <c r="Y36" s="925"/>
      <c r="Z36" s="979" t="str">
        <f t="shared" si="13"/>
        <v>宗地开发程度</v>
      </c>
      <c r="AA36" s="978">
        <f t="shared" si="3"/>
        <v>1</v>
      </c>
      <c r="AB36" s="978">
        <f t="shared" si="4"/>
        <v>1</v>
      </c>
      <c r="AC36" s="978">
        <f t="shared" si="5"/>
        <v>1</v>
      </c>
    </row>
    <row r="37" ht="15" spans="1:29">
      <c r="A37" s="815"/>
      <c r="B37" s="761" t="s">
        <v>1939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1802</v>
      </c>
      <c r="Q37" s="863" t="str">
        <f t="shared" si="14"/>
        <v>工程地质条件</v>
      </c>
      <c r="R37" s="964" t="s">
        <v>1782</v>
      </c>
      <c r="S37" s="965">
        <f t="shared" si="10"/>
        <v>100</v>
      </c>
      <c r="T37" s="964" t="s">
        <v>1782</v>
      </c>
      <c r="U37" s="965">
        <f t="shared" si="11"/>
        <v>100</v>
      </c>
      <c r="V37" s="964" t="s">
        <v>1782</v>
      </c>
      <c r="W37" s="965">
        <f t="shared" si="12"/>
        <v>100</v>
      </c>
      <c r="X37" s="951"/>
      <c r="Y37" s="925" t="s">
        <v>1802</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1782</v>
      </c>
      <c r="S38" s="965">
        <f t="shared" si="10"/>
        <v>100</v>
      </c>
      <c r="T38" s="964" t="s">
        <v>1782</v>
      </c>
      <c r="U38" s="965">
        <f t="shared" si="11"/>
        <v>100</v>
      </c>
      <c r="V38" s="964" t="s">
        <v>1782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1782</v>
      </c>
      <c r="S39" s="965">
        <f t="shared" si="10"/>
        <v>100</v>
      </c>
      <c r="T39" s="964" t="s">
        <v>1782</v>
      </c>
      <c r="U39" s="965">
        <f t="shared" si="11"/>
        <v>100</v>
      </c>
      <c r="V39" s="964" t="s">
        <v>1782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1782</v>
      </c>
      <c r="S40" s="967">
        <f t="shared" si="10"/>
        <v>100</v>
      </c>
      <c r="T40" s="966" t="s">
        <v>1782</v>
      </c>
      <c r="U40" s="967">
        <f t="shared" si="11"/>
        <v>100</v>
      </c>
      <c r="V40" s="966" t="s">
        <v>1782</v>
      </c>
      <c r="W40" s="967">
        <f t="shared" si="12"/>
        <v>100</v>
      </c>
      <c r="X40" s="968"/>
      <c r="Y40" s="925"/>
      <c r="Z40" s="981">
        <f t="shared" si="13"/>
        <v>111</v>
      </c>
      <c r="AA40" s="980">
        <f t="shared" si="3"/>
        <v>1</v>
      </c>
      <c r="AB40" s="980">
        <f t="shared" si="4"/>
        <v>1</v>
      </c>
      <c r="AC40" s="980">
        <f t="shared" si="5"/>
        <v>1</v>
      </c>
    </row>
    <row r="41" ht="15" spans="1:29">
      <c r="A41" s="822" t="s">
        <v>1921</v>
      </c>
      <c r="B41" s="823" t="s">
        <v>1974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1814</v>
      </c>
      <c r="B42" s="831"/>
      <c r="C42" s="832" t="e">
        <f>R43</f>
        <v>#DIV/0!</v>
      </c>
      <c r="D42" s="833" t="s">
        <v>1815</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1816</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1942</v>
      </c>
      <c r="B50" s="851" t="s">
        <v>1943</v>
      </c>
      <c r="C50" s="852" t="s">
        <v>1944</v>
      </c>
      <c r="D50" s="853" t="s">
        <v>1945</v>
      </c>
      <c r="E50" s="854" t="s">
        <v>1946</v>
      </c>
      <c r="F50" s="855" t="s">
        <v>1947</v>
      </c>
      <c r="G50" s="732" t="s">
        <v>1948</v>
      </c>
      <c r="H50" s="856"/>
      <c r="I50" s="937" t="s">
        <v>1975</v>
      </c>
      <c r="J50" s="937">
        <f>项目基本情况!F35</f>
        <v>0</v>
      </c>
      <c r="K50" s="938" t="s">
        <v>1950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1951</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1952</v>
      </c>
      <c r="B52" s="410" t="e">
        <f>ROUND($C$43*C52*D52,0)</f>
        <v>#DIV/0!</v>
      </c>
      <c r="C52" s="865">
        <f t="shared" ref="C52:C60" si="16">IF($C$50="北京市系数",I52,J52)</f>
        <v>0</v>
      </c>
      <c r="D52" s="866">
        <v>0.25</v>
      </c>
      <c r="E52" s="867"/>
      <c r="F52" s="861" t="e">
        <f t="shared" si="15"/>
        <v>#DIV/0!</v>
      </c>
      <c r="G52" s="868" t="s">
        <v>1953</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1954</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1955</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1956</v>
      </c>
      <c r="B56" s="410" t="e">
        <f t="shared" si="17"/>
        <v>#DIV/0!</v>
      </c>
      <c r="C56" s="865">
        <f t="shared" si="16"/>
        <v>0.3</v>
      </c>
      <c r="D56" s="866">
        <v>0.25</v>
      </c>
      <c r="E56" s="409">
        <f>'数据-汇总表'!E11</f>
        <v>0</v>
      </c>
      <c r="F56" s="861" t="e">
        <f t="shared" si="15"/>
        <v>#DIV/0!</v>
      </c>
      <c r="G56" s="872" t="s">
        <v>1957</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1958</v>
      </c>
      <c r="B57" s="410" t="e">
        <f t="shared" si="17"/>
        <v>#DIV/0!</v>
      </c>
      <c r="C57" s="865">
        <f t="shared" si="16"/>
        <v>0.3</v>
      </c>
      <c r="D57" s="866">
        <v>0.25</v>
      </c>
      <c r="E57" s="409">
        <f>'数据-汇总表'!E12</f>
        <v>0</v>
      </c>
      <c r="F57" s="861" t="e">
        <f t="shared" si="15"/>
        <v>#DIV/0!</v>
      </c>
      <c r="G57" s="873" t="s">
        <v>1959</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1960</v>
      </c>
      <c r="B58" s="410" t="e">
        <f t="shared" si="17"/>
        <v>#DIV/0!</v>
      </c>
      <c r="C58" s="865">
        <f t="shared" si="16"/>
        <v>0</v>
      </c>
      <c r="D58" s="866">
        <v>0.25</v>
      </c>
      <c r="E58" s="409">
        <f>'数据-汇总表'!E13</f>
        <v>0</v>
      </c>
      <c r="F58" s="861" t="e">
        <f t="shared" si="15"/>
        <v>#DIV/0!</v>
      </c>
      <c r="G58" s="873" t="s">
        <v>1961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1962</v>
      </c>
      <c r="B59" s="410" t="e">
        <f t="shared" si="17"/>
        <v>#DIV/0!</v>
      </c>
      <c r="C59" s="865">
        <f t="shared" si="16"/>
        <v>0</v>
      </c>
      <c r="D59" s="866">
        <v>0.25</v>
      </c>
      <c r="E59" s="409">
        <f>'数据-汇总表'!E14</f>
        <v>0</v>
      </c>
      <c r="F59" s="861" t="e">
        <f t="shared" si="15"/>
        <v>#DIV/0!</v>
      </c>
      <c r="G59" s="872" t="s">
        <v>1953</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1963</v>
      </c>
      <c r="B60" s="410" t="e">
        <f t="shared" si="17"/>
        <v>#DIV/0!</v>
      </c>
      <c r="C60" s="865">
        <f t="shared" si="16"/>
        <v>0.2</v>
      </c>
      <c r="D60" s="866">
        <v>0.25</v>
      </c>
      <c r="E60" s="409">
        <f>'数据-汇总表'!E15</f>
        <v>0</v>
      </c>
      <c r="F60" s="861" t="e">
        <f t="shared" si="15"/>
        <v>#DIV/0!</v>
      </c>
      <c r="G60" s="874" t="s">
        <v>1957</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1964</v>
      </c>
      <c r="B61" s="877" t="s">
        <v>1965</v>
      </c>
      <c r="C61" s="877" t="s">
        <v>1965</v>
      </c>
      <c r="D61" s="877" t="s">
        <v>1965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1820</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1966</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1821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1783</v>
      </c>
      <c r="B68" s="995"/>
      <c r="C68" s="996" t="s">
        <v>1822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1823</v>
      </c>
      <c r="B70" s="1001" t="s">
        <v>1786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1790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1791</v>
      </c>
      <c r="B83" s="1001" t="s">
        <v>1908</v>
      </c>
      <c r="C83" s="1022" t="s">
        <v>1576</v>
      </c>
      <c r="D83" s="1022" t="s">
        <v>1577</v>
      </c>
      <c r="E83" s="1022" t="s">
        <v>1578</v>
      </c>
      <c r="F83" s="1022" t="s">
        <v>1579</v>
      </c>
      <c r="G83" s="1022" t="s">
        <v>1580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1794</v>
      </c>
      <c r="C85" s="1024" t="s">
        <v>1576</v>
      </c>
      <c r="D85" s="1024" t="s">
        <v>1577</v>
      </c>
      <c r="E85" s="1024" t="s">
        <v>1578</v>
      </c>
      <c r="F85" s="1024" t="s">
        <v>1579</v>
      </c>
      <c r="G85" s="1024" t="s">
        <v>1580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1932</v>
      </c>
      <c r="C87" s="1022" t="s">
        <v>1576</v>
      </c>
      <c r="D87" s="1022" t="s">
        <v>1577</v>
      </c>
      <c r="E87" s="1022" t="s">
        <v>1578</v>
      </c>
      <c r="F87" s="1022" t="s">
        <v>1579</v>
      </c>
      <c r="G87" s="1022" t="s">
        <v>1580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1933</v>
      </c>
      <c r="C89" s="1022" t="s">
        <v>1576</v>
      </c>
      <c r="D89" s="1022" t="s">
        <v>1577</v>
      </c>
      <c r="E89" s="1022" t="s">
        <v>1578</v>
      </c>
      <c r="F89" s="1022" t="s">
        <v>1579</v>
      </c>
      <c r="G89" s="1022" t="s">
        <v>1580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1795</v>
      </c>
      <c r="C91" s="1022" t="s">
        <v>1576</v>
      </c>
      <c r="D91" s="1022" t="s">
        <v>1577</v>
      </c>
      <c r="E91" s="1022" t="s">
        <v>1578</v>
      </c>
      <c r="F91" s="1022" t="s">
        <v>1579</v>
      </c>
      <c r="G91" s="1022" t="s">
        <v>1580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1796</v>
      </c>
      <c r="C93" s="1029" t="s">
        <v>1824</v>
      </c>
      <c r="D93" s="1029" t="s">
        <v>1825</v>
      </c>
      <c r="E93" s="1029" t="s">
        <v>1826</v>
      </c>
      <c r="F93" s="1029" t="s">
        <v>1827</v>
      </c>
      <c r="G93" s="1029" t="s">
        <v>1828</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1968</v>
      </c>
      <c r="D95" s="1006" t="s">
        <v>1969</v>
      </c>
      <c r="E95" s="1006" t="s">
        <v>1970</v>
      </c>
      <c r="F95" s="1006" t="s">
        <v>1971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1871</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1934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1800</v>
      </c>
      <c r="B107" s="1001" t="s">
        <v>1935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1936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1977</v>
      </c>
      <c r="C1" s="590" t="s">
        <v>1978</v>
      </c>
      <c r="D1" s="591"/>
      <c r="E1" s="591"/>
      <c r="F1" s="591"/>
      <c r="G1" s="591"/>
      <c r="H1" s="591"/>
      <c r="I1" s="591"/>
      <c r="J1" s="591"/>
      <c r="K1" s="591"/>
      <c r="L1" s="591"/>
      <c r="M1" s="591"/>
      <c r="N1" s="591"/>
      <c r="O1" s="591"/>
      <c r="P1" s="591"/>
      <c r="Q1" s="591"/>
      <c r="R1" s="591"/>
      <c r="S1" s="675"/>
      <c r="T1" s="589" t="s">
        <v>1487</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1980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1985</v>
      </c>
      <c r="B17" s="625" t="s">
        <v>1986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1987</v>
      </c>
      <c r="E19" s="635"/>
      <c r="F19" s="635"/>
      <c r="G19" s="635"/>
      <c r="H19" s="636"/>
      <c r="I19" s="633"/>
      <c r="J19" s="633"/>
      <c r="K19" s="633"/>
      <c r="L19" s="633"/>
      <c r="M19" s="633"/>
      <c r="N19" s="633"/>
      <c r="O19" s="633"/>
      <c r="P19" s="633"/>
      <c r="Q19" s="633"/>
      <c r="R19" s="702"/>
      <c r="S19" s="632"/>
    </row>
    <row r="20" ht="16.5" spans="1:19">
      <c r="A20" s="637" t="s">
        <v>1988</v>
      </c>
      <c r="B20" s="638" t="e">
        <f ca="1">IF(D20="——",S22,S22-F20)</f>
        <v>#REF!</v>
      </c>
      <c r="C20" s="633"/>
      <c r="D20" s="639"/>
      <c r="E20" s="640"/>
      <c r="F20" s="589" t="e">
        <f ca="1">SUMIF(INDIRECT("'"&amp;H20&amp;"'"&amp;"!A:A"),"承租人权益价值",INDIRECT("'"&amp;H20&amp;"'"&amp;"!c:c"))</f>
        <v>#REF!</v>
      </c>
      <c r="G20" s="589" t="s">
        <v>885</v>
      </c>
      <c r="H20" s="641"/>
      <c r="I20" s="633"/>
      <c r="J20" s="633"/>
      <c r="K20" s="633"/>
      <c r="L20" s="633"/>
      <c r="M20" s="633"/>
      <c r="N20" s="633"/>
      <c r="O20" s="633"/>
      <c r="P20" s="633"/>
      <c r="Q20" s="633"/>
      <c r="R20" s="702"/>
      <c r="S20" s="632"/>
    </row>
    <row r="21" ht="15.75" spans="1:19">
      <c r="A21" s="637" t="s">
        <v>1989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1990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1991</v>
      </c>
      <c r="B23" s="646" t="s">
        <v>461</v>
      </c>
      <c r="C23" s="646" t="s">
        <v>1487</v>
      </c>
      <c r="D23" s="646" t="str">
        <f>B5</f>
        <v>修正项2</v>
      </c>
      <c r="E23" s="646" t="s">
        <v>1487</v>
      </c>
      <c r="F23" s="646" t="str">
        <f>B7</f>
        <v>修正项3</v>
      </c>
      <c r="G23" s="646" t="s">
        <v>1487</v>
      </c>
      <c r="H23" s="646" t="str">
        <f>B9</f>
        <v>修正项4</v>
      </c>
      <c r="I23" s="646" t="s">
        <v>1487</v>
      </c>
      <c r="J23" s="646" t="str">
        <f>B11</f>
        <v>修正项5</v>
      </c>
      <c r="K23" s="646" t="s">
        <v>1487</v>
      </c>
      <c r="L23" s="646" t="str">
        <f>B13</f>
        <v>修正项6</v>
      </c>
      <c r="M23" s="646" t="s">
        <v>1487</v>
      </c>
      <c r="N23" s="646" t="str">
        <f>B15</f>
        <v>修正项7</v>
      </c>
      <c r="O23" s="646" t="s">
        <v>1487</v>
      </c>
      <c r="P23" s="646" t="str">
        <f>B17</f>
        <v>楼层</v>
      </c>
      <c r="Q23" s="646" t="s">
        <v>1487</v>
      </c>
      <c r="R23" s="705" t="s">
        <v>1992</v>
      </c>
      <c r="S23" s="646" t="s">
        <v>1993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1995</v>
      </c>
      <c r="B1" s="568"/>
      <c r="C1" s="568"/>
      <c r="D1" s="568"/>
      <c r="E1" s="568"/>
      <c r="F1" s="569"/>
      <c r="G1" s="569"/>
      <c r="H1" s="569"/>
      <c r="I1" s="569"/>
      <c r="J1" s="569"/>
      <c r="K1" s="569"/>
      <c r="L1" s="569"/>
      <c r="M1" s="569"/>
      <c r="N1" s="569"/>
      <c r="O1" s="569"/>
      <c r="P1" s="569"/>
    </row>
    <row r="2" spans="1:16">
      <c r="A2" s="570" t="s">
        <v>97</v>
      </c>
      <c r="B2" s="571">
        <f ca="1">SUMIF(B6:B13,"&lt;&gt;#ref!",B6:B13)</f>
        <v>2373</v>
      </c>
      <c r="C2" s="570" t="s">
        <v>1996</v>
      </c>
      <c r="D2" s="570" t="s">
        <v>1997</v>
      </c>
      <c r="E2" s="572">
        <f ca="1">SUMIF(E6:E13,"&lt;&gt;#ref!",E6:E13)</f>
        <v>1391</v>
      </c>
      <c r="F2" s="569"/>
      <c r="G2" s="569"/>
      <c r="H2" s="569"/>
      <c r="I2" s="569"/>
      <c r="J2" s="569"/>
      <c r="K2" s="569"/>
      <c r="L2" s="569"/>
      <c r="M2" s="569"/>
      <c r="N2" s="569"/>
      <c r="O2" s="569"/>
      <c r="P2" s="569"/>
    </row>
    <row r="3" ht="15.75" spans="1:16">
      <c r="A3" s="570" t="s">
        <v>1998</v>
      </c>
      <c r="B3" s="571">
        <f ca="1">ROUND(B2*10000/E2,0)</f>
        <v>17060</v>
      </c>
      <c r="C3" s="570" t="s">
        <v>1999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2000</v>
      </c>
      <c r="B5" s="575" t="s">
        <v>2001</v>
      </c>
      <c r="C5" s="576"/>
      <c r="D5" s="569"/>
      <c r="E5" s="577" t="s">
        <v>2002</v>
      </c>
      <c r="F5" s="569"/>
      <c r="G5" s="569"/>
      <c r="H5" s="569"/>
      <c r="I5" s="569"/>
      <c r="J5" s="569"/>
      <c r="K5" s="569"/>
      <c r="L5" s="569"/>
      <c r="M5" s="569"/>
      <c r="N5" s="569"/>
      <c r="O5" s="569"/>
      <c r="P5" s="569"/>
    </row>
    <row r="6" spans="1:16">
      <c r="A6" s="578" t="s">
        <v>2003</v>
      </c>
      <c r="B6" s="571">
        <f ca="1">SUMIF(INDIRECT("'"&amp;A6&amp;"'"&amp;"!A:A"),"总价",INDIRECT("'"&amp;A6&amp;"'"&amp;"!B:B"))</f>
        <v>2373</v>
      </c>
      <c r="C6" s="570" t="s">
        <v>1996</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1996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1996</v>
      </c>
      <c r="D8" s="569"/>
      <c r="E8" s="572" t="e">
        <f ca="1" t="shared" si="0"/>
        <v>#REF!</v>
      </c>
      <c r="F8" s="569"/>
      <c r="G8" s="569"/>
      <c r="H8" s="569"/>
      <c r="I8" s="569"/>
      <c r="J8" s="569"/>
      <c r="K8" s="569"/>
      <c r="L8" s="569"/>
      <c r="M8" s="569"/>
      <c r="N8" s="569"/>
      <c r="O8" s="569"/>
      <c r="P8" s="569"/>
    </row>
    <row r="9" ht="15.75" spans="1:16">
      <c r="A9" s="578"/>
      <c r="B9" s="571" t="e">
        <f ca="1" t="shared" si="1"/>
        <v>#REF!</v>
      </c>
      <c r="C9" s="570" t="s">
        <v>1996</v>
      </c>
      <c r="D9" s="569"/>
      <c r="E9" s="572" t="e">
        <f ca="1" t="shared" si="0"/>
        <v>#REF!</v>
      </c>
      <c r="F9" s="569"/>
      <c r="G9" s="569"/>
      <c r="H9" s="569"/>
      <c r="I9" s="569"/>
      <c r="J9" s="569"/>
      <c r="K9" s="569"/>
      <c r="L9" s="569"/>
      <c r="M9" s="569"/>
      <c r="N9" s="569"/>
      <c r="O9" s="569"/>
      <c r="P9" s="569"/>
    </row>
    <row r="10" ht="15.75" spans="1:16">
      <c r="A10" s="578"/>
      <c r="B10" s="571" t="e">
        <f ca="1" t="shared" si="1"/>
        <v>#REF!</v>
      </c>
      <c r="C10" s="570" t="s">
        <v>1996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2004</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2005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2007</v>
      </c>
      <c r="B18" s="517"/>
      <c r="C18" s="518"/>
      <c r="D18" s="518"/>
      <c r="E18" s="517"/>
      <c r="F18" s="518"/>
      <c r="G18" s="518"/>
    </row>
    <row r="19" customHeight="1" spans="1:7">
      <c r="A19" s="516" t="s">
        <v>2008</v>
      </c>
      <c r="B19" s="519" t="s">
        <v>2009</v>
      </c>
      <c r="C19" s="519" t="s">
        <v>2010</v>
      </c>
      <c r="D19" s="520"/>
      <c r="E19" s="516" t="s">
        <v>2011</v>
      </c>
      <c r="F19" s="521"/>
      <c r="G19" s="521"/>
    </row>
    <row r="20" customHeight="1" spans="1:7">
      <c r="A20" s="522" t="s">
        <v>2004</v>
      </c>
      <c r="B20" s="523" t="s">
        <v>2012</v>
      </c>
      <c r="C20" s="524" t="s">
        <v>2013</v>
      </c>
      <c r="D20" s="525"/>
      <c r="E20" s="526">
        <v>1</v>
      </c>
      <c r="F20" s="527" t="s">
        <v>2014</v>
      </c>
      <c r="G20" s="527"/>
    </row>
    <row r="21" customHeight="1" spans="1:7">
      <c r="A21" s="528"/>
      <c r="B21" s="529"/>
      <c r="C21" s="530" t="s">
        <v>2015</v>
      </c>
      <c r="D21" s="531"/>
      <c r="E21" s="532">
        <v>1</v>
      </c>
      <c r="F21" s="527" t="s">
        <v>2016</v>
      </c>
      <c r="G21" s="527"/>
    </row>
    <row r="22" customHeight="1" spans="1:7">
      <c r="A22" s="528"/>
      <c r="B22" s="529"/>
      <c r="C22" s="530" t="s">
        <v>2017</v>
      </c>
      <c r="D22" s="531"/>
      <c r="E22" s="532">
        <v>0.9</v>
      </c>
      <c r="F22" s="527" t="s">
        <v>2018</v>
      </c>
      <c r="G22" s="527"/>
    </row>
    <row r="23" customHeight="1" spans="1:7">
      <c r="A23" s="528"/>
      <c r="B23" s="529"/>
      <c r="C23" s="530" t="s">
        <v>2019</v>
      </c>
      <c r="D23" s="531"/>
      <c r="E23" s="532">
        <v>0.9</v>
      </c>
      <c r="F23" s="527" t="s">
        <v>2020</v>
      </c>
      <c r="G23" s="527"/>
    </row>
    <row r="24" customHeight="1" spans="1:7">
      <c r="A24" s="528"/>
      <c r="B24" s="529"/>
      <c r="C24" s="530" t="s">
        <v>2021</v>
      </c>
      <c r="D24" s="531"/>
      <c r="E24" s="532">
        <v>0.8</v>
      </c>
      <c r="F24" s="527" t="s">
        <v>2022</v>
      </c>
      <c r="G24" s="527"/>
    </row>
    <row r="25" customHeight="1" spans="1:7">
      <c r="A25" s="533"/>
      <c r="B25" s="534"/>
      <c r="C25" s="535" t="s">
        <v>2023</v>
      </c>
      <c r="D25" s="536"/>
      <c r="E25" s="537">
        <v>0.8</v>
      </c>
      <c r="F25" s="527" t="s">
        <v>2024</v>
      </c>
      <c r="G25" s="527"/>
    </row>
    <row r="26" customHeight="1" spans="1:7">
      <c r="A26" s="538" t="s">
        <v>552</v>
      </c>
      <c r="B26" s="539" t="s">
        <v>2012</v>
      </c>
      <c r="C26" s="540" t="s">
        <v>1426</v>
      </c>
      <c r="D26" s="541"/>
      <c r="E26" s="542">
        <v>1</v>
      </c>
      <c r="F26" s="527" t="s">
        <v>2025</v>
      </c>
      <c r="G26" s="527"/>
    </row>
    <row r="27" customHeight="1" spans="1:7">
      <c r="A27" s="543" t="s">
        <v>280</v>
      </c>
      <c r="B27" s="523" t="s">
        <v>280</v>
      </c>
      <c r="C27" s="524" t="s">
        <v>2026</v>
      </c>
      <c r="D27" s="525"/>
      <c r="E27" s="526">
        <v>1</v>
      </c>
      <c r="F27" s="527" t="s">
        <v>2027</v>
      </c>
      <c r="G27" s="527"/>
    </row>
    <row r="28" customHeight="1" spans="1:7">
      <c r="A28" s="544"/>
      <c r="B28" s="529"/>
      <c r="C28" s="530" t="s">
        <v>2028</v>
      </c>
      <c r="D28" s="531"/>
      <c r="E28" s="532">
        <v>1</v>
      </c>
      <c r="F28" s="527" t="s">
        <v>2029</v>
      </c>
      <c r="G28" s="527"/>
    </row>
    <row r="29" customHeight="1" spans="1:7">
      <c r="A29" s="544"/>
      <c r="B29" s="529"/>
      <c r="C29" s="530" t="s">
        <v>2030</v>
      </c>
      <c r="D29" s="531"/>
      <c r="E29" s="532">
        <v>0.8</v>
      </c>
      <c r="F29" s="527" t="s">
        <v>2031</v>
      </c>
      <c r="G29" s="527"/>
    </row>
    <row r="30" customHeight="1" spans="1:7">
      <c r="A30" s="544"/>
      <c r="B30" s="529"/>
      <c r="C30" s="530" t="s">
        <v>2032</v>
      </c>
      <c r="D30" s="531"/>
      <c r="E30" s="532">
        <v>0.8</v>
      </c>
      <c r="F30" s="527" t="s">
        <v>2033</v>
      </c>
      <c r="G30" s="527"/>
    </row>
    <row r="31" customHeight="1" spans="1:7">
      <c r="A31" s="544"/>
      <c r="B31" s="529"/>
      <c r="C31" s="530" t="s">
        <v>2034</v>
      </c>
      <c r="D31" s="531"/>
      <c r="E31" s="532">
        <v>0.8</v>
      </c>
      <c r="F31" s="527" t="s">
        <v>2035</v>
      </c>
      <c r="G31" s="527"/>
    </row>
    <row r="32" customHeight="1" spans="1:7">
      <c r="A32" s="544"/>
      <c r="B32" s="529"/>
      <c r="C32" s="530" t="s">
        <v>2036</v>
      </c>
      <c r="D32" s="531"/>
      <c r="E32" s="532">
        <v>0.7</v>
      </c>
      <c r="F32" s="527" t="s">
        <v>2037</v>
      </c>
      <c r="G32" s="527"/>
    </row>
    <row r="33" customHeight="1" spans="1:7">
      <c r="A33" s="544"/>
      <c r="B33" s="529"/>
      <c r="C33" s="530" t="s">
        <v>2038</v>
      </c>
      <c r="D33" s="531"/>
      <c r="E33" s="532">
        <v>0.8</v>
      </c>
      <c r="F33" s="527" t="s">
        <v>2039</v>
      </c>
      <c r="G33" s="527"/>
    </row>
    <row r="34" customHeight="1" spans="1:7">
      <c r="A34" s="544"/>
      <c r="B34" s="529"/>
      <c r="C34" s="530" t="s">
        <v>2040</v>
      </c>
      <c r="D34" s="531"/>
      <c r="E34" s="532">
        <v>0.6</v>
      </c>
      <c r="F34" s="527" t="s">
        <v>2041</v>
      </c>
      <c r="G34" s="527"/>
    </row>
    <row r="35" customHeight="1" spans="1:7">
      <c r="A35" s="544"/>
      <c r="B35" s="529"/>
      <c r="C35" s="530" t="s">
        <v>2042</v>
      </c>
      <c r="D35" s="531"/>
      <c r="E35" s="532">
        <v>0.2</v>
      </c>
      <c r="F35" s="527" t="s">
        <v>2043</v>
      </c>
      <c r="G35" s="527"/>
    </row>
    <row r="36" customHeight="1" spans="1:7">
      <c r="A36" s="544"/>
      <c r="B36" s="529"/>
      <c r="C36" s="530" t="s">
        <v>2044</v>
      </c>
      <c r="D36" s="531"/>
      <c r="E36" s="532">
        <v>0.2</v>
      </c>
      <c r="F36" s="527" t="s">
        <v>2045</v>
      </c>
      <c r="G36" s="527"/>
    </row>
    <row r="37" customHeight="1" spans="1:7">
      <c r="A37" s="544"/>
      <c r="B37" s="545" t="s">
        <v>2046</v>
      </c>
      <c r="C37" s="530" t="s">
        <v>2047</v>
      </c>
      <c r="D37" s="531"/>
      <c r="E37" s="532">
        <v>0.6</v>
      </c>
      <c r="F37" s="527" t="s">
        <v>2048</v>
      </c>
      <c r="G37" s="527"/>
    </row>
    <row r="38" customHeight="1" spans="1:7">
      <c r="A38" s="544"/>
      <c r="B38" s="529"/>
      <c r="C38" s="530" t="s">
        <v>2049</v>
      </c>
      <c r="D38" s="531"/>
      <c r="E38" s="532">
        <v>0.6</v>
      </c>
      <c r="F38" s="527" t="s">
        <v>2050</v>
      </c>
      <c r="G38" s="527"/>
    </row>
    <row r="39" customHeight="1" spans="1:7">
      <c r="A39" s="546"/>
      <c r="B39" s="534"/>
      <c r="C39" s="535" t="s">
        <v>2051</v>
      </c>
      <c r="D39" s="536"/>
      <c r="E39" s="537">
        <v>0.6</v>
      </c>
      <c r="F39" s="527" t="s">
        <v>2052</v>
      </c>
      <c r="G39" s="527"/>
    </row>
    <row r="40" customHeight="1" spans="1:7">
      <c r="A40" s="538" t="s">
        <v>416</v>
      </c>
      <c r="B40" s="539" t="s">
        <v>416</v>
      </c>
      <c r="C40" s="540" t="s">
        <v>2053</v>
      </c>
      <c r="D40" s="541"/>
      <c r="E40" s="542">
        <v>1</v>
      </c>
      <c r="F40" s="527" t="s">
        <v>2054</v>
      </c>
      <c r="G40" s="527"/>
    </row>
    <row r="41" customHeight="1" spans="1:7">
      <c r="A41" s="522" t="s">
        <v>412</v>
      </c>
      <c r="B41" s="523" t="s">
        <v>2055</v>
      </c>
      <c r="C41" s="524" t="s">
        <v>2056</v>
      </c>
      <c r="D41" s="525"/>
      <c r="E41" s="526">
        <v>1</v>
      </c>
      <c r="F41" s="527" t="s">
        <v>2057</v>
      </c>
      <c r="G41" s="527"/>
    </row>
    <row r="42" customHeight="1" spans="1:7">
      <c r="A42" s="528"/>
      <c r="B42" s="529"/>
      <c r="C42" s="530" t="s">
        <v>2058</v>
      </c>
      <c r="D42" s="531"/>
      <c r="E42" s="532">
        <v>1</v>
      </c>
      <c r="F42" s="527" t="s">
        <v>2059</v>
      </c>
      <c r="G42" s="527"/>
    </row>
    <row r="43" customHeight="1" spans="1:7">
      <c r="A43" s="528"/>
      <c r="B43" s="547"/>
      <c r="C43" s="530" t="s">
        <v>2060</v>
      </c>
      <c r="D43" s="531"/>
      <c r="E43" s="532">
        <v>1.5</v>
      </c>
      <c r="F43" s="527" t="s">
        <v>2061</v>
      </c>
      <c r="G43" s="527"/>
    </row>
    <row r="44" customHeight="1" spans="1:7">
      <c r="A44" s="528"/>
      <c r="B44" s="548" t="s">
        <v>280</v>
      </c>
      <c r="C44" s="530" t="s">
        <v>2005</v>
      </c>
      <c r="D44" s="531"/>
      <c r="E44" s="532">
        <v>2</v>
      </c>
      <c r="F44" s="527" t="s">
        <v>2062</v>
      </c>
      <c r="G44" s="527"/>
    </row>
    <row r="45" customHeight="1" spans="1:7">
      <c r="A45" s="528"/>
      <c r="B45" s="545" t="s">
        <v>2063</v>
      </c>
      <c r="C45" s="530" t="s">
        <v>2064</v>
      </c>
      <c r="D45" s="531"/>
      <c r="E45" s="532">
        <v>1</v>
      </c>
      <c r="F45" s="527" t="s">
        <v>2065</v>
      </c>
      <c r="G45" s="527"/>
    </row>
    <row r="46" customHeight="1" spans="1:7">
      <c r="A46" s="528"/>
      <c r="B46" s="529"/>
      <c r="C46" s="530" t="s">
        <v>2066</v>
      </c>
      <c r="D46" s="531"/>
      <c r="E46" s="532">
        <v>1</v>
      </c>
      <c r="F46" s="527" t="s">
        <v>2067</v>
      </c>
      <c r="G46" s="527"/>
    </row>
    <row r="47" customHeight="1" spans="1:7">
      <c r="A47" s="528"/>
      <c r="B47" s="529"/>
      <c r="C47" s="530" t="s">
        <v>2068</v>
      </c>
      <c r="D47" s="531"/>
      <c r="E47" s="532">
        <v>1</v>
      </c>
      <c r="F47" s="527" t="s">
        <v>2069</v>
      </c>
      <c r="G47" s="527"/>
    </row>
    <row r="48" customHeight="1" spans="1:7">
      <c r="A48" s="528"/>
      <c r="B48" s="529"/>
      <c r="C48" s="530" t="s">
        <v>2070</v>
      </c>
      <c r="D48" s="531"/>
      <c r="E48" s="532">
        <v>1</v>
      </c>
      <c r="F48" s="527" t="s">
        <v>2071</v>
      </c>
      <c r="G48" s="527"/>
    </row>
    <row r="49" customHeight="1" spans="1:7">
      <c r="A49" s="528"/>
      <c r="B49" s="529"/>
      <c r="C49" s="530" t="s">
        <v>2072</v>
      </c>
      <c r="D49" s="531"/>
      <c r="E49" s="532">
        <v>1</v>
      </c>
      <c r="F49" s="527" t="s">
        <v>2073</v>
      </c>
      <c r="G49" s="527"/>
    </row>
    <row r="50" customHeight="1" spans="1:7">
      <c r="A50" s="528"/>
      <c r="B50" s="529"/>
      <c r="C50" s="530" t="s">
        <v>2074</v>
      </c>
      <c r="D50" s="531"/>
      <c r="E50" s="532">
        <v>1</v>
      </c>
      <c r="F50" s="527" t="s">
        <v>2075</v>
      </c>
      <c r="G50" s="527"/>
    </row>
    <row r="51" customHeight="1" spans="1:7">
      <c r="A51" s="533"/>
      <c r="B51" s="534"/>
      <c r="C51" s="535" t="s">
        <v>2076</v>
      </c>
      <c r="D51" s="536"/>
      <c r="E51" s="537">
        <v>1</v>
      </c>
      <c r="F51" s="527" t="s">
        <v>2077</v>
      </c>
      <c r="G51" s="527"/>
    </row>
    <row r="52" customHeight="1" spans="1:7">
      <c r="A52" s="549"/>
      <c r="B52" s="549"/>
      <c r="C52" s="549"/>
      <c r="D52" s="549"/>
      <c r="E52" s="549"/>
      <c r="F52" s="549"/>
      <c r="G52" s="549"/>
    </row>
    <row r="54" customHeight="1" spans="1:7">
      <c r="A54" s="550"/>
      <c r="B54" s="514" t="s">
        <v>2078</v>
      </c>
      <c r="C54" s="514" t="s">
        <v>2078</v>
      </c>
      <c r="D54" s="514" t="s">
        <v>2078</v>
      </c>
      <c r="E54" s="516" t="s">
        <v>2078</v>
      </c>
      <c r="F54" s="516" t="s">
        <v>2079</v>
      </c>
      <c r="G54" s="516" t="s">
        <v>2078</v>
      </c>
    </row>
    <row r="55" customHeight="1" spans="1:7">
      <c r="A55" s="551"/>
      <c r="B55" s="516" t="s">
        <v>2004</v>
      </c>
      <c r="C55" s="516" t="s">
        <v>2004</v>
      </c>
      <c r="D55" s="516" t="s">
        <v>2004</v>
      </c>
      <c r="E55" s="514" t="s">
        <v>552</v>
      </c>
      <c r="F55" s="514" t="s">
        <v>412</v>
      </c>
      <c r="G55" s="514" t="s">
        <v>1912</v>
      </c>
    </row>
    <row r="56" customHeight="1" spans="1:7">
      <c r="A56" s="552"/>
      <c r="B56" s="514">
        <v>1</v>
      </c>
      <c r="C56" s="514">
        <v>2</v>
      </c>
      <c r="D56" s="514">
        <v>3</v>
      </c>
      <c r="E56" s="553" t="s">
        <v>2080</v>
      </c>
      <c r="F56" s="553" t="s">
        <v>2080</v>
      </c>
      <c r="G56" s="553" t="s">
        <v>2080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2081</v>
      </c>
      <c r="E70" s="565"/>
      <c r="F70" s="565"/>
    </row>
    <row r="71" customHeight="1" spans="1:6">
      <c r="A71" s="548" t="s">
        <v>784</v>
      </c>
      <c r="B71" s="548" t="s">
        <v>2082</v>
      </c>
      <c r="C71" s="548" t="s">
        <v>2083</v>
      </c>
      <c r="D71" s="548" t="s">
        <v>2084</v>
      </c>
      <c r="E71" s="548" t="s">
        <v>2085</v>
      </c>
      <c r="F71" s="548" t="s">
        <v>2086</v>
      </c>
    </row>
    <row r="72" ht="13.5" spans="1:6">
      <c r="A72" s="548"/>
      <c r="B72" s="548"/>
      <c r="C72" s="548" t="s">
        <v>1443</v>
      </c>
      <c r="D72" s="548"/>
      <c r="E72" s="548" t="s">
        <v>124</v>
      </c>
      <c r="F72" s="548" t="s">
        <v>124</v>
      </c>
    </row>
    <row r="73" ht="13.5" spans="1:6">
      <c r="A73" s="548">
        <v>1</v>
      </c>
      <c r="B73" s="545" t="s">
        <v>2087</v>
      </c>
      <c r="C73" s="514" t="s">
        <v>2088</v>
      </c>
      <c r="D73" s="514" t="s">
        <v>2089</v>
      </c>
      <c r="E73" s="548">
        <v>0.2</v>
      </c>
      <c r="F73" s="548">
        <v>25</v>
      </c>
    </row>
    <row r="74" ht="24" spans="1:6">
      <c r="A74" s="548">
        <v>2</v>
      </c>
      <c r="B74" s="529"/>
      <c r="C74" s="514" t="s">
        <v>2090</v>
      </c>
      <c r="D74" s="514" t="s">
        <v>2091</v>
      </c>
      <c r="E74" s="548">
        <v>0.2</v>
      </c>
      <c r="F74" s="548">
        <v>25</v>
      </c>
    </row>
    <row r="75" ht="24" spans="1:6">
      <c r="A75" s="548">
        <v>3</v>
      </c>
      <c r="B75" s="529"/>
      <c r="C75" s="514" t="s">
        <v>2092</v>
      </c>
      <c r="D75" s="514" t="s">
        <v>2093</v>
      </c>
      <c r="E75" s="548">
        <v>0.2</v>
      </c>
      <c r="F75" s="548">
        <v>25</v>
      </c>
    </row>
    <row r="76" ht="13.5" spans="1:6">
      <c r="A76" s="548">
        <v>4</v>
      </c>
      <c r="B76" s="529"/>
      <c r="C76" s="514" t="s">
        <v>2094</v>
      </c>
      <c r="D76" s="514" t="s">
        <v>2095</v>
      </c>
      <c r="E76" s="548">
        <v>0.15</v>
      </c>
      <c r="F76" s="548">
        <v>20</v>
      </c>
    </row>
    <row r="77" ht="24" spans="1:6">
      <c r="A77" s="548">
        <v>5</v>
      </c>
      <c r="B77" s="529"/>
      <c r="C77" s="514" t="s">
        <v>2096</v>
      </c>
      <c r="D77" s="514" t="s">
        <v>2097</v>
      </c>
      <c r="E77" s="548">
        <v>0.15</v>
      </c>
      <c r="F77" s="548">
        <v>20</v>
      </c>
    </row>
    <row r="78" ht="24" spans="1:6">
      <c r="A78" s="548">
        <v>6</v>
      </c>
      <c r="B78" s="529"/>
      <c r="C78" s="514" t="s">
        <v>2098</v>
      </c>
      <c r="D78" s="514" t="s">
        <v>2099</v>
      </c>
      <c r="E78" s="548">
        <v>0.15</v>
      </c>
      <c r="F78" s="548">
        <v>20</v>
      </c>
    </row>
    <row r="79" ht="24" spans="1:6">
      <c r="A79" s="548">
        <v>7</v>
      </c>
      <c r="B79" s="529"/>
      <c r="C79" s="514" t="s">
        <v>2100</v>
      </c>
      <c r="D79" s="514" t="s">
        <v>2101</v>
      </c>
      <c r="E79" s="548">
        <v>0.15</v>
      </c>
      <c r="F79" s="548">
        <v>20</v>
      </c>
    </row>
    <row r="80" ht="24" spans="1:6">
      <c r="A80" s="548">
        <v>8</v>
      </c>
      <c r="B80" s="529"/>
      <c r="C80" s="514" t="s">
        <v>2102</v>
      </c>
      <c r="D80" s="514" t="s">
        <v>2103</v>
      </c>
      <c r="E80" s="548">
        <v>0.1</v>
      </c>
      <c r="F80" s="548">
        <v>15</v>
      </c>
    </row>
    <row r="81" ht="24" spans="1:6">
      <c r="A81" s="548">
        <v>9</v>
      </c>
      <c r="B81" s="529"/>
      <c r="C81" s="514" t="s">
        <v>2104</v>
      </c>
      <c r="D81" s="514" t="s">
        <v>2105</v>
      </c>
      <c r="E81" s="548">
        <v>0.1</v>
      </c>
      <c r="F81" s="548">
        <v>15</v>
      </c>
    </row>
    <row r="82" ht="24" spans="1:6">
      <c r="A82" s="548">
        <v>10</v>
      </c>
      <c r="B82" s="529"/>
      <c r="C82" s="514" t="s">
        <v>2106</v>
      </c>
      <c r="D82" s="514" t="s">
        <v>2107</v>
      </c>
      <c r="E82" s="548">
        <v>0.1</v>
      </c>
      <c r="F82" s="548">
        <v>15</v>
      </c>
    </row>
    <row r="83" ht="24" spans="1:6">
      <c r="A83" s="548">
        <v>11</v>
      </c>
      <c r="B83" s="529"/>
      <c r="C83" s="514" t="s">
        <v>2108</v>
      </c>
      <c r="D83" s="514" t="s">
        <v>2109</v>
      </c>
      <c r="E83" s="548">
        <v>0.1</v>
      </c>
      <c r="F83" s="548">
        <v>15</v>
      </c>
    </row>
    <row r="84" ht="24" spans="1:6">
      <c r="A84" s="548">
        <v>12</v>
      </c>
      <c r="B84" s="529"/>
      <c r="C84" s="514" t="s">
        <v>2110</v>
      </c>
      <c r="D84" s="514" t="s">
        <v>2111</v>
      </c>
      <c r="E84" s="548">
        <v>0.1</v>
      </c>
      <c r="F84" s="548">
        <v>15</v>
      </c>
    </row>
    <row r="85" ht="13.5" spans="1:6">
      <c r="A85" s="548">
        <v>13</v>
      </c>
      <c r="B85" s="529"/>
      <c r="C85" s="514" t="s">
        <v>2112</v>
      </c>
      <c r="D85" s="514" t="s">
        <v>2113</v>
      </c>
      <c r="E85" s="548">
        <v>0.1</v>
      </c>
      <c r="F85" s="548">
        <v>15</v>
      </c>
    </row>
    <row r="86" ht="13.5" spans="1:6">
      <c r="A86" s="548">
        <v>14</v>
      </c>
      <c r="B86" s="529"/>
      <c r="C86" s="514" t="s">
        <v>2114</v>
      </c>
      <c r="D86" s="514" t="s">
        <v>2115</v>
      </c>
      <c r="E86" s="548">
        <v>0.1</v>
      </c>
      <c r="F86" s="548">
        <v>15</v>
      </c>
    </row>
    <row r="87" ht="13.5" spans="1:6">
      <c r="A87" s="548">
        <v>15</v>
      </c>
      <c r="B87" s="529"/>
      <c r="C87" s="514" t="s">
        <v>2116</v>
      </c>
      <c r="D87" s="514" t="s">
        <v>2117</v>
      </c>
      <c r="E87" s="548">
        <v>0.1</v>
      </c>
      <c r="F87" s="548">
        <v>15</v>
      </c>
    </row>
    <row r="88" ht="24" spans="1:6">
      <c r="A88" s="548">
        <v>16</v>
      </c>
      <c r="B88" s="529"/>
      <c r="C88" s="514" t="s">
        <v>2118</v>
      </c>
      <c r="D88" s="514" t="s">
        <v>2119</v>
      </c>
      <c r="E88" s="548">
        <v>0.1</v>
      </c>
      <c r="F88" s="548">
        <v>15</v>
      </c>
    </row>
    <row r="89" ht="24" spans="1:6">
      <c r="A89" s="548">
        <v>17</v>
      </c>
      <c r="B89" s="547"/>
      <c r="C89" s="514" t="s">
        <v>2120</v>
      </c>
      <c r="D89" s="514" t="s">
        <v>2121</v>
      </c>
      <c r="E89" s="548">
        <v>0.1</v>
      </c>
      <c r="F89" s="548">
        <v>15</v>
      </c>
    </row>
    <row r="90" ht="13.5" spans="1:6">
      <c r="A90" s="548">
        <v>18</v>
      </c>
      <c r="B90" s="545" t="s">
        <v>2122</v>
      </c>
      <c r="C90" s="514" t="s">
        <v>2123</v>
      </c>
      <c r="D90" s="514" t="s">
        <v>2124</v>
      </c>
      <c r="E90" s="548">
        <v>0.2</v>
      </c>
      <c r="F90" s="548">
        <v>25</v>
      </c>
    </row>
    <row r="91" ht="24" spans="1:6">
      <c r="A91" s="548">
        <v>19</v>
      </c>
      <c r="B91" s="529"/>
      <c r="C91" s="514" t="s">
        <v>2125</v>
      </c>
      <c r="D91" s="514" t="s">
        <v>2126</v>
      </c>
      <c r="E91" s="548">
        <v>0.2</v>
      </c>
      <c r="F91" s="548">
        <v>25</v>
      </c>
    </row>
    <row r="92" ht="13.5" spans="1:6">
      <c r="A92" s="548">
        <v>20</v>
      </c>
      <c r="B92" s="529"/>
      <c r="C92" s="514" t="s">
        <v>2127</v>
      </c>
      <c r="D92" s="514" t="s">
        <v>2128</v>
      </c>
      <c r="E92" s="548">
        <v>0.15</v>
      </c>
      <c r="F92" s="548">
        <v>20</v>
      </c>
    </row>
    <row r="93" ht="13.5" spans="1:6">
      <c r="A93" s="548">
        <v>21</v>
      </c>
      <c r="B93" s="529"/>
      <c r="C93" s="514" t="s">
        <v>2129</v>
      </c>
      <c r="D93" s="514" t="s">
        <v>2130</v>
      </c>
      <c r="E93" s="548">
        <v>0.15</v>
      </c>
      <c r="F93" s="548">
        <v>20</v>
      </c>
    </row>
    <row r="94" ht="13.5" spans="1:6">
      <c r="A94" s="548">
        <v>22</v>
      </c>
      <c r="B94" s="529"/>
      <c r="C94" s="514" t="s">
        <v>2131</v>
      </c>
      <c r="D94" s="514" t="s">
        <v>2132</v>
      </c>
      <c r="E94" s="548">
        <v>0.15</v>
      </c>
      <c r="F94" s="548">
        <v>20</v>
      </c>
    </row>
    <row r="95" ht="36" spans="1:6">
      <c r="A95" s="548">
        <v>23</v>
      </c>
      <c r="B95" s="529"/>
      <c r="C95" s="514" t="s">
        <v>2133</v>
      </c>
      <c r="D95" s="514" t="s">
        <v>2134</v>
      </c>
      <c r="E95" s="548">
        <v>0.15</v>
      </c>
      <c r="F95" s="548">
        <v>20</v>
      </c>
    </row>
    <row r="96" ht="13.5" spans="1:6">
      <c r="A96" s="548">
        <v>24</v>
      </c>
      <c r="B96" s="529"/>
      <c r="C96" s="514" t="s">
        <v>2135</v>
      </c>
      <c r="D96" s="514" t="s">
        <v>2136</v>
      </c>
      <c r="E96" s="548">
        <v>0.1</v>
      </c>
      <c r="F96" s="548">
        <v>15</v>
      </c>
    </row>
    <row r="97" ht="13.5" spans="1:6">
      <c r="A97" s="548">
        <v>25</v>
      </c>
      <c r="B97" s="529"/>
      <c r="C97" s="514" t="s">
        <v>2137</v>
      </c>
      <c r="D97" s="514" t="s">
        <v>2138</v>
      </c>
      <c r="E97" s="548">
        <v>0.1</v>
      </c>
      <c r="F97" s="548">
        <v>15</v>
      </c>
    </row>
    <row r="98" ht="24" spans="1:6">
      <c r="A98" s="548">
        <v>26</v>
      </c>
      <c r="B98" s="529"/>
      <c r="C98" s="514" t="s">
        <v>2139</v>
      </c>
      <c r="D98" s="514" t="s">
        <v>2140</v>
      </c>
      <c r="E98" s="548">
        <v>0.1</v>
      </c>
      <c r="F98" s="548">
        <v>15</v>
      </c>
    </row>
    <row r="99" ht="24" spans="1:6">
      <c r="A99" s="548">
        <v>27</v>
      </c>
      <c r="B99" s="529"/>
      <c r="C99" s="514" t="s">
        <v>2141</v>
      </c>
      <c r="D99" s="514" t="s">
        <v>2142</v>
      </c>
      <c r="E99" s="548">
        <v>0.1</v>
      </c>
      <c r="F99" s="548">
        <v>15</v>
      </c>
    </row>
    <row r="100" ht="13.5" spans="1:6">
      <c r="A100" s="548">
        <v>28</v>
      </c>
      <c r="B100" s="529"/>
      <c r="C100" s="514" t="s">
        <v>2143</v>
      </c>
      <c r="D100" s="514" t="s">
        <v>2144</v>
      </c>
      <c r="E100" s="548">
        <v>0.1</v>
      </c>
      <c r="F100" s="548">
        <v>15</v>
      </c>
    </row>
    <row r="101" ht="13.5" spans="1:6">
      <c r="A101" s="548">
        <v>29</v>
      </c>
      <c r="B101" s="529"/>
      <c r="C101" s="514" t="s">
        <v>2145</v>
      </c>
      <c r="D101" s="514" t="s">
        <v>2146</v>
      </c>
      <c r="E101" s="548">
        <v>0.1</v>
      </c>
      <c r="F101" s="548">
        <v>15</v>
      </c>
    </row>
    <row r="102" ht="13.5" spans="1:6">
      <c r="A102" s="548">
        <v>30</v>
      </c>
      <c r="B102" s="529"/>
      <c r="C102" s="514" t="s">
        <v>2147</v>
      </c>
      <c r="D102" s="514" t="s">
        <v>2148</v>
      </c>
      <c r="E102" s="548">
        <v>0.1</v>
      </c>
      <c r="F102" s="548">
        <v>15</v>
      </c>
    </row>
    <row r="103" ht="24" spans="1:6">
      <c r="A103" s="548">
        <v>31</v>
      </c>
      <c r="B103" s="529"/>
      <c r="C103" s="514" t="s">
        <v>2149</v>
      </c>
      <c r="D103" s="514" t="s">
        <v>2150</v>
      </c>
      <c r="E103" s="548">
        <v>0.1</v>
      </c>
      <c r="F103" s="548">
        <v>15</v>
      </c>
    </row>
    <row r="104" ht="24" spans="1:6">
      <c r="A104" s="548">
        <v>32</v>
      </c>
      <c r="B104" s="529"/>
      <c r="C104" s="514" t="s">
        <v>2151</v>
      </c>
      <c r="D104" s="514" t="s">
        <v>2152</v>
      </c>
      <c r="E104" s="548">
        <v>0.1</v>
      </c>
      <c r="F104" s="548">
        <v>15</v>
      </c>
    </row>
    <row r="105" ht="24" spans="1:6">
      <c r="A105" s="548">
        <v>33</v>
      </c>
      <c r="B105" s="529"/>
      <c r="C105" s="514" t="s">
        <v>2153</v>
      </c>
      <c r="D105" s="514" t="s">
        <v>2154</v>
      </c>
      <c r="E105" s="548">
        <v>0.1</v>
      </c>
      <c r="F105" s="548">
        <v>15</v>
      </c>
    </row>
    <row r="106" ht="24" spans="1:6">
      <c r="A106" s="548">
        <v>34</v>
      </c>
      <c r="B106" s="547"/>
      <c r="C106" s="514" t="s">
        <v>2155</v>
      </c>
      <c r="D106" s="514" t="s">
        <v>2156</v>
      </c>
      <c r="E106" s="548">
        <v>0.1</v>
      </c>
      <c r="F106" s="548">
        <v>15</v>
      </c>
    </row>
    <row r="107" ht="24" spans="1:6">
      <c r="A107" s="548">
        <v>35</v>
      </c>
      <c r="B107" s="545" t="s">
        <v>2157</v>
      </c>
      <c r="C107" s="548" t="s">
        <v>2158</v>
      </c>
      <c r="D107" s="514" t="s">
        <v>2159</v>
      </c>
      <c r="E107" s="548">
        <v>0.15</v>
      </c>
      <c r="F107" s="548">
        <v>20</v>
      </c>
    </row>
    <row r="108" ht="13.5" spans="1:6">
      <c r="A108" s="548">
        <v>36</v>
      </c>
      <c r="B108" s="529"/>
      <c r="C108" s="548" t="s">
        <v>2160</v>
      </c>
      <c r="D108" s="514" t="s">
        <v>2161</v>
      </c>
      <c r="E108" s="548">
        <v>0.15</v>
      </c>
      <c r="F108" s="548">
        <v>20</v>
      </c>
    </row>
    <row r="109" ht="13.5" spans="1:6">
      <c r="A109" s="548">
        <v>37</v>
      </c>
      <c r="B109" s="529"/>
      <c r="C109" s="548" t="s">
        <v>2162</v>
      </c>
      <c r="D109" s="514" t="s">
        <v>2163</v>
      </c>
      <c r="E109" s="548">
        <v>0.15</v>
      </c>
      <c r="F109" s="548">
        <v>20</v>
      </c>
    </row>
    <row r="110" ht="13.5" spans="1:6">
      <c r="A110" s="548">
        <v>38</v>
      </c>
      <c r="B110" s="529"/>
      <c r="C110" s="548" t="s">
        <v>2164</v>
      </c>
      <c r="D110" s="514" t="s">
        <v>2165</v>
      </c>
      <c r="E110" s="548">
        <v>0.1</v>
      </c>
      <c r="F110" s="548">
        <v>15</v>
      </c>
    </row>
    <row r="111" ht="24" spans="1:6">
      <c r="A111" s="548">
        <v>39</v>
      </c>
      <c r="B111" s="529"/>
      <c r="C111" s="548" t="s">
        <v>2166</v>
      </c>
      <c r="D111" s="514" t="s">
        <v>2167</v>
      </c>
      <c r="E111" s="548">
        <v>0.1</v>
      </c>
      <c r="F111" s="548">
        <v>15</v>
      </c>
    </row>
    <row r="112" ht="24" spans="1:6">
      <c r="A112" s="548">
        <v>40</v>
      </c>
      <c r="B112" s="547"/>
      <c r="C112" s="548" t="s">
        <v>2168</v>
      </c>
      <c r="D112" s="514" t="s">
        <v>2169</v>
      </c>
      <c r="E112" s="548">
        <v>0.1</v>
      </c>
      <c r="F112" s="548">
        <v>15</v>
      </c>
    </row>
    <row r="113" ht="13.5" spans="1:6">
      <c r="A113" s="548">
        <v>41</v>
      </c>
      <c r="B113" s="548" t="s">
        <v>2170</v>
      </c>
      <c r="C113" s="548" t="s">
        <v>2171</v>
      </c>
      <c r="D113" s="514" t="s">
        <v>2172</v>
      </c>
      <c r="E113" s="548">
        <v>0.1</v>
      </c>
      <c r="F113" s="548">
        <v>15</v>
      </c>
    </row>
    <row r="114" ht="13.5" spans="1:6">
      <c r="A114" s="548">
        <v>42</v>
      </c>
      <c r="B114" s="548"/>
      <c r="C114" s="548" t="s">
        <v>2173</v>
      </c>
      <c r="D114" s="514" t="s">
        <v>2174</v>
      </c>
      <c r="E114" s="548">
        <v>0.1</v>
      </c>
      <c r="F114" s="548">
        <v>15</v>
      </c>
    </row>
    <row r="115" ht="24" spans="1:6">
      <c r="A115" s="548">
        <v>43</v>
      </c>
      <c r="B115" s="548"/>
      <c r="C115" s="548" t="s">
        <v>2175</v>
      </c>
      <c r="D115" s="514" t="s">
        <v>2176</v>
      </c>
      <c r="E115" s="548">
        <v>0.1</v>
      </c>
      <c r="F115" s="548">
        <v>15</v>
      </c>
    </row>
    <row r="116" ht="13.5" spans="1:6">
      <c r="A116" s="548">
        <v>44</v>
      </c>
      <c r="B116" s="545" t="s">
        <v>2177</v>
      </c>
      <c r="C116" s="548" t="s">
        <v>2178</v>
      </c>
      <c r="D116" s="514" t="s">
        <v>2179</v>
      </c>
      <c r="E116" s="548">
        <v>0.1</v>
      </c>
      <c r="F116" s="548">
        <v>15</v>
      </c>
    </row>
    <row r="117" ht="24" spans="1:6">
      <c r="A117" s="548">
        <v>45</v>
      </c>
      <c r="B117" s="547"/>
      <c r="C117" s="514" t="s">
        <v>2180</v>
      </c>
      <c r="D117" s="514" t="s">
        <v>2181</v>
      </c>
      <c r="E117" s="548">
        <v>0.1</v>
      </c>
      <c r="F117" s="548">
        <v>15</v>
      </c>
    </row>
    <row r="118" ht="24" spans="1:6">
      <c r="A118" s="548">
        <v>46</v>
      </c>
      <c r="B118" s="545" t="s">
        <v>2182</v>
      </c>
      <c r="C118" s="548" t="s">
        <v>2183</v>
      </c>
      <c r="D118" s="514" t="s">
        <v>2184</v>
      </c>
      <c r="E118" s="548">
        <v>0.1</v>
      </c>
      <c r="F118" s="548">
        <v>15</v>
      </c>
    </row>
    <row r="119" ht="24" spans="1:6">
      <c r="A119" s="548">
        <v>47</v>
      </c>
      <c r="B119" s="547"/>
      <c r="C119" s="548" t="s">
        <v>2185</v>
      </c>
      <c r="D119" s="514" t="s">
        <v>2186</v>
      </c>
      <c r="E119" s="548">
        <v>0.1</v>
      </c>
      <c r="F119" s="548">
        <v>15</v>
      </c>
    </row>
    <row r="120" ht="13.5" spans="1:6">
      <c r="A120" s="548">
        <v>48</v>
      </c>
      <c r="B120" s="545" t="s">
        <v>2187</v>
      </c>
      <c r="C120" s="548" t="s">
        <v>2188</v>
      </c>
      <c r="D120" s="514" t="s">
        <v>2189</v>
      </c>
      <c r="E120" s="548">
        <v>0.1</v>
      </c>
      <c r="F120" s="548">
        <v>15</v>
      </c>
    </row>
    <row r="121" ht="13.5" spans="1:6">
      <c r="A121" s="548">
        <v>49</v>
      </c>
      <c r="B121" s="547"/>
      <c r="C121" s="548" t="s">
        <v>2190</v>
      </c>
      <c r="D121" s="514" t="s">
        <v>2191</v>
      </c>
      <c r="E121" s="548">
        <v>0.1</v>
      </c>
      <c r="F121" s="548">
        <v>15</v>
      </c>
    </row>
    <row r="122" ht="24" spans="1:6">
      <c r="A122" s="548">
        <v>50</v>
      </c>
      <c r="B122" s="548" t="s">
        <v>2192</v>
      </c>
      <c r="C122" s="548" t="s">
        <v>2193</v>
      </c>
      <c r="D122" s="514" t="s">
        <v>2194</v>
      </c>
      <c r="E122" s="548">
        <v>0.1</v>
      </c>
      <c r="F122" s="548">
        <v>15</v>
      </c>
    </row>
    <row r="123" ht="24" spans="1:6">
      <c r="A123" s="548">
        <v>51</v>
      </c>
      <c r="B123" s="548"/>
      <c r="C123" s="548" t="s">
        <v>2195</v>
      </c>
      <c r="D123" s="514" t="s">
        <v>2196</v>
      </c>
      <c r="E123" s="548">
        <v>0.1</v>
      </c>
      <c r="F123" s="548">
        <v>15</v>
      </c>
    </row>
    <row r="124" ht="24" spans="1:6">
      <c r="A124" s="548">
        <v>52</v>
      </c>
      <c r="B124" s="548" t="s">
        <v>2197</v>
      </c>
      <c r="C124" s="548" t="s">
        <v>2198</v>
      </c>
      <c r="D124" s="514" t="s">
        <v>2199</v>
      </c>
      <c r="E124" s="548">
        <v>0.1</v>
      </c>
      <c r="F124" s="548">
        <v>15</v>
      </c>
    </row>
    <row r="125" ht="24" spans="1:6">
      <c r="A125" s="548">
        <v>53</v>
      </c>
      <c r="B125" s="548"/>
      <c r="C125" s="548" t="s">
        <v>2200</v>
      </c>
      <c r="D125" s="514" t="s">
        <v>2201</v>
      </c>
      <c r="E125" s="548">
        <v>0.1</v>
      </c>
      <c r="F125" s="548">
        <v>15</v>
      </c>
    </row>
    <row r="126" ht="13.5" spans="1:6">
      <c r="A126" s="548">
        <v>54</v>
      </c>
      <c r="B126" s="548" t="s">
        <v>2202</v>
      </c>
      <c r="C126" s="548" t="s">
        <v>2203</v>
      </c>
      <c r="D126" s="514" t="s">
        <v>2204</v>
      </c>
      <c r="E126" s="548">
        <v>0.1</v>
      </c>
      <c r="F126" s="548">
        <v>15</v>
      </c>
    </row>
    <row r="127" ht="13.5" spans="1:6">
      <c r="A127" s="548">
        <v>55</v>
      </c>
      <c r="B127" s="548" t="s">
        <v>2205</v>
      </c>
      <c r="C127" s="548" t="s">
        <v>2206</v>
      </c>
      <c r="D127" s="514" t="s">
        <v>2207</v>
      </c>
      <c r="E127" s="548">
        <v>0.1</v>
      </c>
      <c r="F127" s="548">
        <v>15</v>
      </c>
    </row>
    <row r="128" ht="13.5" spans="1:6">
      <c r="A128" s="548">
        <v>56</v>
      </c>
      <c r="B128" s="548"/>
      <c r="C128" s="548" t="s">
        <v>2208</v>
      </c>
      <c r="D128" s="514" t="s">
        <v>2209</v>
      </c>
      <c r="E128" s="548">
        <v>0.1</v>
      </c>
      <c r="F128" s="548">
        <v>15</v>
      </c>
    </row>
    <row r="129" ht="24" spans="1:6">
      <c r="A129" s="548">
        <v>57</v>
      </c>
      <c r="B129" s="548"/>
      <c r="C129" s="548" t="s">
        <v>2210</v>
      </c>
      <c r="D129" s="514" t="s">
        <v>2211</v>
      </c>
      <c r="E129" s="548">
        <v>0.1</v>
      </c>
      <c r="F129" s="548">
        <v>15</v>
      </c>
    </row>
    <row r="130" ht="24" spans="1:6">
      <c r="A130" s="548">
        <v>58</v>
      </c>
      <c r="B130" s="548" t="s">
        <v>2212</v>
      </c>
      <c r="C130" s="548" t="s">
        <v>2213</v>
      </c>
      <c r="D130" s="514" t="s">
        <v>2214</v>
      </c>
      <c r="E130" s="548">
        <v>0.1</v>
      </c>
      <c r="F130" s="548">
        <v>15</v>
      </c>
    </row>
    <row r="131" ht="13.5" spans="1:6">
      <c r="A131" s="548">
        <v>59</v>
      </c>
      <c r="B131" s="548"/>
      <c r="C131" s="548" t="s">
        <v>2215</v>
      </c>
      <c r="D131" s="514" t="s">
        <v>2216</v>
      </c>
      <c r="E131" s="548">
        <v>0.1</v>
      </c>
      <c r="F131" s="548">
        <v>15</v>
      </c>
    </row>
    <row r="132" ht="13.5" spans="1:6">
      <c r="A132" s="548">
        <v>60</v>
      </c>
      <c r="B132" s="545" t="s">
        <v>2217</v>
      </c>
      <c r="C132" s="548" t="s">
        <v>2218</v>
      </c>
      <c r="D132" s="514" t="s">
        <v>2219</v>
      </c>
      <c r="E132" s="548">
        <v>0.1</v>
      </c>
      <c r="F132" s="548">
        <v>15</v>
      </c>
    </row>
    <row r="133" ht="13.5" spans="1:6">
      <c r="A133" s="548">
        <v>61</v>
      </c>
      <c r="B133" s="547"/>
      <c r="C133" s="548" t="s">
        <v>2220</v>
      </c>
      <c r="D133" s="514" t="s">
        <v>2221</v>
      </c>
      <c r="E133" s="548">
        <v>0.1</v>
      </c>
      <c r="F133" s="548">
        <v>15</v>
      </c>
    </row>
    <row r="134" ht="24" spans="1:6">
      <c r="A134" s="548">
        <v>62</v>
      </c>
      <c r="B134" s="548" t="s">
        <v>2222</v>
      </c>
      <c r="C134" s="548" t="s">
        <v>2223</v>
      </c>
      <c r="D134" s="514" t="s">
        <v>2224</v>
      </c>
      <c r="E134" s="548">
        <v>0.1</v>
      </c>
      <c r="F134" s="548">
        <v>15</v>
      </c>
    </row>
    <row r="135" ht="13.5" spans="1:6">
      <c r="A135" s="548">
        <v>63</v>
      </c>
      <c r="B135" s="548" t="s">
        <v>2225</v>
      </c>
      <c r="C135" s="548" t="s">
        <v>2226</v>
      </c>
      <c r="D135" s="514" t="s">
        <v>2227</v>
      </c>
      <c r="E135" s="548">
        <v>0.1</v>
      </c>
      <c r="F135" s="548">
        <v>15</v>
      </c>
    </row>
    <row r="136" ht="13.5" spans="1:6">
      <c r="A136" s="548">
        <v>64</v>
      </c>
      <c r="B136" s="548"/>
      <c r="C136" s="548" t="s">
        <v>2228</v>
      </c>
      <c r="D136" s="514" t="s">
        <v>2229</v>
      </c>
      <c r="E136" s="548">
        <v>0.1</v>
      </c>
      <c r="F136" s="548">
        <v>15</v>
      </c>
    </row>
    <row r="137" ht="13.5" spans="1:6">
      <c r="A137" s="548">
        <v>65</v>
      </c>
      <c r="B137" s="548" t="s">
        <v>2230</v>
      </c>
      <c r="C137" s="548" t="s">
        <v>2231</v>
      </c>
      <c r="D137" s="514" t="s">
        <v>2232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2233</v>
      </c>
      <c r="B1" s="479"/>
      <c r="C1" s="479"/>
      <c r="D1" s="479"/>
      <c r="E1" s="479"/>
      <c r="F1" s="479"/>
      <c r="G1" s="479"/>
      <c r="H1" s="479"/>
      <c r="I1" s="479"/>
      <c r="J1" s="479"/>
      <c r="K1" s="479"/>
      <c r="L1" s="479"/>
      <c r="M1" s="479"/>
      <c r="N1" s="486"/>
    </row>
    <row r="2" spans="1:20">
      <c r="A2" s="480" t="s">
        <v>2234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2235</v>
      </c>
      <c r="R2" s="491" t="s">
        <v>2236</v>
      </c>
      <c r="S2" s="491" t="s">
        <v>2237</v>
      </c>
      <c r="T2" s="491" t="s">
        <v>2238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2239</v>
      </c>
      <c r="B93" s="479"/>
      <c r="C93" s="479"/>
      <c r="D93" s="479"/>
      <c r="E93" s="479"/>
      <c r="F93" s="479"/>
      <c r="G93" s="479"/>
      <c r="H93" s="479"/>
      <c r="I93" s="479"/>
      <c r="J93" s="479"/>
      <c r="K93" s="479"/>
      <c r="L93" s="479"/>
      <c r="M93" s="479"/>
    </row>
    <row r="94" spans="1:20">
      <c r="A94" s="480" t="s">
        <v>2234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1.231</v>
      </c>
      <c r="Q94" s="491" t="s">
        <v>2235</v>
      </c>
      <c r="R94" s="491" t="s">
        <v>2236</v>
      </c>
      <c r="S94" s="491" t="s">
        <v>2237</v>
      </c>
      <c r="T94" s="491" t="s">
        <v>2238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2240</v>
      </c>
      <c r="B185" s="479"/>
      <c r="C185" s="479"/>
      <c r="D185" s="479"/>
      <c r="E185" s="479"/>
      <c r="F185" s="479"/>
      <c r="G185" s="479"/>
      <c r="H185" s="479"/>
      <c r="I185" s="479"/>
      <c r="J185" s="479"/>
      <c r="K185" s="479"/>
      <c r="L185" s="479"/>
      <c r="M185" s="479"/>
    </row>
    <row r="186" spans="1:20">
      <c r="A186" s="480" t="s">
        <v>2234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2235</v>
      </c>
      <c r="R186" s="491" t="s">
        <v>2236</v>
      </c>
      <c r="S186" s="491" t="s">
        <v>2237</v>
      </c>
      <c r="T186" s="491" t="s">
        <v>2238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2241</v>
      </c>
      <c r="B277" s="479"/>
      <c r="C277" s="479"/>
      <c r="D277" s="479"/>
      <c r="E277" s="479"/>
      <c r="F277" s="479"/>
      <c r="G277" s="479"/>
      <c r="H277" s="479"/>
      <c r="I277" s="479"/>
      <c r="J277" s="479"/>
      <c r="K277" s="479"/>
      <c r="L277" s="479"/>
      <c r="M277" s="479"/>
    </row>
    <row r="278" spans="1:21">
      <c r="A278" s="480" t="s">
        <v>2234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2235</v>
      </c>
      <c r="R278" s="491" t="s">
        <v>2236</v>
      </c>
      <c r="S278" s="491" t="s">
        <v>2242</v>
      </c>
      <c r="T278" s="491" t="s">
        <v>2243</v>
      </c>
      <c r="U278" s="491" t="s">
        <v>2238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2244</v>
      </c>
      <c r="B369" s="495"/>
      <c r="C369" s="495"/>
      <c r="D369" s="495"/>
      <c r="E369" s="495"/>
      <c r="F369" s="495"/>
      <c r="G369" s="495"/>
      <c r="H369" s="495"/>
      <c r="I369" s="495"/>
      <c r="J369" s="495"/>
      <c r="K369" s="495"/>
      <c r="L369" s="495"/>
      <c r="M369" s="495"/>
    </row>
    <row r="370" spans="1:20">
      <c r="A370" s="480" t="s">
        <v>2234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1.1659</v>
      </c>
      <c r="Q370" s="491" t="s">
        <v>2235</v>
      </c>
      <c r="R370" s="491" t="s">
        <v>2236</v>
      </c>
      <c r="S370" s="491" t="s">
        <v>2237</v>
      </c>
      <c r="T370" s="491" t="s">
        <v>2238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2245</v>
      </c>
      <c r="B1" s="390"/>
      <c r="C1" s="391"/>
      <c r="D1" s="391"/>
      <c r="E1" s="391"/>
      <c r="F1" s="391"/>
      <c r="G1" s="392"/>
    </row>
    <row r="2" s="381" customFormat="1" ht="18" customHeight="1" spans="1:7">
      <c r="A2" s="393" t="s">
        <v>2246</v>
      </c>
      <c r="B2" s="394">
        <f ca="1">C52</f>
        <v>25941</v>
      </c>
      <c r="C2" s="395" t="s">
        <v>1644</v>
      </c>
      <c r="D2" s="392"/>
      <c r="E2" s="392"/>
      <c r="F2" s="392"/>
      <c r="G2" s="392"/>
    </row>
    <row r="3" s="381" customFormat="1" ht="18" customHeight="1" spans="1:7">
      <c r="A3" s="396" t="s">
        <v>2247</v>
      </c>
      <c r="B3" s="397">
        <f ca="1">ROUND(B2*10000/'数据-汇总表'!E3,0)</f>
        <v>372983</v>
      </c>
      <c r="C3" s="395" t="s">
        <v>1922</v>
      </c>
      <c r="D3" s="392"/>
      <c r="E3" s="392"/>
      <c r="F3" s="392"/>
      <c r="G3" s="392"/>
    </row>
    <row r="4" s="382" customFormat="1" ht="15.75" spans="1:7">
      <c r="A4" s="398" t="s">
        <v>2248</v>
      </c>
      <c r="B4" s="399"/>
      <c r="C4" s="399"/>
      <c r="D4" s="399"/>
      <c r="E4" s="399"/>
      <c r="F4" s="399"/>
      <c r="G4" s="400"/>
    </row>
    <row r="5" s="383" customFormat="1" ht="13.5" customHeight="1" spans="1:7">
      <c r="A5" s="401" t="s">
        <v>1074</v>
      </c>
      <c r="B5" s="402" t="s">
        <v>2249</v>
      </c>
      <c r="C5" s="403">
        <f>C6+C7+C8</f>
        <v>20610</v>
      </c>
      <c r="D5" s="403" t="s">
        <v>2250</v>
      </c>
      <c r="E5" s="404" t="s">
        <v>2251</v>
      </c>
      <c r="F5" s="404" t="s">
        <v>2252</v>
      </c>
      <c r="G5" s="405"/>
    </row>
    <row r="6" s="383" customFormat="1" ht="13.5" customHeight="1" spans="1:7">
      <c r="A6" s="406" t="s">
        <v>1078</v>
      </c>
      <c r="B6" s="407" t="s">
        <v>2253</v>
      </c>
      <c r="C6" s="408">
        <v>20000</v>
      </c>
      <c r="D6" s="409"/>
      <c r="E6" s="410"/>
      <c r="F6" s="410"/>
      <c r="G6" s="411"/>
    </row>
    <row r="7" s="383" customFormat="1" ht="13.5" customHeight="1" spans="1:7">
      <c r="A7" s="406" t="s">
        <v>1080</v>
      </c>
      <c r="B7" s="407" t="s">
        <v>2254</v>
      </c>
      <c r="C7" s="412">
        <f>ROUND(C6*F7,0)</f>
        <v>610</v>
      </c>
      <c r="D7" s="412"/>
      <c r="E7" s="410"/>
      <c r="F7" s="413">
        <f>'数据-取费表'!B48+'数据-取费表'!B49</f>
        <v>0.0305</v>
      </c>
      <c r="G7" s="411"/>
    </row>
    <row r="8" s="384" customFormat="1" spans="1:7">
      <c r="A8" s="406" t="s">
        <v>1082</v>
      </c>
      <c r="B8" s="407" t="s">
        <v>2255</v>
      </c>
      <c r="C8" s="412" t="str">
        <f>IF(G8="已包含在土地购买价格中","0",'数据-取费表'!B29)</f>
        <v>0</v>
      </c>
      <c r="D8" s="414"/>
      <c r="E8" s="412"/>
      <c r="F8" s="413"/>
      <c r="G8" s="415" t="s">
        <v>2256</v>
      </c>
    </row>
    <row r="9" s="383" customFormat="1" ht="13.5" customHeight="1" spans="1:7">
      <c r="A9" s="416" t="s">
        <v>1084</v>
      </c>
      <c r="B9" s="417" t="s">
        <v>2257</v>
      </c>
      <c r="C9" s="418">
        <f>ROUND(D9*E9/10000,0)</f>
        <v>0</v>
      </c>
      <c r="D9" s="419">
        <f>'数据-汇总表'!E5</f>
        <v>0</v>
      </c>
      <c r="E9" s="418">
        <f>'数据-取费表'!B27</f>
        <v>0</v>
      </c>
      <c r="F9" s="413"/>
      <c r="G9" s="420"/>
    </row>
    <row r="10" s="383" customFormat="1" ht="13.5" customHeight="1" spans="1:7">
      <c r="A10" s="416" t="s">
        <v>1087</v>
      </c>
      <c r="B10" s="417" t="s">
        <v>2258</v>
      </c>
      <c r="C10" s="418">
        <f>ROUND(D10*E10/10000,0)</f>
        <v>14</v>
      </c>
      <c r="D10" s="419">
        <f>'数据-汇总表'!E6</f>
        <v>695.5</v>
      </c>
      <c r="E10" s="418">
        <f>'数据-取费表'!B28</f>
        <v>200</v>
      </c>
      <c r="F10" s="413"/>
      <c r="G10" s="420"/>
    </row>
    <row r="11" s="383" customFormat="1" ht="13.5" hidden="1" customHeight="1" spans="1:7">
      <c r="A11" s="421" t="s">
        <v>1089</v>
      </c>
      <c r="B11" s="407" t="s">
        <v>2259</v>
      </c>
      <c r="C11" s="403"/>
      <c r="D11" s="422"/>
      <c r="E11" s="410"/>
      <c r="F11" s="410"/>
      <c r="G11" s="411"/>
    </row>
    <row r="12" s="383" customFormat="1" ht="13.5" hidden="1" customHeight="1" spans="1:7">
      <c r="A12" s="421" t="s">
        <v>1091</v>
      </c>
      <c r="B12" s="407" t="s">
        <v>2260</v>
      </c>
      <c r="C12" s="403">
        <v>0</v>
      </c>
      <c r="D12" s="422"/>
      <c r="E12" s="423"/>
      <c r="F12" s="413">
        <v>0.0305</v>
      </c>
      <c r="G12" s="411"/>
    </row>
    <row r="13" s="383" customFormat="1" ht="13.5" hidden="1" customHeight="1" spans="1:7">
      <c r="A13" s="421" t="s">
        <v>1092</v>
      </c>
      <c r="B13" s="407" t="s">
        <v>2261</v>
      </c>
      <c r="C13" s="403"/>
      <c r="D13" s="422"/>
      <c r="E13" s="410"/>
      <c r="F13" s="410"/>
      <c r="G13" s="411"/>
    </row>
    <row r="14" s="383" customFormat="1" ht="13.5" hidden="1" customHeight="1" spans="1:7">
      <c r="A14" s="421" t="s">
        <v>1094</v>
      </c>
      <c r="B14" s="407" t="s">
        <v>2255</v>
      </c>
      <c r="C14" s="403"/>
      <c r="D14" s="422"/>
      <c r="E14" s="410"/>
      <c r="F14" s="410"/>
      <c r="G14" s="411" t="s">
        <v>2262</v>
      </c>
    </row>
    <row r="15" s="383" customFormat="1" ht="13.5" hidden="1" customHeight="1" spans="1:7">
      <c r="A15" s="421" t="s">
        <v>1096</v>
      </c>
      <c r="B15" s="407" t="s">
        <v>2263</v>
      </c>
      <c r="C15" s="412"/>
      <c r="D15" s="422"/>
      <c r="E15" s="410"/>
      <c r="F15" s="410"/>
      <c r="G15" s="411" t="s">
        <v>2264</v>
      </c>
    </row>
    <row r="16" s="383" customFormat="1" ht="13.5" hidden="1" customHeight="1" spans="1:7">
      <c r="A16" s="421" t="s">
        <v>1099</v>
      </c>
      <c r="B16" s="407" t="s">
        <v>2255</v>
      </c>
      <c r="C16" s="412"/>
      <c r="D16" s="422"/>
      <c r="E16" s="410"/>
      <c r="F16" s="410"/>
      <c r="G16" s="411"/>
    </row>
    <row r="17" s="383" customFormat="1" ht="13.5" hidden="1" customHeight="1" spans="1:7">
      <c r="A17" s="421" t="s">
        <v>1100</v>
      </c>
      <c r="B17" s="407" t="s">
        <v>2265</v>
      </c>
      <c r="C17" s="424"/>
      <c r="D17" s="425"/>
      <c r="E17" s="424"/>
      <c r="F17" s="424"/>
      <c r="G17" s="411" t="s">
        <v>2264</v>
      </c>
    </row>
    <row r="18" s="383" customFormat="1" ht="13.5" hidden="1" customHeight="1" spans="1:7">
      <c r="A18" s="421" t="s">
        <v>1102</v>
      </c>
      <c r="B18" s="407" t="s">
        <v>2266</v>
      </c>
      <c r="C18" s="412">
        <v>0</v>
      </c>
      <c r="D18" s="422"/>
      <c r="E18" s="410"/>
      <c r="F18" s="413">
        <v>0.0305</v>
      </c>
      <c r="G18" s="411" t="s">
        <v>2267</v>
      </c>
    </row>
    <row r="19" s="384" customFormat="1" ht="13.5" customHeight="1" spans="1:7">
      <c r="A19" s="426" t="s">
        <v>1436</v>
      </c>
      <c r="B19" s="402" t="s">
        <v>2268</v>
      </c>
      <c r="C19" s="403">
        <f>IF(G19="已包含在土地取得成本中","0",ROUND(D19*E19/10000,0))</f>
        <v>14</v>
      </c>
      <c r="D19" s="427">
        <f>'数据-汇总表'!E3</f>
        <v>695.5</v>
      </c>
      <c r="E19" s="403">
        <f>'数据-取费表'!B31</f>
        <v>200</v>
      </c>
      <c r="F19" s="428"/>
      <c r="G19" s="415" t="s">
        <v>2269</v>
      </c>
    </row>
    <row r="20" s="383" customFormat="1" ht="13.5" customHeight="1" spans="1:7">
      <c r="A20" s="426" t="s">
        <v>1473</v>
      </c>
      <c r="B20" s="402" t="s">
        <v>2270</v>
      </c>
      <c r="C20" s="429">
        <f>ROUND((C5+C19)*F20,0)</f>
        <v>412</v>
      </c>
      <c r="D20" s="429"/>
      <c r="E20" s="429"/>
      <c r="F20" s="430">
        <f>'数据-取费表'!B37</f>
        <v>0.02</v>
      </c>
      <c r="G20" s="431" t="s">
        <v>2271</v>
      </c>
    </row>
    <row r="21" s="383" customFormat="1" ht="13.5" customHeight="1" spans="1:7">
      <c r="A21" s="426" t="s">
        <v>1478</v>
      </c>
      <c r="B21" s="402" t="s">
        <v>2272</v>
      </c>
      <c r="C21" s="432">
        <f>F21</f>
        <v>0.02</v>
      </c>
      <c r="D21" s="433" t="s">
        <v>2273</v>
      </c>
      <c r="E21" s="429"/>
      <c r="F21" s="430">
        <f>'数据-取费表'!B38</f>
        <v>0.02</v>
      </c>
      <c r="G21" s="434" t="s">
        <v>2274</v>
      </c>
    </row>
    <row r="22" s="383" customFormat="1" ht="13.5" customHeight="1" spans="1:7">
      <c r="A22" s="426" t="s">
        <v>1488</v>
      </c>
      <c r="B22" s="402" t="s">
        <v>2275</v>
      </c>
      <c r="C22" s="435">
        <f ca="1">ROUND(SUM(C23:C25),0)</f>
        <v>718</v>
      </c>
      <c r="D22" s="432">
        <f ca="1">C26</f>
        <v>0.0003</v>
      </c>
      <c r="E22" s="433" t="s">
        <v>2273</v>
      </c>
      <c r="F22" s="436">
        <f ca="1">'数据-取费表'!B40</f>
        <v>0.0345</v>
      </c>
      <c r="G22" s="431" t="str">
        <f>IF('数据-取费表'!B22&lt;=1,"单利计息","复利计息")</f>
        <v>单利计息</v>
      </c>
    </row>
    <row r="23" s="383" customFormat="1" ht="13.5" customHeight="1" spans="1:7">
      <c r="A23" s="437" t="s">
        <v>1078</v>
      </c>
      <c r="B23" s="407" t="s">
        <v>2276</v>
      </c>
      <c r="C23" s="438">
        <f ca="1">ROUND(IF('数据-取费表'!B22&lt;=1,C5*F22*'数据-取费表'!B23,C5*(POWER((1+F22),'数据-取费表'!B23)-1)),0)</f>
        <v>711</v>
      </c>
      <c r="D23" s="439"/>
      <c r="E23" s="439"/>
      <c r="F23" s="440"/>
      <c r="G23" s="441" t="s">
        <v>2277</v>
      </c>
    </row>
    <row r="24" s="383" customFormat="1" ht="13.5" customHeight="1" spans="1:7">
      <c r="A24" s="437" t="s">
        <v>1080</v>
      </c>
      <c r="B24" s="407" t="s">
        <v>2278</v>
      </c>
      <c r="C24" s="438">
        <f ca="1">ROUND(IF('数据-取费表'!B22&lt;=1,C19*F22*('数据-取费表'!B19/2+'数据-取费表'!B21),C19*(POWER((1+F22),('数据-取费表'!B19/2+'数据-取费表'!B21))-1)),0)</f>
        <v>0</v>
      </c>
      <c r="D24" s="439"/>
      <c r="E24" s="439"/>
      <c r="F24" s="440"/>
      <c r="G24" s="441" t="s">
        <v>2279</v>
      </c>
    </row>
    <row r="25" s="383" customFormat="1" ht="24" spans="1:7">
      <c r="A25" s="437" t="s">
        <v>1082</v>
      </c>
      <c r="B25" s="407" t="s">
        <v>2280</v>
      </c>
      <c r="C25" s="438">
        <f ca="1">ROUND(IF('数据-取费表'!B22&lt;=1,C20*F22*'数据-取费表'!B23/2,C20*(POWER((1+F22),'数据-取费表'!B23/2)-1)),0)</f>
        <v>7</v>
      </c>
      <c r="D25" s="439"/>
      <c r="E25" s="442"/>
      <c r="F25" s="440"/>
      <c r="G25" s="443" t="s">
        <v>2281</v>
      </c>
    </row>
    <row r="26" s="383" customFormat="1" spans="1:7">
      <c r="A26" s="437" t="s">
        <v>1122</v>
      </c>
      <c r="B26" s="407" t="s">
        <v>2282</v>
      </c>
      <c r="C26" s="439">
        <f ca="1">ROUND(IF('数据-取费表'!B22&lt;=1,F21*F22*'数据-取费表'!B23/2,F21*(POWER((1+F22),'数据-取费表'!B23/2)-1)),4)</f>
        <v>0.0003</v>
      </c>
      <c r="D26" s="439"/>
      <c r="E26" s="442"/>
      <c r="F26" s="440"/>
      <c r="G26" s="444"/>
    </row>
    <row r="27" s="383" customFormat="1" ht="24.75" spans="1:7">
      <c r="A27" s="426" t="s">
        <v>1497</v>
      </c>
      <c r="B27" s="445" t="s">
        <v>2283</v>
      </c>
      <c r="C27" s="446">
        <f>C28</f>
        <v>2104</v>
      </c>
      <c r="D27" s="432">
        <f>C29</f>
        <v>0.002</v>
      </c>
      <c r="E27" s="433" t="s">
        <v>2273</v>
      </c>
      <c r="F27" s="447">
        <f>'数据-取费表'!Q16</f>
        <v>0.1</v>
      </c>
      <c r="G27" s="448" t="s">
        <v>2284</v>
      </c>
    </row>
    <row r="28" s="383" customFormat="1" ht="13.5" customHeight="1" spans="1:7">
      <c r="A28" s="437" t="s">
        <v>1078</v>
      </c>
      <c r="B28" s="449" t="s">
        <v>2285</v>
      </c>
      <c r="C28" s="450">
        <f>ROUND((C5+C19+C20)*F27*'数据-取费表'!B21/'数据-取费表'!B20,0)</f>
        <v>2104</v>
      </c>
      <c r="D28" s="432"/>
      <c r="E28" s="433"/>
      <c r="F28" s="447"/>
      <c r="G28" s="448"/>
    </row>
    <row r="29" s="383" customFormat="1" ht="13.5" customHeight="1" spans="1:7">
      <c r="A29" s="437" t="s">
        <v>1080</v>
      </c>
      <c r="B29" s="449" t="s">
        <v>2286</v>
      </c>
      <c r="C29" s="439">
        <f>ROUND(C21*F27*'数据-取费表'!B21/'数据-取费表'!B20,4)</f>
        <v>0.002</v>
      </c>
      <c r="D29" s="432"/>
      <c r="E29" s="433"/>
      <c r="F29" s="447"/>
      <c r="G29" s="448"/>
    </row>
    <row r="30" s="383" customFormat="1" ht="13.5" customHeight="1" spans="1:7">
      <c r="A30" s="426" t="s">
        <v>2287</v>
      </c>
      <c r="B30" s="402" t="s">
        <v>2288</v>
      </c>
      <c r="C30" s="432">
        <f>F30</f>
        <v>0.056</v>
      </c>
      <c r="D30" s="433" t="s">
        <v>2289</v>
      </c>
      <c r="E30" s="442"/>
      <c r="F30" s="436">
        <f>'数据-取费表'!B41</f>
        <v>0.056</v>
      </c>
      <c r="G30" s="434" t="s">
        <v>2290</v>
      </c>
    </row>
    <row r="31" ht="16.5" customHeight="1" spans="1:7">
      <c r="A31" s="451">
        <v>1</v>
      </c>
      <c r="B31" s="402" t="s">
        <v>2291</v>
      </c>
      <c r="C31" s="403">
        <f ca="1">ROUND((C5+C19+C20+C22+C27)/(1-C21-D22-D27-C30/(1+'数据-取费表'!B42)),0)</f>
        <v>25810</v>
      </c>
      <c r="D31" s="452"/>
      <c r="E31" s="403"/>
      <c r="F31" s="453"/>
      <c r="G31" s="434" t="s">
        <v>2292</v>
      </c>
    </row>
    <row r="32" s="382" customFormat="1" ht="15.75" spans="1:7">
      <c r="A32" s="454" t="s">
        <v>2293</v>
      </c>
      <c r="B32" s="455"/>
      <c r="C32" s="455"/>
      <c r="D32" s="455"/>
      <c r="E32" s="455"/>
      <c r="F32" s="455"/>
      <c r="G32" s="456"/>
    </row>
    <row r="33" s="383" customFormat="1" ht="13.5" customHeight="1" spans="1:7">
      <c r="A33" s="401" t="s">
        <v>1074</v>
      </c>
      <c r="B33" s="402" t="s">
        <v>2294</v>
      </c>
      <c r="C33" s="457">
        <f>SUM(C34:C38)</f>
        <v>177</v>
      </c>
      <c r="D33" s="429"/>
      <c r="E33" s="404"/>
      <c r="F33" s="442"/>
      <c r="G33" s="434"/>
    </row>
    <row r="34" s="385" customFormat="1" ht="13.5" customHeight="1" spans="1:7">
      <c r="A34" s="437" t="s">
        <v>1078</v>
      </c>
      <c r="B34" s="407" t="s">
        <v>2295</v>
      </c>
      <c r="C34" s="412">
        <f>IF(F34=100%,'数据-取费表'!M16-SUMIF('数据-取费表'!C:C,"公共配套",'数据-取费表'!M:M),'数据-取费表'!O16-SUMIF('数据-取费表'!C:C,"公共配套",'数据-取费表'!O:O))</f>
        <v>156</v>
      </c>
      <c r="D34" s="409"/>
      <c r="E34" s="412"/>
      <c r="F34" s="458">
        <f>IF('数据-取费表'!B24=0,1,'数据-取费表'!N16)</f>
        <v>1</v>
      </c>
      <c r="G34" s="411" t="s">
        <v>2296</v>
      </c>
    </row>
    <row r="35" ht="13.5" customHeight="1" spans="1:7">
      <c r="A35" s="437" t="s">
        <v>1080</v>
      </c>
      <c r="B35" s="407" t="s">
        <v>2297</v>
      </c>
      <c r="C35" s="412">
        <f>ROUND(C34*F35,0)</f>
        <v>5</v>
      </c>
      <c r="D35" s="412"/>
      <c r="E35" s="412"/>
      <c r="F35" s="459">
        <f>'数据-取费表'!B33</f>
        <v>0.03</v>
      </c>
      <c r="G35" s="411" t="s">
        <v>2298</v>
      </c>
    </row>
    <row r="36" ht="24" spans="1:7">
      <c r="A36" s="437" t="s">
        <v>1082</v>
      </c>
      <c r="B36" s="407" t="s">
        <v>2299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2300</v>
      </c>
    </row>
    <row r="37" s="385" customFormat="1" ht="13.5" customHeight="1" spans="1:7">
      <c r="A37" s="437" t="s">
        <v>1122</v>
      </c>
      <c r="B37" s="407" t="s">
        <v>2301</v>
      </c>
      <c r="C37" s="450">
        <f>ROUND(E37*D37*F34/10000,0)</f>
        <v>14</v>
      </c>
      <c r="D37" s="409">
        <f>'数据-汇总表'!E3</f>
        <v>695.5</v>
      </c>
      <c r="E37" s="450">
        <f>'数据-取费表'!B35</f>
        <v>200</v>
      </c>
      <c r="F37" s="459"/>
      <c r="G37" s="461" t="s">
        <v>2302</v>
      </c>
    </row>
    <row r="38" ht="13.5" customHeight="1" spans="1:7">
      <c r="A38" s="437" t="s">
        <v>1144</v>
      </c>
      <c r="B38" s="407" t="s">
        <v>2260</v>
      </c>
      <c r="C38" s="412">
        <f>ROUND(C34*F38,0)</f>
        <v>2</v>
      </c>
      <c r="D38" s="412"/>
      <c r="E38" s="412"/>
      <c r="F38" s="459">
        <f>'数据-取费表'!B36</f>
        <v>0.015</v>
      </c>
      <c r="G38" s="411" t="s">
        <v>2298</v>
      </c>
    </row>
    <row r="39" s="383" customFormat="1" ht="13.5" customHeight="1" spans="1:7">
      <c r="A39" s="426" t="s">
        <v>1436</v>
      </c>
      <c r="B39" s="402" t="s">
        <v>2270</v>
      </c>
      <c r="C39" s="429">
        <f>ROUND(C33*F20,0)</f>
        <v>4</v>
      </c>
      <c r="D39" s="429"/>
      <c r="E39" s="429"/>
      <c r="F39" s="430"/>
      <c r="G39" s="431" t="s">
        <v>2303</v>
      </c>
    </row>
    <row r="40" s="383" customFormat="1" ht="13.5" customHeight="1" spans="1:7">
      <c r="A40" s="426" t="s">
        <v>1473</v>
      </c>
      <c r="B40" s="402" t="s">
        <v>2272</v>
      </c>
      <c r="C40" s="462">
        <f>F21</f>
        <v>0.02</v>
      </c>
      <c r="D40" s="433" t="s">
        <v>2304</v>
      </c>
      <c r="E40" s="429"/>
      <c r="F40" s="430"/>
      <c r="G40" s="434" t="s">
        <v>2305</v>
      </c>
    </row>
    <row r="41" s="383" customFormat="1" ht="13.5" customHeight="1" spans="1:7">
      <c r="A41" s="426" t="s">
        <v>1478</v>
      </c>
      <c r="B41" s="402" t="s">
        <v>2275</v>
      </c>
      <c r="C41" s="429">
        <f ca="1">ROUND(SUM(C42:C43),0)</f>
        <v>3</v>
      </c>
      <c r="D41" s="432">
        <f ca="1">C44</f>
        <v>0.0003</v>
      </c>
      <c r="E41" s="433" t="s">
        <v>2304</v>
      </c>
      <c r="F41" s="436"/>
      <c r="G41" s="431" t="str">
        <f>IF('数据-取费表'!B22&lt;=1,"单利计息","复利计息")</f>
        <v>单利计息</v>
      </c>
    </row>
    <row r="42" ht="13.5" customHeight="1" spans="1:7">
      <c r="A42" s="437" t="s">
        <v>1078</v>
      </c>
      <c r="B42" s="407" t="s">
        <v>2276</v>
      </c>
      <c r="C42" s="439">
        <f ca="1">ROUND(IF('数据-取费表'!B22&lt;=1,C33*F22*'数据-取费表'!B21/2,C33*(POWER((1+F22),'数据-取费表'!B21/2)-1)),0)</f>
        <v>3</v>
      </c>
      <c r="D42" s="439"/>
      <c r="E42" s="439"/>
      <c r="F42" s="440"/>
      <c r="G42" s="463" t="s">
        <v>2306</v>
      </c>
    </row>
    <row r="43" ht="13.5" customHeight="1" spans="1:7">
      <c r="A43" s="437" t="s">
        <v>1080</v>
      </c>
      <c r="B43" s="407" t="s">
        <v>2278</v>
      </c>
      <c r="C43" s="439">
        <f ca="1">ROUND(IF('数据-取费表'!B22&lt;=1,C39*F22*'数据-取费表'!B21/2,C39*(POWER((1+F22),'数据-取费表'!B21/2)-1)),0)</f>
        <v>0</v>
      </c>
      <c r="D43" s="439"/>
      <c r="E43" s="439"/>
      <c r="F43" s="440"/>
      <c r="G43" s="464"/>
    </row>
    <row r="44" ht="13.5" customHeight="1" spans="1:7">
      <c r="A44" s="437" t="s">
        <v>1082</v>
      </c>
      <c r="B44" s="407" t="s">
        <v>2280</v>
      </c>
      <c r="C44" s="439">
        <f ca="1">ROUND(IF('数据-取费表'!B22&lt;=1,C40*F22*'数据-取费表'!B21/2,C40*(POWER((1+F22),'数据-取费表'!B21/2)-1)),4)</f>
        <v>0.0003</v>
      </c>
      <c r="D44" s="439"/>
      <c r="E44" s="439"/>
      <c r="F44" s="440"/>
      <c r="G44" s="465"/>
    </row>
    <row r="45" s="383" customFormat="1" ht="13.5" customHeight="1" spans="1:7">
      <c r="A45" s="426" t="s">
        <v>1488</v>
      </c>
      <c r="B45" s="445" t="s">
        <v>2283</v>
      </c>
      <c r="C45" s="446">
        <f>C46</f>
        <v>18</v>
      </c>
      <c r="D45" s="432">
        <f>C47</f>
        <v>0.002</v>
      </c>
      <c r="E45" s="433" t="s">
        <v>2304</v>
      </c>
      <c r="F45" s="447"/>
      <c r="G45" s="448" t="s">
        <v>2307</v>
      </c>
    </row>
    <row r="46" s="383" customFormat="1" ht="13.5" customHeight="1" spans="1:7">
      <c r="A46" s="437" t="s">
        <v>1078</v>
      </c>
      <c r="B46" s="449" t="s">
        <v>2308</v>
      </c>
      <c r="C46" s="450">
        <f>ROUND((C33+C39)*F27,0)</f>
        <v>18</v>
      </c>
      <c r="D46" s="466"/>
      <c r="E46" s="433"/>
      <c r="F46" s="447"/>
      <c r="G46" s="448"/>
    </row>
    <row r="47" s="383" customFormat="1" ht="13.5" customHeight="1" spans="1:7">
      <c r="A47" s="437" t="s">
        <v>1080</v>
      </c>
      <c r="B47" s="449" t="s">
        <v>2309</v>
      </c>
      <c r="C47" s="439">
        <f>ROUND(C40*F27,4)</f>
        <v>0.002</v>
      </c>
      <c r="D47" s="466"/>
      <c r="E47" s="433"/>
      <c r="F47" s="447"/>
      <c r="G47" s="448"/>
    </row>
    <row r="48" s="383" customFormat="1" ht="13.5" customHeight="1" spans="1:7">
      <c r="A48" s="426" t="s">
        <v>1497</v>
      </c>
      <c r="B48" s="402" t="s">
        <v>2288</v>
      </c>
      <c r="C48" s="462">
        <f>F30</f>
        <v>0.056</v>
      </c>
      <c r="D48" s="433" t="s">
        <v>2310</v>
      </c>
      <c r="E48" s="429"/>
      <c r="F48" s="436"/>
      <c r="G48" s="434" t="s">
        <v>2311</v>
      </c>
    </row>
    <row r="49" ht="16.5" customHeight="1" spans="1:7">
      <c r="A49" s="426" t="s">
        <v>2287</v>
      </c>
      <c r="B49" s="402" t="s">
        <v>2312</v>
      </c>
      <c r="C49" s="429">
        <f ca="1">ROUND((C33+C39+C41+C45)/(1-C40-D41-D45-C48/(1+'数据-取费表'!B42)),0)</f>
        <v>219</v>
      </c>
      <c r="D49" s="429"/>
      <c r="E49" s="429"/>
      <c r="F49" s="467"/>
      <c r="G49" s="434" t="s">
        <v>2313</v>
      </c>
    </row>
    <row r="50" s="385" customFormat="1" ht="24" spans="1:7">
      <c r="A50" s="426" t="s">
        <v>2314</v>
      </c>
      <c r="B50" s="402" t="s">
        <v>2315</v>
      </c>
      <c r="C50" s="429"/>
      <c r="D50" s="429"/>
      <c r="E50" s="429"/>
      <c r="F50" s="467">
        <f>IF('数据-取费表'!B24=0,'数据-取费表'!N16,1)</f>
        <v>0.597</v>
      </c>
      <c r="G50" s="448" t="s">
        <v>2316</v>
      </c>
    </row>
    <row r="51" ht="16.5" customHeight="1" spans="1:7">
      <c r="A51" s="426" t="s">
        <v>2317</v>
      </c>
      <c r="B51" s="402" t="s">
        <v>2318</v>
      </c>
      <c r="C51" s="429">
        <f ca="1">ROUND(C49*F50,0)</f>
        <v>131</v>
      </c>
      <c r="D51" s="429"/>
      <c r="E51" s="429"/>
      <c r="F51" s="467"/>
      <c r="G51" s="434" t="s">
        <v>2319</v>
      </c>
    </row>
    <row r="52" s="382" customFormat="1" ht="16.5" spans="1:7">
      <c r="A52" s="468" t="s">
        <v>2320</v>
      </c>
      <c r="B52" s="469"/>
      <c r="C52" s="470">
        <f ca="1">C31+C51</f>
        <v>25941</v>
      </c>
      <c r="D52" s="469"/>
      <c r="E52" s="469"/>
      <c r="F52" s="469"/>
      <c r="G52" s="471"/>
    </row>
    <row r="55" ht="15" spans="2:3">
      <c r="B55" s="472" t="s">
        <v>2321</v>
      </c>
      <c r="C55" s="473"/>
    </row>
    <row r="56" spans="2:3">
      <c r="B56" s="474" t="s">
        <v>2322</v>
      </c>
      <c r="C56" s="475">
        <f ca="1">ROUND(C51/C52,3)</f>
        <v>0.005</v>
      </c>
    </row>
    <row r="57" spans="2:3">
      <c r="B57" s="474" t="s">
        <v>2323</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2325</v>
      </c>
      <c r="B2" s="351"/>
      <c r="C2" s="351"/>
      <c r="D2" s="351"/>
      <c r="E2" s="351"/>
      <c r="F2" s="351"/>
      <c r="G2" s="352" t="s">
        <v>2326</v>
      </c>
      <c r="I2" s="361" t="s">
        <v>2327</v>
      </c>
      <c r="J2" s="361" t="s">
        <v>2328</v>
      </c>
      <c r="K2" s="361" t="s">
        <v>2329</v>
      </c>
      <c r="L2" s="361" t="s">
        <v>2330</v>
      </c>
      <c r="M2" s="361" t="s">
        <v>2331</v>
      </c>
      <c r="N2" s="361" t="s">
        <v>2332</v>
      </c>
      <c r="O2" s="361" t="s">
        <v>2333</v>
      </c>
      <c r="P2" s="361" t="s">
        <v>2334</v>
      </c>
      <c r="Q2" s="361" t="s">
        <v>2335</v>
      </c>
      <c r="R2" s="361" t="s">
        <v>2336</v>
      </c>
      <c r="S2" s="361" t="s">
        <v>2337</v>
      </c>
      <c r="T2" s="361" t="s">
        <v>2338</v>
      </c>
    </row>
    <row r="3" s="346" customFormat="1" spans="1:20">
      <c r="A3" s="353" t="s">
        <v>2339</v>
      </c>
      <c r="B3" s="354"/>
      <c r="C3" s="355" t="s">
        <v>2004</v>
      </c>
      <c r="D3" s="355" t="s">
        <v>552</v>
      </c>
      <c r="E3" s="355" t="s">
        <v>416</v>
      </c>
      <c r="F3" s="355" t="s">
        <v>412</v>
      </c>
      <c r="G3" s="355" t="s">
        <v>280</v>
      </c>
      <c r="H3" s="356"/>
      <c r="I3" s="362" t="s">
        <v>2340</v>
      </c>
      <c r="J3" s="363" t="s">
        <v>2341</v>
      </c>
      <c r="K3" s="363" t="s">
        <v>2342</v>
      </c>
      <c r="L3" s="362" t="s">
        <v>2343</v>
      </c>
      <c r="M3" s="362" t="s">
        <v>2344</v>
      </c>
      <c r="N3" s="362" t="s">
        <v>2345</v>
      </c>
      <c r="O3" s="362" t="s">
        <v>2346</v>
      </c>
      <c r="P3" s="362" t="s">
        <v>2347</v>
      </c>
      <c r="Q3" s="362" t="s">
        <v>2348</v>
      </c>
      <c r="R3" s="362" t="s">
        <v>2349</v>
      </c>
      <c r="S3" s="362" t="s">
        <v>2350</v>
      </c>
      <c r="T3" s="362" t="s">
        <v>2351</v>
      </c>
    </row>
    <row r="4" s="346" customFormat="1" ht="12" spans="1:20">
      <c r="A4" s="357"/>
      <c r="B4" s="358" t="s">
        <v>2352</v>
      </c>
      <c r="C4" s="358" t="s">
        <v>2353</v>
      </c>
      <c r="D4" s="358" t="s">
        <v>2353</v>
      </c>
      <c r="E4" s="358" t="s">
        <v>2353</v>
      </c>
      <c r="F4" s="359" t="s">
        <v>2353</v>
      </c>
      <c r="G4" s="359" t="s">
        <v>2353</v>
      </c>
      <c r="H4" s="356"/>
      <c r="I4" s="363" t="s">
        <v>2354</v>
      </c>
      <c r="J4" s="363" t="s">
        <v>2355</v>
      </c>
      <c r="K4" s="363" t="s">
        <v>2356</v>
      </c>
      <c r="L4" s="362" t="s">
        <v>2357</v>
      </c>
      <c r="M4" s="362" t="s">
        <v>2358</v>
      </c>
      <c r="N4" s="362" t="s">
        <v>2359</v>
      </c>
      <c r="O4" s="362" t="s">
        <v>2360</v>
      </c>
      <c r="P4" s="362" t="s">
        <v>2361</v>
      </c>
      <c r="Q4" s="362" t="s">
        <v>2362</v>
      </c>
      <c r="R4" s="362" t="s">
        <v>2363</v>
      </c>
      <c r="S4" s="362" t="s">
        <v>2364</v>
      </c>
      <c r="T4" s="362" t="s">
        <v>2365</v>
      </c>
    </row>
    <row r="5" spans="1:20">
      <c r="A5" s="360" t="s">
        <v>230</v>
      </c>
      <c r="B5" s="361" t="s">
        <v>2327</v>
      </c>
      <c r="C5" s="361">
        <v>34550</v>
      </c>
      <c r="D5" s="361">
        <v>34470</v>
      </c>
      <c r="E5" s="361">
        <v>34330</v>
      </c>
      <c r="F5" s="361">
        <v>13400</v>
      </c>
      <c r="G5" s="361">
        <v>25450</v>
      </c>
      <c r="H5" s="356"/>
      <c r="I5" s="362" t="s">
        <v>2366</v>
      </c>
      <c r="J5" s="363" t="s">
        <v>2367</v>
      </c>
      <c r="K5" s="363" t="s">
        <v>2368</v>
      </c>
      <c r="L5" s="362" t="s">
        <v>2369</v>
      </c>
      <c r="M5" s="362" t="s">
        <v>2370</v>
      </c>
      <c r="N5" s="362" t="s">
        <v>2371</v>
      </c>
      <c r="O5" s="362" t="s">
        <v>2372</v>
      </c>
      <c r="P5" s="362" t="s">
        <v>2373</v>
      </c>
      <c r="Q5" s="362" t="s">
        <v>2374</v>
      </c>
      <c r="R5" s="362" t="s">
        <v>2375</v>
      </c>
      <c r="S5" s="362" t="s">
        <v>2376</v>
      </c>
      <c r="T5" s="362" t="s">
        <v>2377</v>
      </c>
    </row>
    <row r="6" ht="12" spans="1:20">
      <c r="A6" s="362" t="s">
        <v>230</v>
      </c>
      <c r="B6" s="362" t="s">
        <v>2340</v>
      </c>
      <c r="C6" s="362">
        <v>36990</v>
      </c>
      <c r="D6" s="362">
        <v>36850</v>
      </c>
      <c r="E6" s="362">
        <v>36700</v>
      </c>
      <c r="F6" s="362">
        <v>14590</v>
      </c>
      <c r="G6" s="362">
        <v>27450</v>
      </c>
      <c r="H6" s="356"/>
      <c r="I6" s="365" t="s">
        <v>2378</v>
      </c>
      <c r="J6" s="363" t="s">
        <v>2379</v>
      </c>
      <c r="K6" s="363" t="s">
        <v>2380</v>
      </c>
      <c r="L6" s="362" t="s">
        <v>2381</v>
      </c>
      <c r="M6" s="362" t="s">
        <v>2382</v>
      </c>
      <c r="N6" s="362" t="s">
        <v>2383</v>
      </c>
      <c r="O6" s="362" t="s">
        <v>2384</v>
      </c>
      <c r="P6" s="362" t="s">
        <v>2385</v>
      </c>
      <c r="Q6" s="362" t="s">
        <v>2386</v>
      </c>
      <c r="R6" s="362" t="s">
        <v>2387</v>
      </c>
      <c r="S6" s="362" t="s">
        <v>2388</v>
      </c>
      <c r="T6" s="362" t="s">
        <v>2389</v>
      </c>
    </row>
    <row r="7" spans="1:20">
      <c r="A7" s="362" t="s">
        <v>230</v>
      </c>
      <c r="B7" s="363" t="s">
        <v>2354</v>
      </c>
      <c r="C7" s="362">
        <v>34850</v>
      </c>
      <c r="D7" s="362">
        <v>34690</v>
      </c>
      <c r="E7" s="362">
        <v>34550</v>
      </c>
      <c r="F7" s="362">
        <v>14360</v>
      </c>
      <c r="G7" s="362">
        <v>25620</v>
      </c>
      <c r="H7" s="356"/>
      <c r="J7" s="363" t="s">
        <v>2390</v>
      </c>
      <c r="K7" s="363" t="s">
        <v>2391</v>
      </c>
      <c r="L7" s="362" t="s">
        <v>2392</v>
      </c>
      <c r="M7" s="362" t="s">
        <v>2393</v>
      </c>
      <c r="N7" s="362" t="s">
        <v>2394</v>
      </c>
      <c r="O7" s="362" t="s">
        <v>2395</v>
      </c>
      <c r="P7" s="362" t="s">
        <v>2396</v>
      </c>
      <c r="Q7" s="362" t="s">
        <v>2397</v>
      </c>
      <c r="R7" s="362" t="s">
        <v>2398</v>
      </c>
      <c r="S7" s="362" t="s">
        <v>2399</v>
      </c>
      <c r="T7" s="362" t="s">
        <v>2400</v>
      </c>
    </row>
    <row r="8" ht="12" spans="1:20">
      <c r="A8" s="362" t="s">
        <v>230</v>
      </c>
      <c r="B8" s="362" t="s">
        <v>2366</v>
      </c>
      <c r="C8" s="362">
        <v>32630</v>
      </c>
      <c r="D8" s="362">
        <v>32510</v>
      </c>
      <c r="E8" s="362">
        <v>32420</v>
      </c>
      <c r="F8" s="362">
        <v>13300</v>
      </c>
      <c r="G8" s="362">
        <v>24010</v>
      </c>
      <c r="H8" s="356"/>
      <c r="J8" s="363" t="s">
        <v>2401</v>
      </c>
      <c r="K8" s="363" t="s">
        <v>2402</v>
      </c>
      <c r="L8" s="362" t="s">
        <v>2403</v>
      </c>
      <c r="M8" s="362" t="s">
        <v>2404</v>
      </c>
      <c r="N8" s="362" t="s">
        <v>2405</v>
      </c>
      <c r="O8" s="362" t="s">
        <v>2406</v>
      </c>
      <c r="P8" s="362" t="s">
        <v>2407</v>
      </c>
      <c r="Q8" s="362" t="s">
        <v>2408</v>
      </c>
      <c r="R8" s="362" t="s">
        <v>2409</v>
      </c>
      <c r="S8" s="362" t="s">
        <v>2410</v>
      </c>
      <c r="T8" s="366" t="s">
        <v>2411</v>
      </c>
    </row>
    <row r="9" ht="12" spans="1:19">
      <c r="A9" s="364" t="s">
        <v>230</v>
      </c>
      <c r="B9" s="365" t="s">
        <v>2378</v>
      </c>
      <c r="C9" s="366">
        <v>36370</v>
      </c>
      <c r="D9" s="366">
        <v>36210</v>
      </c>
      <c r="E9" s="366">
        <v>36050</v>
      </c>
      <c r="F9" s="366"/>
      <c r="G9" s="366">
        <v>26740</v>
      </c>
      <c r="H9" s="356"/>
      <c r="J9" s="363" t="s">
        <v>2412</v>
      </c>
      <c r="K9" s="363" t="s">
        <v>2413</v>
      </c>
      <c r="L9" s="362" t="s">
        <v>2414</v>
      </c>
      <c r="M9" s="362" t="s">
        <v>2415</v>
      </c>
      <c r="N9" s="362" t="s">
        <v>2416</v>
      </c>
      <c r="O9" s="362" t="s">
        <v>2417</v>
      </c>
      <c r="P9" s="362" t="s">
        <v>2418</v>
      </c>
      <c r="Q9" s="362" t="s">
        <v>2419</v>
      </c>
      <c r="R9" s="362" t="s">
        <v>2420</v>
      </c>
      <c r="S9" s="362" t="s">
        <v>2421</v>
      </c>
    </row>
    <row r="10" spans="1:19">
      <c r="A10" s="360" t="s">
        <v>241</v>
      </c>
      <c r="B10" s="361" t="s">
        <v>2328</v>
      </c>
      <c r="C10" s="362">
        <v>32350</v>
      </c>
      <c r="D10" s="362">
        <v>31430</v>
      </c>
      <c r="E10" s="362">
        <v>31320</v>
      </c>
      <c r="F10" s="362">
        <v>10850</v>
      </c>
      <c r="G10" s="362">
        <v>22860</v>
      </c>
      <c r="H10" s="356"/>
      <c r="J10" s="363" t="s">
        <v>2422</v>
      </c>
      <c r="K10" s="363" t="s">
        <v>2423</v>
      </c>
      <c r="L10" s="362" t="s">
        <v>2424</v>
      </c>
      <c r="M10" s="362" t="s">
        <v>2425</v>
      </c>
      <c r="N10" s="362" t="s">
        <v>2426</v>
      </c>
      <c r="O10" s="362" t="s">
        <v>2427</v>
      </c>
      <c r="P10" s="362" t="s">
        <v>2428</v>
      </c>
      <c r="Q10" s="362" t="s">
        <v>2429</v>
      </c>
      <c r="R10" s="362" t="s">
        <v>2430</v>
      </c>
      <c r="S10" s="362" t="s">
        <v>2431</v>
      </c>
    </row>
    <row r="11" spans="1:19">
      <c r="A11" s="362" t="s">
        <v>241</v>
      </c>
      <c r="B11" s="363" t="s">
        <v>2341</v>
      </c>
      <c r="C11" s="362">
        <v>31590</v>
      </c>
      <c r="D11" s="362">
        <v>29490</v>
      </c>
      <c r="E11" s="362">
        <v>28700</v>
      </c>
      <c r="F11" s="362">
        <v>10410</v>
      </c>
      <c r="G11" s="362">
        <v>21460</v>
      </c>
      <c r="H11" s="356"/>
      <c r="J11" s="363" t="s">
        <v>2432</v>
      </c>
      <c r="K11" s="363" t="s">
        <v>2433</v>
      </c>
      <c r="L11" s="362" t="s">
        <v>2434</v>
      </c>
      <c r="M11" s="362" t="s">
        <v>2435</v>
      </c>
      <c r="N11" s="362" t="s">
        <v>2436</v>
      </c>
      <c r="O11" s="362" t="s">
        <v>2437</v>
      </c>
      <c r="P11" s="362" t="s">
        <v>2438</v>
      </c>
      <c r="Q11" s="362" t="s">
        <v>2439</v>
      </c>
      <c r="R11" s="362" t="s">
        <v>2440</v>
      </c>
      <c r="S11" s="362" t="s">
        <v>2441</v>
      </c>
    </row>
    <row r="12" spans="1:19">
      <c r="A12" s="362" t="s">
        <v>241</v>
      </c>
      <c r="B12" s="363" t="s">
        <v>2355</v>
      </c>
      <c r="C12" s="362">
        <v>29640</v>
      </c>
      <c r="D12" s="362">
        <v>27550</v>
      </c>
      <c r="E12" s="362">
        <v>28010</v>
      </c>
      <c r="F12" s="362">
        <v>8730</v>
      </c>
      <c r="G12" s="362">
        <v>20050</v>
      </c>
      <c r="H12" s="356"/>
      <c r="J12" s="363" t="s">
        <v>2442</v>
      </c>
      <c r="K12" s="363" t="s">
        <v>2443</v>
      </c>
      <c r="L12" s="362" t="s">
        <v>2444</v>
      </c>
      <c r="M12" s="362" t="s">
        <v>2445</v>
      </c>
      <c r="N12" s="362" t="s">
        <v>2446</v>
      </c>
      <c r="O12" s="362" t="s">
        <v>2447</v>
      </c>
      <c r="P12" s="362" t="s">
        <v>2448</v>
      </c>
      <c r="Q12" s="362" t="s">
        <v>2449</v>
      </c>
      <c r="R12" s="362" t="s">
        <v>2450</v>
      </c>
      <c r="S12" s="362" t="s">
        <v>2451</v>
      </c>
    </row>
    <row r="13" spans="1:19">
      <c r="A13" s="362" t="s">
        <v>241</v>
      </c>
      <c r="B13" s="363" t="s">
        <v>2367</v>
      </c>
      <c r="C13" s="362">
        <v>29680</v>
      </c>
      <c r="D13" s="362">
        <v>27660</v>
      </c>
      <c r="E13" s="362">
        <v>28210</v>
      </c>
      <c r="F13" s="362">
        <v>9590</v>
      </c>
      <c r="G13" s="362">
        <v>20120</v>
      </c>
      <c r="H13" s="356"/>
      <c r="J13" s="363" t="s">
        <v>503</v>
      </c>
      <c r="K13" s="363" t="s">
        <v>2452</v>
      </c>
      <c r="L13" s="362" t="s">
        <v>2453</v>
      </c>
      <c r="M13" s="362" t="s">
        <v>2454</v>
      </c>
      <c r="N13" s="362" t="s">
        <v>2455</v>
      </c>
      <c r="O13" s="362" t="s">
        <v>2456</v>
      </c>
      <c r="P13" s="362" t="s">
        <v>2457</v>
      </c>
      <c r="Q13" s="362" t="s">
        <v>2458</v>
      </c>
      <c r="R13" s="362" t="s">
        <v>2459</v>
      </c>
      <c r="S13" s="362" t="s">
        <v>2460</v>
      </c>
    </row>
    <row r="14" spans="1:19">
      <c r="A14" s="362" t="s">
        <v>241</v>
      </c>
      <c r="B14" s="363" t="s">
        <v>2379</v>
      </c>
      <c r="C14" s="362">
        <v>30520</v>
      </c>
      <c r="D14" s="362">
        <v>29510</v>
      </c>
      <c r="E14" s="362">
        <v>29400</v>
      </c>
      <c r="F14" s="362">
        <v>9630</v>
      </c>
      <c r="G14" s="362">
        <v>21480</v>
      </c>
      <c r="H14" s="356"/>
      <c r="J14" s="363" t="s">
        <v>2461</v>
      </c>
      <c r="K14" s="363" t="s">
        <v>2462</v>
      </c>
      <c r="L14" s="362" t="s">
        <v>2463</v>
      </c>
      <c r="M14" s="362" t="s">
        <v>2464</v>
      </c>
      <c r="N14" s="362" t="s">
        <v>2465</v>
      </c>
      <c r="O14" s="362" t="s">
        <v>2466</v>
      </c>
      <c r="P14" s="362" t="s">
        <v>2467</v>
      </c>
      <c r="Q14" s="362" t="s">
        <v>2468</v>
      </c>
      <c r="R14" s="362" t="s">
        <v>2469</v>
      </c>
      <c r="S14" s="362" t="s">
        <v>2470</v>
      </c>
    </row>
    <row r="15" spans="1:19">
      <c r="A15" s="362" t="s">
        <v>241</v>
      </c>
      <c r="B15" s="363" t="s">
        <v>2390</v>
      </c>
      <c r="C15" s="362">
        <v>29090</v>
      </c>
      <c r="D15" s="362">
        <v>27590</v>
      </c>
      <c r="E15" s="362">
        <v>28120</v>
      </c>
      <c r="F15" s="362">
        <v>9110</v>
      </c>
      <c r="G15" s="362">
        <v>20070</v>
      </c>
      <c r="H15" s="356"/>
      <c r="J15" s="363" t="s">
        <v>2471</v>
      </c>
      <c r="K15" s="363" t="s">
        <v>2472</v>
      </c>
      <c r="L15" s="362" t="s">
        <v>2473</v>
      </c>
      <c r="M15" s="362" t="s">
        <v>2474</v>
      </c>
      <c r="N15" s="362" t="s">
        <v>2475</v>
      </c>
      <c r="O15" s="362" t="s">
        <v>2476</v>
      </c>
      <c r="P15" s="362" t="s">
        <v>2477</v>
      </c>
      <c r="Q15" s="362" t="s">
        <v>2478</v>
      </c>
      <c r="R15" s="362" t="s">
        <v>2479</v>
      </c>
      <c r="S15" s="362" t="s">
        <v>2480</v>
      </c>
    </row>
    <row r="16" spans="1:19">
      <c r="A16" s="362" t="s">
        <v>241</v>
      </c>
      <c r="B16" s="363" t="s">
        <v>2401</v>
      </c>
      <c r="C16" s="362">
        <v>26790</v>
      </c>
      <c r="D16" s="362">
        <v>30370</v>
      </c>
      <c r="E16" s="362">
        <v>30240</v>
      </c>
      <c r="F16" s="362">
        <v>11590</v>
      </c>
      <c r="G16" s="362">
        <v>22090</v>
      </c>
      <c r="H16" s="356"/>
      <c r="J16" s="363" t="s">
        <v>2481</v>
      </c>
      <c r="K16" s="363" t="s">
        <v>2482</v>
      </c>
      <c r="L16" s="362" t="s">
        <v>2483</v>
      </c>
      <c r="M16" s="362" t="s">
        <v>2484</v>
      </c>
      <c r="N16" s="362" t="s">
        <v>2485</v>
      </c>
      <c r="O16" s="362" t="s">
        <v>2486</v>
      </c>
      <c r="P16" s="362" t="s">
        <v>2487</v>
      </c>
      <c r="Q16" s="362" t="s">
        <v>2488</v>
      </c>
      <c r="R16" s="362" t="s">
        <v>2489</v>
      </c>
      <c r="S16" s="362" t="s">
        <v>2490</v>
      </c>
    </row>
    <row r="17" ht="14.25" customHeight="1" spans="1:19">
      <c r="A17" s="362" t="s">
        <v>241</v>
      </c>
      <c r="B17" s="363" t="s">
        <v>2412</v>
      </c>
      <c r="C17" s="362">
        <v>29180</v>
      </c>
      <c r="D17" s="362">
        <v>27620</v>
      </c>
      <c r="E17" s="362">
        <v>28180</v>
      </c>
      <c r="F17" s="362">
        <v>10790</v>
      </c>
      <c r="G17" s="362">
        <v>20090</v>
      </c>
      <c r="H17" s="356"/>
      <c r="J17" s="363" t="s">
        <v>2491</v>
      </c>
      <c r="K17" s="363" t="s">
        <v>2492</v>
      </c>
      <c r="L17" s="362" t="s">
        <v>2493</v>
      </c>
      <c r="M17" s="362" t="s">
        <v>2494</v>
      </c>
      <c r="N17" s="362" t="s">
        <v>2495</v>
      </c>
      <c r="O17" s="362" t="s">
        <v>2496</v>
      </c>
      <c r="P17" s="362" t="s">
        <v>2497</v>
      </c>
      <c r="Q17" s="362" t="s">
        <v>2498</v>
      </c>
      <c r="R17" s="362" t="s">
        <v>2499</v>
      </c>
      <c r="S17" s="362" t="s">
        <v>2500</v>
      </c>
    </row>
    <row r="18" ht="14.25" customHeight="1" spans="1:19">
      <c r="A18" s="362" t="s">
        <v>241</v>
      </c>
      <c r="B18" s="363" t="s">
        <v>2422</v>
      </c>
      <c r="C18" s="362">
        <v>26840</v>
      </c>
      <c r="D18" s="362">
        <v>28930</v>
      </c>
      <c r="E18" s="362">
        <v>28820</v>
      </c>
      <c r="F18" s="362"/>
      <c r="G18" s="362">
        <v>21050</v>
      </c>
      <c r="H18" s="356"/>
      <c r="J18" s="363" t="s">
        <v>2501</v>
      </c>
      <c r="K18" s="363" t="s">
        <v>2502</v>
      </c>
      <c r="L18" s="362" t="s">
        <v>2503</v>
      </c>
      <c r="M18" s="362" t="s">
        <v>2504</v>
      </c>
      <c r="N18" s="362" t="s">
        <v>2505</v>
      </c>
      <c r="O18" s="362" t="s">
        <v>2506</v>
      </c>
      <c r="P18" s="362" t="s">
        <v>2507</v>
      </c>
      <c r="Q18" s="362" t="s">
        <v>2508</v>
      </c>
      <c r="R18" s="362" t="s">
        <v>2509</v>
      </c>
      <c r="S18" s="362" t="s">
        <v>2510</v>
      </c>
    </row>
    <row r="19" ht="14.25" customHeight="1" spans="1:19">
      <c r="A19" s="362" t="s">
        <v>241</v>
      </c>
      <c r="B19" s="363" t="s">
        <v>2432</v>
      </c>
      <c r="C19" s="362">
        <v>27750</v>
      </c>
      <c r="D19" s="362">
        <v>26680</v>
      </c>
      <c r="E19" s="362">
        <v>26590</v>
      </c>
      <c r="F19" s="362"/>
      <c r="G19" s="362">
        <v>19420</v>
      </c>
      <c r="H19" s="356"/>
      <c r="J19" s="363" t="s">
        <v>2511</v>
      </c>
      <c r="K19" s="363" t="s">
        <v>2512</v>
      </c>
      <c r="L19" s="362" t="s">
        <v>2513</v>
      </c>
      <c r="M19" s="362" t="s">
        <v>2514</v>
      </c>
      <c r="N19" s="362" t="s">
        <v>2515</v>
      </c>
      <c r="O19" s="362" t="s">
        <v>2516</v>
      </c>
      <c r="P19" s="362" t="s">
        <v>2517</v>
      </c>
      <c r="Q19" s="362" t="s">
        <v>2518</v>
      </c>
      <c r="R19" s="362" t="s">
        <v>2519</v>
      </c>
      <c r="S19" s="362" t="s">
        <v>2520</v>
      </c>
    </row>
    <row r="20" ht="14.25" customHeight="1" spans="1:19">
      <c r="A20" s="362" t="s">
        <v>241</v>
      </c>
      <c r="B20" s="363" t="s">
        <v>2442</v>
      </c>
      <c r="C20" s="362">
        <v>27050</v>
      </c>
      <c r="D20" s="362">
        <v>29010</v>
      </c>
      <c r="E20" s="362">
        <v>28910</v>
      </c>
      <c r="F20" s="362"/>
      <c r="G20" s="362">
        <v>21110</v>
      </c>
      <c r="J20" s="363" t="s">
        <v>2521</v>
      </c>
      <c r="K20" s="363" t="s">
        <v>2522</v>
      </c>
      <c r="L20" s="362" t="s">
        <v>2523</v>
      </c>
      <c r="M20" s="362" t="s">
        <v>2524</v>
      </c>
      <c r="N20" s="362" t="s">
        <v>2525</v>
      </c>
      <c r="O20" s="362" t="s">
        <v>2526</v>
      </c>
      <c r="P20" s="362" t="s">
        <v>2527</v>
      </c>
      <c r="Q20" s="362" t="s">
        <v>2528</v>
      </c>
      <c r="R20" s="362" t="s">
        <v>2529</v>
      </c>
      <c r="S20" s="362" t="s">
        <v>2530</v>
      </c>
    </row>
    <row r="21" ht="14.25" customHeight="1" spans="1:19">
      <c r="A21" s="362" t="s">
        <v>241</v>
      </c>
      <c r="B21" s="363" t="s">
        <v>503</v>
      </c>
      <c r="C21" s="362">
        <v>32370</v>
      </c>
      <c r="D21" s="362">
        <v>26730</v>
      </c>
      <c r="E21" s="362">
        <v>26640</v>
      </c>
      <c r="F21" s="362"/>
      <c r="G21" s="362">
        <v>19440</v>
      </c>
      <c r="J21" s="366" t="s">
        <v>2531</v>
      </c>
      <c r="K21" s="363" t="s">
        <v>2532</v>
      </c>
      <c r="L21" s="362" t="s">
        <v>2533</v>
      </c>
      <c r="M21" s="362" t="s">
        <v>2534</v>
      </c>
      <c r="N21" s="362" t="s">
        <v>2535</v>
      </c>
      <c r="O21" s="362" t="s">
        <v>2536</v>
      </c>
      <c r="P21" s="362" t="s">
        <v>2537</v>
      </c>
      <c r="Q21" s="362" t="s">
        <v>2538</v>
      </c>
      <c r="R21" s="362" t="s">
        <v>2539</v>
      </c>
      <c r="S21" s="366" t="s">
        <v>2540</v>
      </c>
    </row>
    <row r="22" ht="14.25" customHeight="1" spans="1:18">
      <c r="A22" s="362" t="s">
        <v>241</v>
      </c>
      <c r="B22" s="363" t="s">
        <v>2461</v>
      </c>
      <c r="C22" s="362">
        <v>29830</v>
      </c>
      <c r="D22" s="362">
        <v>27600</v>
      </c>
      <c r="E22" s="362">
        <v>28150</v>
      </c>
      <c r="F22" s="362"/>
      <c r="G22" s="362">
        <v>20080</v>
      </c>
      <c r="K22" s="363" t="s">
        <v>2541</v>
      </c>
      <c r="L22" s="362" t="s">
        <v>2542</v>
      </c>
      <c r="M22" s="362" t="s">
        <v>2543</v>
      </c>
      <c r="N22" s="362" t="s">
        <v>2544</v>
      </c>
      <c r="O22" s="362" t="s">
        <v>2545</v>
      </c>
      <c r="P22" s="362" t="s">
        <v>2546</v>
      </c>
      <c r="Q22" s="362" t="s">
        <v>2547</v>
      </c>
      <c r="R22" s="362" t="s">
        <v>2548</v>
      </c>
    </row>
    <row r="23" ht="14.25" customHeight="1" spans="1:18">
      <c r="A23" s="362" t="s">
        <v>241</v>
      </c>
      <c r="B23" s="363" t="s">
        <v>2471</v>
      </c>
      <c r="C23" s="362">
        <v>27800</v>
      </c>
      <c r="D23" s="362">
        <v>26900</v>
      </c>
      <c r="E23" s="362">
        <v>27170</v>
      </c>
      <c r="F23" s="362"/>
      <c r="G23" s="362">
        <v>19570</v>
      </c>
      <c r="K23" s="363" t="s">
        <v>2549</v>
      </c>
      <c r="L23" s="362" t="s">
        <v>2550</v>
      </c>
      <c r="M23" s="362" t="s">
        <v>2551</v>
      </c>
      <c r="N23" s="362" t="s">
        <v>2552</v>
      </c>
      <c r="O23" s="362" t="s">
        <v>2553</v>
      </c>
      <c r="P23" s="362" t="s">
        <v>2554</v>
      </c>
      <c r="Q23" s="362" t="s">
        <v>2555</v>
      </c>
      <c r="R23" s="362" t="s">
        <v>2556</v>
      </c>
    </row>
    <row r="24" ht="14.25" customHeight="1" spans="1:18">
      <c r="A24" s="362" t="s">
        <v>241</v>
      </c>
      <c r="B24" s="363" t="s">
        <v>2481</v>
      </c>
      <c r="C24" s="362">
        <v>27930</v>
      </c>
      <c r="D24" s="362">
        <v>32260</v>
      </c>
      <c r="E24" s="362">
        <v>32120</v>
      </c>
      <c r="F24" s="362"/>
      <c r="G24" s="362">
        <v>23470</v>
      </c>
      <c r="K24" s="363" t="s">
        <v>2557</v>
      </c>
      <c r="L24" s="362" t="s">
        <v>2558</v>
      </c>
      <c r="M24" s="362" t="s">
        <v>2559</v>
      </c>
      <c r="N24" s="362" t="s">
        <v>2560</v>
      </c>
      <c r="O24" s="362" t="s">
        <v>2561</v>
      </c>
      <c r="P24" s="362" t="s">
        <v>2562</v>
      </c>
      <c r="Q24" s="376" t="s">
        <v>2563</v>
      </c>
      <c r="R24" s="362" t="s">
        <v>2564</v>
      </c>
    </row>
    <row r="25" ht="14.25" customHeight="1" spans="1:18">
      <c r="A25" s="362" t="s">
        <v>241</v>
      </c>
      <c r="B25" s="363" t="s">
        <v>2491</v>
      </c>
      <c r="C25" s="362">
        <v>32230</v>
      </c>
      <c r="D25" s="362">
        <v>29640</v>
      </c>
      <c r="E25" s="362">
        <v>29510</v>
      </c>
      <c r="F25" s="362"/>
      <c r="G25" s="362">
        <v>21560</v>
      </c>
      <c r="K25" s="363" t="s">
        <v>2565</v>
      </c>
      <c r="L25" s="362" t="s">
        <v>2566</v>
      </c>
      <c r="M25" s="362" t="s">
        <v>2567</v>
      </c>
      <c r="N25" s="362" t="s">
        <v>2568</v>
      </c>
      <c r="O25" s="362" t="s">
        <v>2569</v>
      </c>
      <c r="P25" s="362" t="s">
        <v>2570</v>
      </c>
      <c r="Q25" s="376" t="s">
        <v>2571</v>
      </c>
      <c r="R25" s="362" t="s">
        <v>2572</v>
      </c>
    </row>
    <row r="26" ht="14.25" customHeight="1" spans="1:18">
      <c r="A26" s="362" t="s">
        <v>241</v>
      </c>
      <c r="B26" s="363" t="s">
        <v>2501</v>
      </c>
      <c r="C26" s="362">
        <v>31690</v>
      </c>
      <c r="D26" s="362">
        <v>27650</v>
      </c>
      <c r="E26" s="362">
        <v>28200</v>
      </c>
      <c r="F26" s="362"/>
      <c r="G26" s="362">
        <v>20110</v>
      </c>
      <c r="K26" s="365" t="s">
        <v>2573</v>
      </c>
      <c r="L26" s="362" t="s">
        <v>2574</v>
      </c>
      <c r="M26" s="362" t="s">
        <v>2575</v>
      </c>
      <c r="N26" s="362" t="s">
        <v>2576</v>
      </c>
      <c r="O26" s="362" t="s">
        <v>2577</v>
      </c>
      <c r="P26" s="362" t="s">
        <v>2578</v>
      </c>
      <c r="Q26" s="376" t="s">
        <v>2579</v>
      </c>
      <c r="R26" s="362" t="s">
        <v>2580</v>
      </c>
    </row>
    <row r="27" ht="14.25" customHeight="1" spans="1:18">
      <c r="A27" s="362" t="s">
        <v>241</v>
      </c>
      <c r="B27" s="363" t="s">
        <v>2511</v>
      </c>
      <c r="C27" s="362">
        <v>29610</v>
      </c>
      <c r="D27" s="362">
        <v>27770</v>
      </c>
      <c r="E27" s="362">
        <v>28300</v>
      </c>
      <c r="F27" s="362"/>
      <c r="G27" s="362">
        <v>20210</v>
      </c>
      <c r="L27" s="362" t="s">
        <v>2581</v>
      </c>
      <c r="M27" s="362" t="s">
        <v>2582</v>
      </c>
      <c r="N27" s="362" t="s">
        <v>2583</v>
      </c>
      <c r="O27" s="362" t="s">
        <v>2584</v>
      </c>
      <c r="P27" s="362" t="s">
        <v>2585</v>
      </c>
      <c r="Q27" s="362" t="s">
        <v>2586</v>
      </c>
      <c r="R27" s="362" t="s">
        <v>2587</v>
      </c>
    </row>
    <row r="28" ht="14.25" customHeight="1" spans="1:18">
      <c r="A28" s="362" t="s">
        <v>241</v>
      </c>
      <c r="B28" s="363" t="s">
        <v>2521</v>
      </c>
      <c r="C28" s="362"/>
      <c r="D28" s="362">
        <v>31520</v>
      </c>
      <c r="E28" s="362">
        <v>31410</v>
      </c>
      <c r="F28" s="362"/>
      <c r="G28" s="362">
        <v>22940</v>
      </c>
      <c r="L28" s="362" t="s">
        <v>2588</v>
      </c>
      <c r="M28" s="362" t="s">
        <v>2589</v>
      </c>
      <c r="N28" s="362" t="s">
        <v>2590</v>
      </c>
      <c r="O28" s="362" t="s">
        <v>2591</v>
      </c>
      <c r="P28" s="362" t="s">
        <v>2592</v>
      </c>
      <c r="Q28" s="362" t="s">
        <v>2593</v>
      </c>
      <c r="R28" s="362" t="s">
        <v>2594</v>
      </c>
    </row>
    <row r="29" ht="14.25" customHeight="1" spans="1:18">
      <c r="A29" s="364" t="s">
        <v>241</v>
      </c>
      <c r="B29" s="367" t="s">
        <v>2531</v>
      </c>
      <c r="C29" s="368"/>
      <c r="D29" s="368">
        <v>29460</v>
      </c>
      <c r="E29" s="368">
        <v>28640</v>
      </c>
      <c r="F29" s="368"/>
      <c r="G29" s="368">
        <v>21430</v>
      </c>
      <c r="L29" s="362" t="s">
        <v>2595</v>
      </c>
      <c r="M29" s="362" t="s">
        <v>2596</v>
      </c>
      <c r="N29" s="362" t="s">
        <v>2597</v>
      </c>
      <c r="O29" s="362" t="s">
        <v>2598</v>
      </c>
      <c r="P29" s="362" t="s">
        <v>2599</v>
      </c>
      <c r="Q29" s="362" t="s">
        <v>2600</v>
      </c>
      <c r="R29" s="362" t="s">
        <v>2601</v>
      </c>
    </row>
    <row r="30" ht="14.25" customHeight="1" spans="1:18">
      <c r="A30" s="360" t="s">
        <v>251</v>
      </c>
      <c r="B30" s="361" t="s">
        <v>2329</v>
      </c>
      <c r="C30" s="361">
        <v>26890</v>
      </c>
      <c r="D30" s="361">
        <v>26770</v>
      </c>
      <c r="E30" s="361">
        <v>25700</v>
      </c>
      <c r="F30" s="361">
        <v>8180</v>
      </c>
      <c r="G30" s="369">
        <v>18740</v>
      </c>
      <c r="L30" s="362" t="s">
        <v>2602</v>
      </c>
      <c r="M30" s="362" t="s">
        <v>2603</v>
      </c>
      <c r="N30" s="362" t="s">
        <v>2604</v>
      </c>
      <c r="O30" s="362" t="s">
        <v>2605</v>
      </c>
      <c r="P30" s="362" t="s">
        <v>2606</v>
      </c>
      <c r="Q30" s="362" t="s">
        <v>2607</v>
      </c>
      <c r="R30" s="362" t="s">
        <v>2608</v>
      </c>
    </row>
    <row r="31" ht="14.25" customHeight="1" spans="1:18">
      <c r="A31" s="362" t="s">
        <v>251</v>
      </c>
      <c r="B31" s="363" t="s">
        <v>2342</v>
      </c>
      <c r="C31" s="362">
        <v>24550</v>
      </c>
      <c r="D31" s="362">
        <v>23990</v>
      </c>
      <c r="E31" s="362">
        <v>22930</v>
      </c>
      <c r="F31" s="362">
        <v>7470</v>
      </c>
      <c r="G31" s="370">
        <v>16790</v>
      </c>
      <c r="L31" s="362" t="s">
        <v>2609</v>
      </c>
      <c r="M31" s="362" t="s">
        <v>2610</v>
      </c>
      <c r="N31" s="362" t="s">
        <v>2611</v>
      </c>
      <c r="O31" s="362" t="s">
        <v>2612</v>
      </c>
      <c r="P31" s="362" t="s">
        <v>2613</v>
      </c>
      <c r="Q31" s="362" t="s">
        <v>2614</v>
      </c>
      <c r="R31" s="362" t="s">
        <v>2615</v>
      </c>
    </row>
    <row r="32" ht="14.25" customHeight="1" spans="1:18">
      <c r="A32" s="362" t="s">
        <v>251</v>
      </c>
      <c r="B32" s="363" t="s">
        <v>2356</v>
      </c>
      <c r="C32" s="362">
        <v>27210</v>
      </c>
      <c r="D32" s="362">
        <v>23240</v>
      </c>
      <c r="E32" s="362">
        <v>23260</v>
      </c>
      <c r="F32" s="362">
        <v>7130</v>
      </c>
      <c r="G32" s="370">
        <v>16270</v>
      </c>
      <c r="L32" s="362" t="s">
        <v>2616</v>
      </c>
      <c r="M32" s="362" t="s">
        <v>2617</v>
      </c>
      <c r="N32" s="362" t="s">
        <v>2618</v>
      </c>
      <c r="O32" s="362" t="s">
        <v>2619</v>
      </c>
      <c r="P32" s="362" t="s">
        <v>2620</v>
      </c>
      <c r="Q32" s="362" t="s">
        <v>2621</v>
      </c>
      <c r="R32" s="366" t="s">
        <v>2622</v>
      </c>
    </row>
    <row r="33" ht="14.25" customHeight="1" spans="1:17">
      <c r="A33" s="362" t="s">
        <v>251</v>
      </c>
      <c r="B33" s="363" t="s">
        <v>2368</v>
      </c>
      <c r="C33" s="362">
        <v>27300</v>
      </c>
      <c r="D33" s="362">
        <v>22980</v>
      </c>
      <c r="E33" s="362">
        <v>24260</v>
      </c>
      <c r="F33" s="362">
        <v>5860</v>
      </c>
      <c r="G33" s="370">
        <v>16090</v>
      </c>
      <c r="L33" s="366" t="s">
        <v>2623</v>
      </c>
      <c r="M33" s="362" t="s">
        <v>2624</v>
      </c>
      <c r="N33" s="362" t="s">
        <v>2625</v>
      </c>
      <c r="O33" s="362" t="s">
        <v>2626</v>
      </c>
      <c r="P33" s="362" t="s">
        <v>2627</v>
      </c>
      <c r="Q33" s="362" t="s">
        <v>2628</v>
      </c>
    </row>
    <row r="34" ht="14.25" customHeight="1" spans="1:17">
      <c r="A34" s="362" t="s">
        <v>251</v>
      </c>
      <c r="B34" s="363" t="s">
        <v>2380</v>
      </c>
      <c r="C34" s="362">
        <v>23090</v>
      </c>
      <c r="D34" s="362">
        <v>23390</v>
      </c>
      <c r="E34" s="362">
        <v>23510</v>
      </c>
      <c r="F34" s="362">
        <v>6700</v>
      </c>
      <c r="G34" s="370">
        <v>16370</v>
      </c>
      <c r="M34" s="362" t="s">
        <v>2629</v>
      </c>
      <c r="N34" s="362" t="s">
        <v>2630</v>
      </c>
      <c r="O34" s="362" t="s">
        <v>2631</v>
      </c>
      <c r="P34" s="362" t="s">
        <v>2632</v>
      </c>
      <c r="Q34" s="362" t="s">
        <v>2633</v>
      </c>
    </row>
    <row r="35" ht="14.25" customHeight="1" spans="1:17">
      <c r="A35" s="362" t="s">
        <v>251</v>
      </c>
      <c r="B35" s="363" t="s">
        <v>2391</v>
      </c>
      <c r="C35" s="362">
        <v>27270</v>
      </c>
      <c r="D35" s="362">
        <v>24270</v>
      </c>
      <c r="E35" s="362">
        <v>24950</v>
      </c>
      <c r="F35" s="362">
        <v>6600</v>
      </c>
      <c r="G35" s="370">
        <v>16990</v>
      </c>
      <c r="M35" s="362" t="s">
        <v>2634</v>
      </c>
      <c r="N35" s="362" t="s">
        <v>2635</v>
      </c>
      <c r="O35" s="362" t="s">
        <v>2636</v>
      </c>
      <c r="P35" s="362" t="s">
        <v>2637</v>
      </c>
      <c r="Q35" s="362" t="s">
        <v>2638</v>
      </c>
    </row>
    <row r="36" ht="14.25" customHeight="1" spans="1:17">
      <c r="A36" s="362" t="s">
        <v>251</v>
      </c>
      <c r="B36" s="363" t="s">
        <v>2402</v>
      </c>
      <c r="C36" s="362">
        <v>23490</v>
      </c>
      <c r="D36" s="362">
        <v>23020</v>
      </c>
      <c r="E36" s="362">
        <v>25230</v>
      </c>
      <c r="F36" s="362">
        <v>6780</v>
      </c>
      <c r="G36" s="370">
        <v>16120</v>
      </c>
      <c r="M36" s="362" t="s">
        <v>2639</v>
      </c>
      <c r="N36" s="362" t="s">
        <v>2640</v>
      </c>
      <c r="O36" s="362" t="s">
        <v>2641</v>
      </c>
      <c r="P36" s="362" t="s">
        <v>2642</v>
      </c>
      <c r="Q36" s="362" t="s">
        <v>2643</v>
      </c>
    </row>
    <row r="37" ht="14.25" customHeight="1" spans="1:17">
      <c r="A37" s="362" t="s">
        <v>251</v>
      </c>
      <c r="B37" s="363" t="s">
        <v>2413</v>
      </c>
      <c r="C37" s="362">
        <v>24380</v>
      </c>
      <c r="D37" s="362">
        <v>22240</v>
      </c>
      <c r="E37" s="362">
        <v>25980</v>
      </c>
      <c r="F37" s="362">
        <v>8160</v>
      </c>
      <c r="G37" s="370">
        <v>15570</v>
      </c>
      <c r="M37" s="362" t="s">
        <v>2644</v>
      </c>
      <c r="N37" s="362" t="s">
        <v>2645</v>
      </c>
      <c r="O37" s="362" t="s">
        <v>2646</v>
      </c>
      <c r="P37" s="362" t="s">
        <v>2647</v>
      </c>
      <c r="Q37" s="362" t="s">
        <v>2648</v>
      </c>
    </row>
    <row r="38" ht="14.25" customHeight="1" spans="1:17">
      <c r="A38" s="362" t="s">
        <v>251</v>
      </c>
      <c r="B38" s="363" t="s">
        <v>2423</v>
      </c>
      <c r="C38" s="362">
        <v>23120</v>
      </c>
      <c r="D38" s="362">
        <v>24630</v>
      </c>
      <c r="E38" s="362">
        <v>25030</v>
      </c>
      <c r="F38" s="362">
        <v>7710</v>
      </c>
      <c r="G38" s="370">
        <v>17240</v>
      </c>
      <c r="M38" s="362" t="s">
        <v>2649</v>
      </c>
      <c r="N38" s="362" t="s">
        <v>2650</v>
      </c>
      <c r="O38" s="362" t="s">
        <v>2651</v>
      </c>
      <c r="P38" s="362" t="s">
        <v>2652</v>
      </c>
      <c r="Q38" s="362" t="s">
        <v>2653</v>
      </c>
    </row>
    <row r="39" ht="14.25" customHeight="1" spans="1:17">
      <c r="A39" s="362" t="s">
        <v>251</v>
      </c>
      <c r="B39" s="363" t="s">
        <v>2433</v>
      </c>
      <c r="C39" s="362">
        <v>22330</v>
      </c>
      <c r="D39" s="362">
        <v>21140</v>
      </c>
      <c r="E39" s="362">
        <v>23970</v>
      </c>
      <c r="F39" s="362">
        <v>7940</v>
      </c>
      <c r="G39" s="370">
        <v>14790</v>
      </c>
      <c r="M39" s="362" t="s">
        <v>2654</v>
      </c>
      <c r="N39" s="362" t="s">
        <v>2655</v>
      </c>
      <c r="O39" s="362" t="s">
        <v>2656</v>
      </c>
      <c r="P39" s="362" t="s">
        <v>2657</v>
      </c>
      <c r="Q39" s="362" t="s">
        <v>2658</v>
      </c>
    </row>
    <row r="40" ht="14.25" customHeight="1" spans="1:17">
      <c r="A40" s="362" t="s">
        <v>251</v>
      </c>
      <c r="B40" s="363" t="s">
        <v>2443</v>
      </c>
      <c r="C40" s="362">
        <v>24740</v>
      </c>
      <c r="D40" s="362">
        <v>24690</v>
      </c>
      <c r="E40" s="362">
        <v>22610</v>
      </c>
      <c r="F40" s="362"/>
      <c r="G40" s="370">
        <v>17280</v>
      </c>
      <c r="M40" s="362" t="s">
        <v>2659</v>
      </c>
      <c r="N40" s="362" t="s">
        <v>2660</v>
      </c>
      <c r="O40" s="362" t="s">
        <v>2661</v>
      </c>
      <c r="P40" s="362" t="s">
        <v>2662</v>
      </c>
      <c r="Q40" s="362" t="s">
        <v>2663</v>
      </c>
    </row>
    <row r="41" ht="14.25" customHeight="1" spans="1:17">
      <c r="A41" s="362" t="s">
        <v>251</v>
      </c>
      <c r="B41" s="363" t="s">
        <v>2452</v>
      </c>
      <c r="C41" s="362">
        <v>21220</v>
      </c>
      <c r="D41" s="362">
        <v>21120</v>
      </c>
      <c r="E41" s="362">
        <v>22590</v>
      </c>
      <c r="F41" s="362"/>
      <c r="G41" s="370">
        <v>14780</v>
      </c>
      <c r="M41" s="366" t="s">
        <v>2664</v>
      </c>
      <c r="N41" s="362" t="s">
        <v>2665</v>
      </c>
      <c r="O41" s="362" t="s">
        <v>2666</v>
      </c>
      <c r="P41" s="362" t="s">
        <v>2667</v>
      </c>
      <c r="Q41" s="362" t="s">
        <v>2668</v>
      </c>
    </row>
    <row r="42" ht="14.25" customHeight="1" spans="1:17">
      <c r="A42" s="362" t="s">
        <v>251</v>
      </c>
      <c r="B42" s="363" t="s">
        <v>2462</v>
      </c>
      <c r="C42" s="362">
        <v>24800</v>
      </c>
      <c r="D42" s="362">
        <v>22280</v>
      </c>
      <c r="E42" s="362">
        <v>24350</v>
      </c>
      <c r="F42" s="362"/>
      <c r="G42" s="370">
        <v>15590</v>
      </c>
      <c r="N42" s="362" t="s">
        <v>2669</v>
      </c>
      <c r="O42" s="362" t="s">
        <v>2670</v>
      </c>
      <c r="P42" s="362" t="s">
        <v>2671</v>
      </c>
      <c r="Q42" s="362" t="s">
        <v>2672</v>
      </c>
    </row>
    <row r="43" ht="14.25" customHeight="1" spans="1:17">
      <c r="A43" s="362" t="s">
        <v>251</v>
      </c>
      <c r="B43" s="363" t="s">
        <v>2472</v>
      </c>
      <c r="C43" s="362">
        <v>21210</v>
      </c>
      <c r="D43" s="362">
        <v>21160</v>
      </c>
      <c r="E43" s="362">
        <v>22650</v>
      </c>
      <c r="F43" s="362"/>
      <c r="G43" s="370">
        <v>14800</v>
      </c>
      <c r="N43" s="362" t="s">
        <v>2673</v>
      </c>
      <c r="O43" s="362" t="s">
        <v>2674</v>
      </c>
      <c r="P43" s="362" t="s">
        <v>2675</v>
      </c>
      <c r="Q43" s="362" t="s">
        <v>2676</v>
      </c>
    </row>
    <row r="44" ht="14.25" customHeight="1" spans="1:17">
      <c r="A44" s="362" t="s">
        <v>251</v>
      </c>
      <c r="B44" s="363" t="s">
        <v>2482</v>
      </c>
      <c r="C44" s="362">
        <v>22370</v>
      </c>
      <c r="D44" s="362">
        <v>23140</v>
      </c>
      <c r="E44" s="362">
        <v>25090</v>
      </c>
      <c r="F44" s="362"/>
      <c r="G44" s="370">
        <v>16190</v>
      </c>
      <c r="N44" s="362" t="s">
        <v>2677</v>
      </c>
      <c r="O44" s="362" t="s">
        <v>2678</v>
      </c>
      <c r="P44" s="366" t="s">
        <v>2679</v>
      </c>
      <c r="Q44" s="362" t="s">
        <v>2680</v>
      </c>
    </row>
    <row r="45" ht="14.25" customHeight="1" spans="1:17">
      <c r="A45" s="362" t="s">
        <v>251</v>
      </c>
      <c r="B45" s="363" t="s">
        <v>2492</v>
      </c>
      <c r="C45" s="362">
        <v>21240</v>
      </c>
      <c r="D45" s="362">
        <v>27050</v>
      </c>
      <c r="E45" s="362">
        <v>28000</v>
      </c>
      <c r="F45" s="362"/>
      <c r="G45" s="370">
        <v>18940</v>
      </c>
      <c r="N45" s="362" t="s">
        <v>2681</v>
      </c>
      <c r="O45" s="366" t="s">
        <v>2682</v>
      </c>
      <c r="Q45" s="362" t="s">
        <v>2683</v>
      </c>
    </row>
    <row r="46" ht="14.25" customHeight="1" spans="1:17">
      <c r="A46" s="362" t="s">
        <v>251</v>
      </c>
      <c r="B46" s="363" t="s">
        <v>2502</v>
      </c>
      <c r="C46" s="362">
        <v>23240</v>
      </c>
      <c r="D46" s="362">
        <v>23000</v>
      </c>
      <c r="E46" s="362">
        <v>24980</v>
      </c>
      <c r="F46" s="362"/>
      <c r="G46" s="370">
        <v>16100</v>
      </c>
      <c r="N46" s="362" t="s">
        <v>2684</v>
      </c>
      <c r="Q46" s="362" t="s">
        <v>2685</v>
      </c>
    </row>
    <row r="47" ht="14.25" customHeight="1" spans="1:17">
      <c r="A47" s="362" t="s">
        <v>251</v>
      </c>
      <c r="B47" s="363" t="s">
        <v>2512</v>
      </c>
      <c r="C47" s="362">
        <v>27150</v>
      </c>
      <c r="D47" s="362">
        <v>23310</v>
      </c>
      <c r="E47" s="362">
        <v>25150</v>
      </c>
      <c r="F47" s="362"/>
      <c r="G47" s="370">
        <v>16310</v>
      </c>
      <c r="N47" s="362" t="s">
        <v>2686</v>
      </c>
      <c r="Q47" s="362" t="s">
        <v>2687</v>
      </c>
    </row>
    <row r="48" ht="14.25" customHeight="1" spans="1:17">
      <c r="A48" s="362" t="s">
        <v>251</v>
      </c>
      <c r="B48" s="363" t="s">
        <v>2522</v>
      </c>
      <c r="C48" s="362">
        <v>23100</v>
      </c>
      <c r="D48" s="362">
        <v>21110</v>
      </c>
      <c r="E48" s="362">
        <v>23080</v>
      </c>
      <c r="F48" s="362"/>
      <c r="G48" s="370">
        <v>14780</v>
      </c>
      <c r="N48" s="362" t="s">
        <v>2688</v>
      </c>
      <c r="Q48" s="362" t="s">
        <v>2689</v>
      </c>
    </row>
    <row r="49" ht="14.25" customHeight="1" spans="1:17">
      <c r="A49" s="362" t="s">
        <v>251</v>
      </c>
      <c r="B49" s="363" t="s">
        <v>2532</v>
      </c>
      <c r="C49" s="362">
        <v>23400</v>
      </c>
      <c r="D49" s="362">
        <v>22920</v>
      </c>
      <c r="E49" s="362">
        <v>24900</v>
      </c>
      <c r="F49" s="362"/>
      <c r="G49" s="370">
        <v>16040</v>
      </c>
      <c r="N49" s="362" t="s">
        <v>2690</v>
      </c>
      <c r="Q49" s="362" t="s">
        <v>2691</v>
      </c>
    </row>
    <row r="50" ht="14.25" customHeight="1" spans="1:17">
      <c r="A50" s="362" t="s">
        <v>251</v>
      </c>
      <c r="B50" s="363" t="s">
        <v>2541</v>
      </c>
      <c r="C50" s="362">
        <v>21200</v>
      </c>
      <c r="D50" s="362">
        <v>26540</v>
      </c>
      <c r="E50" s="362">
        <v>23200</v>
      </c>
      <c r="F50" s="362"/>
      <c r="G50" s="370">
        <v>18580</v>
      </c>
      <c r="N50" s="362" t="s">
        <v>2692</v>
      </c>
      <c r="Q50" s="363" t="s">
        <v>2693</v>
      </c>
    </row>
    <row r="51" ht="14.25" customHeight="1" spans="1:17">
      <c r="A51" s="362" t="s">
        <v>251</v>
      </c>
      <c r="B51" s="363" t="s">
        <v>2549</v>
      </c>
      <c r="C51" s="362">
        <v>23000</v>
      </c>
      <c r="D51" s="362">
        <v>23460</v>
      </c>
      <c r="E51" s="362">
        <v>25290</v>
      </c>
      <c r="F51" s="362"/>
      <c r="G51" s="370">
        <v>16420</v>
      </c>
      <c r="N51" s="362" t="s">
        <v>2694</v>
      </c>
      <c r="Q51" s="366" t="s">
        <v>2695</v>
      </c>
    </row>
    <row r="52" ht="14.25" customHeight="1" spans="1:14">
      <c r="A52" s="362" t="s">
        <v>251</v>
      </c>
      <c r="B52" s="363" t="s">
        <v>2557</v>
      </c>
      <c r="C52" s="362">
        <v>26660</v>
      </c>
      <c r="D52" s="362">
        <v>22350</v>
      </c>
      <c r="E52" s="362">
        <v>22920</v>
      </c>
      <c r="F52" s="362"/>
      <c r="G52" s="370">
        <v>15640</v>
      </c>
      <c r="N52" s="362" t="s">
        <v>2696</v>
      </c>
    </row>
    <row r="53" ht="14.25" customHeight="1" spans="1:14">
      <c r="A53" s="362" t="s">
        <v>251</v>
      </c>
      <c r="B53" s="363" t="s">
        <v>2565</v>
      </c>
      <c r="C53" s="362">
        <v>23580</v>
      </c>
      <c r="D53" s="362"/>
      <c r="E53" s="362">
        <v>24280</v>
      </c>
      <c r="F53" s="362"/>
      <c r="G53" s="370"/>
      <c r="N53" s="362" t="s">
        <v>2697</v>
      </c>
    </row>
    <row r="54" ht="14.25" customHeight="1" spans="1:14">
      <c r="A54" s="371" t="s">
        <v>251</v>
      </c>
      <c r="B54" s="365" t="s">
        <v>2573</v>
      </c>
      <c r="C54" s="366">
        <v>22460</v>
      </c>
      <c r="D54" s="366"/>
      <c r="E54" s="366"/>
      <c r="F54" s="366"/>
      <c r="G54" s="372"/>
      <c r="N54" s="362" t="s">
        <v>2698</v>
      </c>
    </row>
    <row r="55" ht="14.25" customHeight="1" spans="1:14">
      <c r="A55" s="360" t="s">
        <v>259</v>
      </c>
      <c r="B55" s="361" t="s">
        <v>2330</v>
      </c>
      <c r="C55" s="362">
        <v>21970</v>
      </c>
      <c r="D55" s="362">
        <v>20370</v>
      </c>
      <c r="E55" s="362">
        <v>20180</v>
      </c>
      <c r="F55" s="362">
        <v>5730</v>
      </c>
      <c r="G55" s="362">
        <v>13820</v>
      </c>
      <c r="N55" s="362" t="s">
        <v>2699</v>
      </c>
    </row>
    <row r="56" ht="14.25" customHeight="1" spans="1:14">
      <c r="A56" s="362" t="s">
        <v>259</v>
      </c>
      <c r="B56" s="362" t="s">
        <v>2343</v>
      </c>
      <c r="C56" s="362">
        <v>20470</v>
      </c>
      <c r="D56" s="362">
        <v>20700</v>
      </c>
      <c r="E56" s="362">
        <v>20380</v>
      </c>
      <c r="F56" s="362">
        <v>4760</v>
      </c>
      <c r="G56" s="362">
        <v>14050</v>
      </c>
      <c r="N56" s="362" t="s">
        <v>2700</v>
      </c>
    </row>
    <row r="57" ht="14.25" customHeight="1" spans="1:14">
      <c r="A57" s="362" t="s">
        <v>259</v>
      </c>
      <c r="B57" s="362" t="s">
        <v>2357</v>
      </c>
      <c r="C57" s="362">
        <v>20790</v>
      </c>
      <c r="D57" s="362">
        <v>21370</v>
      </c>
      <c r="E57" s="362">
        <v>20890</v>
      </c>
      <c r="F57" s="362">
        <v>4910</v>
      </c>
      <c r="G57" s="362">
        <v>14510</v>
      </c>
      <c r="N57" s="362" t="s">
        <v>2701</v>
      </c>
    </row>
    <row r="58" ht="14.25" customHeight="1" spans="1:14">
      <c r="A58" s="362" t="s">
        <v>259</v>
      </c>
      <c r="B58" s="362" t="s">
        <v>2369</v>
      </c>
      <c r="C58" s="362">
        <v>21460</v>
      </c>
      <c r="D58" s="362">
        <v>20920</v>
      </c>
      <c r="E58" s="362">
        <v>23410</v>
      </c>
      <c r="F58" s="362">
        <v>5100</v>
      </c>
      <c r="G58" s="362">
        <v>14200</v>
      </c>
      <c r="N58" s="362" t="s">
        <v>2702</v>
      </c>
    </row>
    <row r="59" ht="14.25" customHeight="1" spans="1:14">
      <c r="A59" s="362" t="s">
        <v>259</v>
      </c>
      <c r="B59" s="362" t="s">
        <v>2381</v>
      </c>
      <c r="C59" s="362">
        <v>21000</v>
      </c>
      <c r="D59" s="362">
        <v>21550</v>
      </c>
      <c r="E59" s="362">
        <v>21150</v>
      </c>
      <c r="F59" s="362">
        <v>5250</v>
      </c>
      <c r="G59" s="362">
        <v>14630</v>
      </c>
      <c r="N59" s="362" t="s">
        <v>2703</v>
      </c>
    </row>
    <row r="60" ht="14.25" customHeight="1" spans="1:14">
      <c r="A60" s="362" t="s">
        <v>259</v>
      </c>
      <c r="B60" s="362" t="s">
        <v>2392</v>
      </c>
      <c r="C60" s="362">
        <v>21640</v>
      </c>
      <c r="D60" s="362">
        <v>21260</v>
      </c>
      <c r="E60" s="362">
        <v>24040</v>
      </c>
      <c r="F60" s="362">
        <v>4470</v>
      </c>
      <c r="G60" s="362">
        <v>14430</v>
      </c>
      <c r="N60" s="362" t="s">
        <v>2704</v>
      </c>
    </row>
    <row r="61" ht="14.25" customHeight="1" spans="1:14">
      <c r="A61" s="362" t="s">
        <v>259</v>
      </c>
      <c r="B61" s="362" t="s">
        <v>2403</v>
      </c>
      <c r="C61" s="362">
        <v>21330</v>
      </c>
      <c r="D61" s="362">
        <v>18640</v>
      </c>
      <c r="E61" s="362">
        <v>21190</v>
      </c>
      <c r="F61" s="362">
        <v>4180</v>
      </c>
      <c r="G61" s="362">
        <v>12650</v>
      </c>
      <c r="N61" s="362" t="s">
        <v>2705</v>
      </c>
    </row>
    <row r="62" ht="14.25" customHeight="1" spans="1:14">
      <c r="A62" s="362" t="s">
        <v>259</v>
      </c>
      <c r="B62" s="362" t="s">
        <v>2414</v>
      </c>
      <c r="C62" s="362">
        <v>18710</v>
      </c>
      <c r="D62" s="362">
        <v>19400</v>
      </c>
      <c r="E62" s="362">
        <v>23750</v>
      </c>
      <c r="F62" s="362">
        <v>4860</v>
      </c>
      <c r="G62" s="362">
        <v>13170</v>
      </c>
      <c r="N62" s="362" t="s">
        <v>2706</v>
      </c>
    </row>
    <row r="63" ht="14.25" customHeight="1" spans="1:14">
      <c r="A63" s="362" t="s">
        <v>259</v>
      </c>
      <c r="B63" s="362" t="s">
        <v>2424</v>
      </c>
      <c r="C63" s="362">
        <v>19480</v>
      </c>
      <c r="D63" s="362">
        <v>16830</v>
      </c>
      <c r="E63" s="362">
        <v>21590</v>
      </c>
      <c r="F63" s="362">
        <v>4560</v>
      </c>
      <c r="G63" s="362">
        <v>11420</v>
      </c>
      <c r="N63" s="362" t="s">
        <v>2707</v>
      </c>
    </row>
    <row r="64" ht="14.25" customHeight="1" spans="1:14">
      <c r="A64" s="362" t="s">
        <v>259</v>
      </c>
      <c r="B64" s="362" t="s">
        <v>2434</v>
      </c>
      <c r="C64" s="362">
        <v>16920</v>
      </c>
      <c r="D64" s="362">
        <v>19190</v>
      </c>
      <c r="E64" s="362">
        <v>22200</v>
      </c>
      <c r="F64" s="362">
        <v>4390</v>
      </c>
      <c r="G64" s="362">
        <v>13030</v>
      </c>
      <c r="N64" s="366" t="s">
        <v>2708</v>
      </c>
    </row>
    <row r="65" s="347" customFormat="1" ht="14.25" customHeight="1" spans="1:7">
      <c r="A65" s="362" t="s">
        <v>259</v>
      </c>
      <c r="B65" s="362" t="s">
        <v>2444</v>
      </c>
      <c r="C65" s="362">
        <v>19290</v>
      </c>
      <c r="D65" s="362">
        <v>17020</v>
      </c>
      <c r="E65" s="362">
        <v>19880</v>
      </c>
      <c r="F65" s="362">
        <v>4070</v>
      </c>
      <c r="G65" s="362">
        <v>11550</v>
      </c>
    </row>
    <row r="66" s="347" customFormat="1" ht="14.25" customHeight="1" spans="1:7">
      <c r="A66" s="362" t="s">
        <v>259</v>
      </c>
      <c r="B66" s="362" t="s">
        <v>2453</v>
      </c>
      <c r="C66" s="362">
        <v>17090</v>
      </c>
      <c r="D66" s="362">
        <v>18340</v>
      </c>
      <c r="E66" s="362">
        <v>21830</v>
      </c>
      <c r="F66" s="362">
        <v>4690</v>
      </c>
      <c r="G66" s="362">
        <v>12450</v>
      </c>
    </row>
    <row r="67" s="347" customFormat="1" ht="14.25" customHeight="1" spans="1:7">
      <c r="A67" s="362" t="s">
        <v>259</v>
      </c>
      <c r="B67" s="362" t="s">
        <v>2463</v>
      </c>
      <c r="C67" s="362">
        <v>18420</v>
      </c>
      <c r="D67" s="362">
        <v>16360</v>
      </c>
      <c r="E67" s="362">
        <v>20020</v>
      </c>
      <c r="F67" s="362">
        <v>5150</v>
      </c>
      <c r="G67" s="362">
        <v>11110</v>
      </c>
    </row>
    <row r="68" s="347" customFormat="1" ht="14.25" customHeight="1" spans="1:7">
      <c r="A68" s="362" t="s">
        <v>259</v>
      </c>
      <c r="B68" s="362" t="s">
        <v>2473</v>
      </c>
      <c r="C68" s="362">
        <v>16450</v>
      </c>
      <c r="D68" s="362">
        <v>18430</v>
      </c>
      <c r="E68" s="362">
        <v>21010</v>
      </c>
      <c r="F68" s="362">
        <v>4720</v>
      </c>
      <c r="G68" s="362">
        <v>12510</v>
      </c>
    </row>
    <row r="69" s="347" customFormat="1" ht="14.25" customHeight="1" spans="1:7">
      <c r="A69" s="362" t="s">
        <v>259</v>
      </c>
      <c r="B69" s="362" t="s">
        <v>2483</v>
      </c>
      <c r="C69" s="362">
        <v>18510</v>
      </c>
      <c r="D69" s="362">
        <v>16300</v>
      </c>
      <c r="E69" s="362">
        <v>18830</v>
      </c>
      <c r="F69" s="362">
        <v>5400</v>
      </c>
      <c r="G69" s="362">
        <v>11070</v>
      </c>
    </row>
    <row r="70" s="347" customFormat="1" ht="14.25" customHeight="1" spans="1:7">
      <c r="A70" s="362" t="s">
        <v>259</v>
      </c>
      <c r="B70" s="362" t="s">
        <v>2493</v>
      </c>
      <c r="C70" s="362">
        <v>16370</v>
      </c>
      <c r="D70" s="362">
        <v>18620</v>
      </c>
      <c r="E70" s="362">
        <v>21100</v>
      </c>
      <c r="F70" s="362">
        <v>5700</v>
      </c>
      <c r="G70" s="362">
        <v>12640</v>
      </c>
    </row>
    <row r="71" s="347" customFormat="1" ht="14.25" customHeight="1" spans="1:7">
      <c r="A71" s="362" t="s">
        <v>259</v>
      </c>
      <c r="B71" s="362" t="s">
        <v>2503</v>
      </c>
      <c r="C71" s="362">
        <v>18700</v>
      </c>
      <c r="D71" s="362">
        <v>16290</v>
      </c>
      <c r="E71" s="362">
        <v>18760</v>
      </c>
      <c r="F71" s="362">
        <v>4780</v>
      </c>
      <c r="G71" s="362">
        <v>11050</v>
      </c>
    </row>
    <row r="72" s="347" customFormat="1" ht="14.25" customHeight="1" spans="1:7">
      <c r="A72" s="362" t="s">
        <v>259</v>
      </c>
      <c r="B72" s="362" t="s">
        <v>2513</v>
      </c>
      <c r="C72" s="362">
        <v>16340</v>
      </c>
      <c r="D72" s="362">
        <v>17520</v>
      </c>
      <c r="E72" s="362">
        <v>21170</v>
      </c>
      <c r="F72" s="362"/>
      <c r="G72" s="362">
        <v>11900</v>
      </c>
    </row>
    <row r="73" s="347" customFormat="1" ht="14.25" customHeight="1" spans="1:7">
      <c r="A73" s="362" t="s">
        <v>259</v>
      </c>
      <c r="B73" s="362" t="s">
        <v>2523</v>
      </c>
      <c r="C73" s="362">
        <v>17610</v>
      </c>
      <c r="D73" s="362">
        <v>18520</v>
      </c>
      <c r="E73" s="362">
        <v>18720</v>
      </c>
      <c r="F73" s="362"/>
      <c r="G73" s="362">
        <v>12570</v>
      </c>
    </row>
    <row r="74" s="347" customFormat="1" ht="14.25" customHeight="1" spans="1:7">
      <c r="A74" s="362" t="s">
        <v>259</v>
      </c>
      <c r="B74" s="362" t="s">
        <v>2533</v>
      </c>
      <c r="C74" s="362">
        <v>18600</v>
      </c>
      <c r="D74" s="362">
        <v>16480</v>
      </c>
      <c r="E74" s="362">
        <v>20100</v>
      </c>
      <c r="F74" s="362"/>
      <c r="G74" s="362">
        <v>11190</v>
      </c>
    </row>
    <row r="75" s="347" customFormat="1" ht="14.25" customHeight="1" spans="1:7">
      <c r="A75" s="362" t="s">
        <v>259</v>
      </c>
      <c r="B75" s="362" t="s">
        <v>2542</v>
      </c>
      <c r="C75" s="362">
        <v>16570</v>
      </c>
      <c r="D75" s="362">
        <v>17530</v>
      </c>
      <c r="E75" s="362">
        <v>21030</v>
      </c>
      <c r="F75" s="362"/>
      <c r="G75" s="362">
        <v>11900</v>
      </c>
    </row>
    <row r="76" s="347" customFormat="1" ht="14.25" customHeight="1" spans="1:7">
      <c r="A76" s="362" t="s">
        <v>259</v>
      </c>
      <c r="B76" s="362" t="s">
        <v>2550</v>
      </c>
      <c r="C76" s="362">
        <v>17610</v>
      </c>
      <c r="D76" s="362">
        <v>20800</v>
      </c>
      <c r="E76" s="362">
        <v>18920</v>
      </c>
      <c r="F76" s="362"/>
      <c r="G76" s="362">
        <v>14120</v>
      </c>
    </row>
    <row r="77" s="347" customFormat="1" ht="14.25" customHeight="1" spans="1:7">
      <c r="A77" s="362" t="s">
        <v>259</v>
      </c>
      <c r="B77" s="362" t="s">
        <v>2558</v>
      </c>
      <c r="C77" s="362">
        <v>20890</v>
      </c>
      <c r="D77" s="362">
        <v>19740</v>
      </c>
      <c r="E77" s="362">
        <v>20110</v>
      </c>
      <c r="F77" s="362"/>
      <c r="G77" s="362">
        <v>13400</v>
      </c>
    </row>
    <row r="78" s="347" customFormat="1" ht="14.25" customHeight="1" spans="1:7">
      <c r="A78" s="362" t="s">
        <v>259</v>
      </c>
      <c r="B78" s="362" t="s">
        <v>2566</v>
      </c>
      <c r="C78" s="362">
        <v>19820</v>
      </c>
      <c r="D78" s="362">
        <v>19780</v>
      </c>
      <c r="E78" s="362">
        <v>18560</v>
      </c>
      <c r="F78" s="362"/>
      <c r="G78" s="362">
        <v>13430</v>
      </c>
    </row>
    <row r="79" s="347" customFormat="1" ht="14.25" customHeight="1" spans="1:7">
      <c r="A79" s="362" t="s">
        <v>259</v>
      </c>
      <c r="B79" s="362" t="s">
        <v>2574</v>
      </c>
      <c r="C79" s="362">
        <v>21660</v>
      </c>
      <c r="D79" s="362">
        <v>18000</v>
      </c>
      <c r="E79" s="362">
        <v>22570</v>
      </c>
      <c r="F79" s="362"/>
      <c r="G79" s="362">
        <v>12220</v>
      </c>
    </row>
    <row r="80" s="347" customFormat="1" ht="14.25" customHeight="1" spans="1:7">
      <c r="A80" s="362" t="s">
        <v>259</v>
      </c>
      <c r="B80" s="362" t="s">
        <v>2581</v>
      </c>
      <c r="C80" s="362">
        <v>19850</v>
      </c>
      <c r="D80" s="362"/>
      <c r="E80" s="362">
        <v>21700</v>
      </c>
      <c r="F80" s="362"/>
      <c r="G80" s="362"/>
    </row>
    <row r="81" s="347" customFormat="1" ht="14.25" customHeight="1" spans="1:7">
      <c r="A81" s="362" t="s">
        <v>259</v>
      </c>
      <c r="B81" s="362" t="s">
        <v>2588</v>
      </c>
      <c r="C81" s="362">
        <v>18080</v>
      </c>
      <c r="D81" s="362"/>
      <c r="E81" s="362">
        <v>20900</v>
      </c>
      <c r="F81" s="362"/>
      <c r="G81" s="362"/>
    </row>
    <row r="82" s="347" customFormat="1" ht="14.25" customHeight="1" spans="1:7">
      <c r="A82" s="362" t="s">
        <v>259</v>
      </c>
      <c r="B82" s="362" t="s">
        <v>2595</v>
      </c>
      <c r="C82" s="362"/>
      <c r="D82" s="362"/>
      <c r="E82" s="362">
        <v>20840</v>
      </c>
      <c r="F82" s="362"/>
      <c r="G82" s="362"/>
    </row>
    <row r="83" s="347" customFormat="1" ht="14.25" customHeight="1" spans="1:7">
      <c r="A83" s="362" t="s">
        <v>259</v>
      </c>
      <c r="B83" s="362" t="s">
        <v>2602</v>
      </c>
      <c r="C83" s="362"/>
      <c r="D83" s="362"/>
      <c r="E83" s="362"/>
      <c r="F83" s="362">
        <v>4770</v>
      </c>
      <c r="G83" s="362"/>
    </row>
    <row r="84" s="347" customFormat="1" ht="14.25" customHeight="1" spans="1:7">
      <c r="A84" s="362" t="s">
        <v>259</v>
      </c>
      <c r="B84" s="362" t="s">
        <v>2609</v>
      </c>
      <c r="C84" s="362"/>
      <c r="D84" s="362"/>
      <c r="E84" s="362"/>
      <c r="F84" s="362">
        <v>4600</v>
      </c>
      <c r="G84" s="362"/>
    </row>
    <row r="85" s="347" customFormat="1" ht="14.25" customHeight="1" spans="1:7">
      <c r="A85" s="362" t="s">
        <v>259</v>
      </c>
      <c r="B85" s="362" t="s">
        <v>2616</v>
      </c>
      <c r="C85" s="362"/>
      <c r="D85" s="362"/>
      <c r="E85" s="362"/>
      <c r="F85" s="362">
        <v>4680</v>
      </c>
      <c r="G85" s="362"/>
    </row>
    <row r="86" s="347" customFormat="1" ht="14.25" customHeight="1" spans="1:7">
      <c r="A86" s="364" t="s">
        <v>259</v>
      </c>
      <c r="B86" s="367" t="s">
        <v>2623</v>
      </c>
      <c r="C86" s="368">
        <v>16610</v>
      </c>
      <c r="D86" s="368">
        <v>16540</v>
      </c>
      <c r="E86" s="368">
        <v>18850</v>
      </c>
      <c r="F86" s="368"/>
      <c r="G86" s="368">
        <v>11220</v>
      </c>
    </row>
    <row r="87" s="347" customFormat="1" ht="14.25" customHeight="1" spans="1:7">
      <c r="A87" s="360" t="s">
        <v>267</v>
      </c>
      <c r="B87" s="361" t="s">
        <v>2331</v>
      </c>
      <c r="C87" s="361">
        <v>15240</v>
      </c>
      <c r="D87" s="361">
        <v>15170</v>
      </c>
      <c r="E87" s="361">
        <v>18260</v>
      </c>
      <c r="F87" s="361">
        <v>3830</v>
      </c>
      <c r="G87" s="369">
        <v>10020</v>
      </c>
    </row>
    <row r="88" s="347" customFormat="1" ht="14.25" customHeight="1" spans="1:7">
      <c r="A88" s="362" t="s">
        <v>267</v>
      </c>
      <c r="B88" s="362" t="s">
        <v>2344</v>
      </c>
      <c r="C88" s="362">
        <v>17310</v>
      </c>
      <c r="D88" s="362">
        <v>17220</v>
      </c>
      <c r="E88" s="362">
        <v>18610</v>
      </c>
      <c r="F88" s="362">
        <v>3990</v>
      </c>
      <c r="G88" s="370">
        <v>11380</v>
      </c>
    </row>
    <row r="89" s="347" customFormat="1" ht="14.25" customHeight="1" spans="1:7">
      <c r="A89" s="362" t="s">
        <v>267</v>
      </c>
      <c r="B89" s="362" t="s">
        <v>2358</v>
      </c>
      <c r="C89" s="362">
        <v>15600</v>
      </c>
      <c r="D89" s="362">
        <v>15550</v>
      </c>
      <c r="E89" s="362">
        <v>19200</v>
      </c>
      <c r="F89" s="362">
        <v>4110</v>
      </c>
      <c r="G89" s="370">
        <v>10270</v>
      </c>
    </row>
    <row r="90" s="347" customFormat="1" ht="14.25" customHeight="1" spans="1:7">
      <c r="A90" s="362" t="s">
        <v>267</v>
      </c>
      <c r="B90" s="362" t="s">
        <v>2370</v>
      </c>
      <c r="C90" s="362">
        <v>17330</v>
      </c>
      <c r="D90" s="362">
        <v>17240</v>
      </c>
      <c r="E90" s="362">
        <v>18570</v>
      </c>
      <c r="F90" s="362">
        <v>4070</v>
      </c>
      <c r="G90" s="370">
        <v>11390</v>
      </c>
    </row>
    <row r="91" s="347" customFormat="1" ht="14.25" customHeight="1" spans="1:7">
      <c r="A91" s="362" t="s">
        <v>267</v>
      </c>
      <c r="B91" s="362" t="s">
        <v>2382</v>
      </c>
      <c r="C91" s="362">
        <v>16330</v>
      </c>
      <c r="D91" s="362">
        <v>16260</v>
      </c>
      <c r="E91" s="362">
        <v>16800</v>
      </c>
      <c r="F91" s="362">
        <v>3410</v>
      </c>
      <c r="G91" s="370">
        <v>10740</v>
      </c>
    </row>
    <row r="92" s="347" customFormat="1" ht="14.25" customHeight="1" spans="1:7">
      <c r="A92" s="362" t="s">
        <v>267</v>
      </c>
      <c r="B92" s="362" t="s">
        <v>2393</v>
      </c>
      <c r="C92" s="362">
        <v>15570</v>
      </c>
      <c r="D92" s="362">
        <v>15500</v>
      </c>
      <c r="E92" s="362">
        <v>17360</v>
      </c>
      <c r="F92" s="362">
        <v>3510</v>
      </c>
      <c r="G92" s="370">
        <v>10240</v>
      </c>
    </row>
    <row r="93" s="347" customFormat="1" ht="14.25" customHeight="1" spans="1:7">
      <c r="A93" s="362" t="s">
        <v>267</v>
      </c>
      <c r="B93" s="362" t="s">
        <v>2404</v>
      </c>
      <c r="C93" s="362">
        <v>14000</v>
      </c>
      <c r="D93" s="362">
        <v>13930</v>
      </c>
      <c r="E93" s="362">
        <v>18200</v>
      </c>
      <c r="F93" s="362">
        <v>3640</v>
      </c>
      <c r="G93" s="370">
        <v>9210</v>
      </c>
    </row>
    <row r="94" s="347" customFormat="1" ht="14.25" customHeight="1" spans="1:7">
      <c r="A94" s="362" t="s">
        <v>267</v>
      </c>
      <c r="B94" s="362" t="s">
        <v>2415</v>
      </c>
      <c r="C94" s="362">
        <v>14530</v>
      </c>
      <c r="D94" s="362">
        <v>14470</v>
      </c>
      <c r="E94" s="362">
        <v>18240</v>
      </c>
      <c r="F94" s="362">
        <v>3180</v>
      </c>
      <c r="G94" s="370">
        <v>9560</v>
      </c>
    </row>
    <row r="95" s="347" customFormat="1" ht="14.25" customHeight="1" spans="1:7">
      <c r="A95" s="362" t="s">
        <v>267</v>
      </c>
      <c r="B95" s="362" t="s">
        <v>2425</v>
      </c>
      <c r="C95" s="362">
        <v>17330</v>
      </c>
      <c r="D95" s="362">
        <v>17260</v>
      </c>
      <c r="E95" s="362">
        <v>18420</v>
      </c>
      <c r="F95" s="362">
        <v>3060</v>
      </c>
      <c r="G95" s="370">
        <v>11410</v>
      </c>
    </row>
    <row r="96" s="347" customFormat="1" ht="14.25" customHeight="1" spans="1:7">
      <c r="A96" s="362" t="s">
        <v>267</v>
      </c>
      <c r="B96" s="362" t="s">
        <v>2435</v>
      </c>
      <c r="C96" s="362">
        <v>15030</v>
      </c>
      <c r="D96" s="362">
        <v>14970</v>
      </c>
      <c r="E96" s="362">
        <v>17580</v>
      </c>
      <c r="F96" s="362">
        <v>2970</v>
      </c>
      <c r="G96" s="370">
        <v>9890</v>
      </c>
    </row>
    <row r="97" s="347" customFormat="1" ht="14.25" customHeight="1" spans="1:7">
      <c r="A97" s="362" t="s">
        <v>267</v>
      </c>
      <c r="B97" s="362" t="s">
        <v>2445</v>
      </c>
      <c r="C97" s="362">
        <v>17400</v>
      </c>
      <c r="D97" s="362">
        <v>17330</v>
      </c>
      <c r="E97" s="362">
        <v>16430</v>
      </c>
      <c r="F97" s="362">
        <v>2950</v>
      </c>
      <c r="G97" s="370">
        <v>11450</v>
      </c>
    </row>
    <row r="98" s="347" customFormat="1" ht="14.25" customHeight="1" spans="1:7">
      <c r="A98" s="362" t="s">
        <v>267</v>
      </c>
      <c r="B98" s="362" t="s">
        <v>2454</v>
      </c>
      <c r="C98" s="362">
        <v>15200</v>
      </c>
      <c r="D98" s="362">
        <v>15120</v>
      </c>
      <c r="E98" s="362">
        <v>17550</v>
      </c>
      <c r="F98" s="362">
        <v>3080</v>
      </c>
      <c r="G98" s="370">
        <v>9990</v>
      </c>
    </row>
    <row r="99" s="347" customFormat="1" ht="14.25" customHeight="1" spans="1:7">
      <c r="A99" s="362" t="s">
        <v>267</v>
      </c>
      <c r="B99" s="362" t="s">
        <v>2464</v>
      </c>
      <c r="C99" s="362">
        <v>17520</v>
      </c>
      <c r="D99" s="362">
        <v>17430</v>
      </c>
      <c r="E99" s="362">
        <v>16350</v>
      </c>
      <c r="F99" s="362">
        <v>3260</v>
      </c>
      <c r="G99" s="370">
        <v>11510</v>
      </c>
    </row>
    <row r="100" s="347" customFormat="1" ht="14.25" customHeight="1" spans="1:7">
      <c r="A100" s="362" t="s">
        <v>267</v>
      </c>
      <c r="B100" s="362" t="s">
        <v>2474</v>
      </c>
      <c r="C100" s="362">
        <v>15340</v>
      </c>
      <c r="D100" s="362">
        <v>15260</v>
      </c>
      <c r="E100" s="362">
        <v>15930</v>
      </c>
      <c r="F100" s="362">
        <v>2740</v>
      </c>
      <c r="G100" s="370">
        <v>10080</v>
      </c>
    </row>
    <row r="101" s="347" customFormat="1" ht="14.25" customHeight="1" spans="1:7">
      <c r="A101" s="362" t="s">
        <v>267</v>
      </c>
      <c r="B101" s="362" t="s">
        <v>2484</v>
      </c>
      <c r="C101" s="362">
        <v>14620</v>
      </c>
      <c r="D101" s="362">
        <v>14560</v>
      </c>
      <c r="E101" s="362">
        <v>15570</v>
      </c>
      <c r="F101" s="362">
        <v>3500</v>
      </c>
      <c r="G101" s="370">
        <v>9630</v>
      </c>
    </row>
    <row r="102" s="347" customFormat="1" ht="14.25" customHeight="1" spans="1:7">
      <c r="A102" s="362" t="s">
        <v>267</v>
      </c>
      <c r="B102" s="362" t="s">
        <v>2494</v>
      </c>
      <c r="C102" s="362">
        <v>13680</v>
      </c>
      <c r="D102" s="362">
        <v>13610</v>
      </c>
      <c r="E102" s="362">
        <v>15690</v>
      </c>
      <c r="F102" s="362">
        <v>2870</v>
      </c>
      <c r="G102" s="370">
        <v>8990</v>
      </c>
    </row>
    <row r="103" s="347" customFormat="1" ht="14.25" customHeight="1" spans="1:7">
      <c r="A103" s="362" t="s">
        <v>267</v>
      </c>
      <c r="B103" s="362" t="s">
        <v>2504</v>
      </c>
      <c r="C103" s="362">
        <v>14620</v>
      </c>
      <c r="D103" s="362">
        <v>14540</v>
      </c>
      <c r="E103" s="362">
        <v>15240</v>
      </c>
      <c r="F103" s="362">
        <v>2840</v>
      </c>
      <c r="G103" s="370">
        <v>9610</v>
      </c>
    </row>
    <row r="104" s="347" customFormat="1" ht="14.25" customHeight="1" spans="1:7">
      <c r="A104" s="362" t="s">
        <v>267</v>
      </c>
      <c r="B104" s="362" t="s">
        <v>2514</v>
      </c>
      <c r="C104" s="362">
        <v>13610</v>
      </c>
      <c r="D104" s="362">
        <v>13540</v>
      </c>
      <c r="E104" s="362">
        <v>15750</v>
      </c>
      <c r="F104" s="362">
        <v>2770</v>
      </c>
      <c r="G104" s="370">
        <v>8940</v>
      </c>
    </row>
    <row r="105" s="347" customFormat="1" ht="14.25" customHeight="1" spans="1:7">
      <c r="A105" s="362" t="s">
        <v>267</v>
      </c>
      <c r="B105" s="362" t="s">
        <v>2524</v>
      </c>
      <c r="C105" s="362">
        <v>13310</v>
      </c>
      <c r="D105" s="362">
        <v>13240</v>
      </c>
      <c r="E105" s="362">
        <v>16280</v>
      </c>
      <c r="F105" s="362">
        <v>3210</v>
      </c>
      <c r="G105" s="370">
        <v>8750</v>
      </c>
    </row>
    <row r="106" s="347" customFormat="1" ht="14.25" customHeight="1" spans="1:7">
      <c r="A106" s="362" t="s">
        <v>267</v>
      </c>
      <c r="B106" s="362" t="s">
        <v>2534</v>
      </c>
      <c r="C106" s="362">
        <v>13010</v>
      </c>
      <c r="D106" s="362">
        <v>12930</v>
      </c>
      <c r="E106" s="362">
        <v>14960</v>
      </c>
      <c r="F106" s="362">
        <v>3530</v>
      </c>
      <c r="G106" s="370">
        <v>8550</v>
      </c>
    </row>
    <row r="107" s="347" customFormat="1" ht="14.25" customHeight="1" spans="1:7">
      <c r="A107" s="362" t="s">
        <v>267</v>
      </c>
      <c r="B107" s="362" t="s">
        <v>2543</v>
      </c>
      <c r="C107" s="362">
        <v>13070</v>
      </c>
      <c r="D107" s="362">
        <v>13000</v>
      </c>
      <c r="E107" s="362">
        <v>15910</v>
      </c>
      <c r="F107" s="362">
        <v>3990</v>
      </c>
      <c r="G107" s="370">
        <v>8580</v>
      </c>
    </row>
    <row r="108" s="347" customFormat="1" ht="14.25" customHeight="1" spans="1:7">
      <c r="A108" s="362" t="s">
        <v>267</v>
      </c>
      <c r="B108" s="362" t="s">
        <v>2551</v>
      </c>
      <c r="C108" s="362">
        <v>12640</v>
      </c>
      <c r="D108" s="362">
        <v>12580</v>
      </c>
      <c r="E108" s="362">
        <v>15730</v>
      </c>
      <c r="F108" s="362"/>
      <c r="G108" s="370">
        <v>8310</v>
      </c>
    </row>
    <row r="109" s="347" customFormat="1" ht="14.25" customHeight="1" spans="1:7">
      <c r="A109" s="362" t="s">
        <v>267</v>
      </c>
      <c r="B109" s="362" t="s">
        <v>2559</v>
      </c>
      <c r="C109" s="362">
        <v>13130</v>
      </c>
      <c r="D109" s="362">
        <v>13070</v>
      </c>
      <c r="E109" s="362">
        <v>15000</v>
      </c>
      <c r="F109" s="362"/>
      <c r="G109" s="370">
        <v>8630</v>
      </c>
    </row>
    <row r="110" s="347" customFormat="1" ht="14.25" customHeight="1" spans="1:7">
      <c r="A110" s="362" t="s">
        <v>267</v>
      </c>
      <c r="B110" s="362" t="s">
        <v>2567</v>
      </c>
      <c r="C110" s="362">
        <v>13560</v>
      </c>
      <c r="D110" s="362">
        <v>13490</v>
      </c>
      <c r="E110" s="362">
        <v>16300</v>
      </c>
      <c r="F110" s="362"/>
      <c r="G110" s="370">
        <v>8920</v>
      </c>
    </row>
    <row r="111" s="347" customFormat="1" ht="14.25" customHeight="1" spans="1:7">
      <c r="A111" s="362" t="s">
        <v>267</v>
      </c>
      <c r="B111" s="362" t="s">
        <v>2575</v>
      </c>
      <c r="C111" s="362">
        <v>12440</v>
      </c>
      <c r="D111" s="362">
        <v>12380</v>
      </c>
      <c r="E111" s="362">
        <v>17850</v>
      </c>
      <c r="F111" s="362"/>
      <c r="G111" s="370">
        <v>8180</v>
      </c>
    </row>
    <row r="112" s="347" customFormat="1" ht="14.25" customHeight="1" spans="1:7">
      <c r="A112" s="362" t="s">
        <v>267</v>
      </c>
      <c r="B112" s="362" t="s">
        <v>2582</v>
      </c>
      <c r="C112" s="362">
        <v>13260</v>
      </c>
      <c r="D112" s="362">
        <v>13180</v>
      </c>
      <c r="E112" s="362">
        <v>19740</v>
      </c>
      <c r="F112" s="362"/>
      <c r="G112" s="370">
        <v>8710</v>
      </c>
    </row>
    <row r="113" s="347" customFormat="1" ht="14.25" customHeight="1" spans="1:7">
      <c r="A113" s="362" t="s">
        <v>267</v>
      </c>
      <c r="B113" s="362" t="s">
        <v>2589</v>
      </c>
      <c r="C113" s="362">
        <v>15520</v>
      </c>
      <c r="D113" s="362">
        <v>15450</v>
      </c>
      <c r="E113" s="362"/>
      <c r="F113" s="362"/>
      <c r="G113" s="370">
        <v>10210</v>
      </c>
    </row>
    <row r="114" s="347" customFormat="1" ht="14.25" customHeight="1" spans="1:7">
      <c r="A114" s="362" t="s">
        <v>267</v>
      </c>
      <c r="B114" s="362" t="s">
        <v>2596</v>
      </c>
      <c r="C114" s="362">
        <v>13110</v>
      </c>
      <c r="D114" s="362">
        <v>13050</v>
      </c>
      <c r="E114" s="362"/>
      <c r="F114" s="362"/>
      <c r="G114" s="370">
        <v>8620</v>
      </c>
    </row>
    <row r="115" s="347" customFormat="1" ht="14.25" customHeight="1" spans="1:7">
      <c r="A115" s="362" t="s">
        <v>267</v>
      </c>
      <c r="B115" s="362" t="s">
        <v>2603</v>
      </c>
      <c r="C115" s="362">
        <v>12460</v>
      </c>
      <c r="D115" s="362">
        <v>12390</v>
      </c>
      <c r="E115" s="362"/>
      <c r="F115" s="362"/>
      <c r="G115" s="370">
        <v>8190</v>
      </c>
    </row>
    <row r="116" s="347" customFormat="1" ht="14.25" customHeight="1" spans="1:7">
      <c r="A116" s="362" t="s">
        <v>267</v>
      </c>
      <c r="B116" s="362" t="s">
        <v>2610</v>
      </c>
      <c r="C116" s="362">
        <v>13580</v>
      </c>
      <c r="D116" s="362">
        <v>13520</v>
      </c>
      <c r="E116" s="362"/>
      <c r="F116" s="362"/>
      <c r="G116" s="370">
        <v>8930</v>
      </c>
    </row>
    <row r="117" s="347" customFormat="1" ht="14.25" customHeight="1" spans="1:7">
      <c r="A117" s="362" t="s">
        <v>267</v>
      </c>
      <c r="B117" s="362" t="s">
        <v>2617</v>
      </c>
      <c r="C117" s="362">
        <v>17120</v>
      </c>
      <c r="D117" s="362">
        <v>17040</v>
      </c>
      <c r="E117" s="362"/>
      <c r="F117" s="362"/>
      <c r="G117" s="370">
        <v>11260</v>
      </c>
    </row>
    <row r="118" s="347" customFormat="1" ht="14.25" customHeight="1" spans="1:7">
      <c r="A118" s="362" t="s">
        <v>267</v>
      </c>
      <c r="B118" s="362" t="s">
        <v>2624</v>
      </c>
      <c r="C118" s="362">
        <v>14860</v>
      </c>
      <c r="D118" s="362">
        <v>14790</v>
      </c>
      <c r="E118" s="362"/>
      <c r="F118" s="362"/>
      <c r="G118" s="370">
        <v>9780</v>
      </c>
    </row>
    <row r="119" s="347" customFormat="1" ht="14.25" customHeight="1" spans="1:7">
      <c r="A119" s="362" t="s">
        <v>267</v>
      </c>
      <c r="B119" s="362" t="s">
        <v>2629</v>
      </c>
      <c r="C119" s="362">
        <v>16470</v>
      </c>
      <c r="D119" s="362">
        <v>16400</v>
      </c>
      <c r="E119" s="362"/>
      <c r="F119" s="362"/>
      <c r="G119" s="370">
        <v>10840</v>
      </c>
    </row>
    <row r="120" s="347" customFormat="1" ht="14.25" customHeight="1" spans="1:7">
      <c r="A120" s="362" t="s">
        <v>267</v>
      </c>
      <c r="B120" s="362" t="s">
        <v>2634</v>
      </c>
      <c r="C120" s="362"/>
      <c r="D120" s="362"/>
      <c r="E120" s="362"/>
      <c r="F120" s="362">
        <v>4160</v>
      </c>
      <c r="G120" s="370"/>
    </row>
    <row r="121" s="347" customFormat="1" ht="14.25" customHeight="1" spans="1:7">
      <c r="A121" s="362" t="s">
        <v>267</v>
      </c>
      <c r="B121" s="362" t="s">
        <v>2639</v>
      </c>
      <c r="C121" s="362"/>
      <c r="D121" s="362"/>
      <c r="E121" s="362"/>
      <c r="F121" s="362">
        <v>3880</v>
      </c>
      <c r="G121" s="370"/>
    </row>
    <row r="122" s="347" customFormat="1" ht="14.25" customHeight="1" spans="1:7">
      <c r="A122" s="362" t="s">
        <v>267</v>
      </c>
      <c r="B122" s="362" t="s">
        <v>2644</v>
      </c>
      <c r="C122" s="362">
        <v>13750</v>
      </c>
      <c r="D122" s="362">
        <v>13680</v>
      </c>
      <c r="E122" s="362">
        <v>16460</v>
      </c>
      <c r="F122" s="362">
        <v>2880</v>
      </c>
      <c r="G122" s="370">
        <v>9040</v>
      </c>
    </row>
    <row r="123" s="347" customFormat="1" ht="14.25" customHeight="1" spans="1:7">
      <c r="A123" s="362" t="s">
        <v>267</v>
      </c>
      <c r="B123" s="362" t="s">
        <v>2649</v>
      </c>
      <c r="C123" s="362">
        <v>13590</v>
      </c>
      <c r="D123" s="362">
        <v>13520</v>
      </c>
      <c r="E123" s="362">
        <v>16290</v>
      </c>
      <c r="F123" s="362">
        <v>2790</v>
      </c>
      <c r="G123" s="370">
        <v>8930</v>
      </c>
    </row>
    <row r="124" s="347" customFormat="1" ht="14.25" customHeight="1" spans="1:7">
      <c r="A124" s="362" t="s">
        <v>267</v>
      </c>
      <c r="B124" s="362" t="s">
        <v>2654</v>
      </c>
      <c r="C124" s="362">
        <v>13400</v>
      </c>
      <c r="D124" s="362">
        <v>13320</v>
      </c>
      <c r="E124" s="362">
        <v>16100</v>
      </c>
      <c r="F124" s="362">
        <v>2320</v>
      </c>
      <c r="G124" s="370">
        <v>8800</v>
      </c>
    </row>
    <row r="125" s="347" customFormat="1" ht="14.25" customHeight="1" spans="1:7">
      <c r="A125" s="362" t="s">
        <v>267</v>
      </c>
      <c r="B125" s="362" t="s">
        <v>2659</v>
      </c>
      <c r="C125" s="362">
        <v>12860</v>
      </c>
      <c r="D125" s="362">
        <v>12790</v>
      </c>
      <c r="E125" s="362">
        <v>15370</v>
      </c>
      <c r="F125" s="362">
        <v>2280</v>
      </c>
      <c r="G125" s="370">
        <v>8450</v>
      </c>
    </row>
    <row r="126" s="347" customFormat="1" ht="14.25" customHeight="1" spans="1:7">
      <c r="A126" s="371" t="s">
        <v>267</v>
      </c>
      <c r="B126" s="366" t="s">
        <v>2664</v>
      </c>
      <c r="C126" s="366">
        <v>12960</v>
      </c>
      <c r="D126" s="366">
        <v>12890</v>
      </c>
      <c r="E126" s="366">
        <v>15530</v>
      </c>
      <c r="F126" s="366">
        <v>2910</v>
      </c>
      <c r="G126" s="372">
        <v>8520</v>
      </c>
    </row>
    <row r="127" s="347" customFormat="1" ht="14.25" customHeight="1" spans="1:7">
      <c r="A127" s="360" t="s">
        <v>273</v>
      </c>
      <c r="B127" s="361" t="s">
        <v>2332</v>
      </c>
      <c r="C127" s="362">
        <v>12280</v>
      </c>
      <c r="D127" s="362">
        <v>12250</v>
      </c>
      <c r="E127" s="362">
        <v>15130</v>
      </c>
      <c r="F127" s="362">
        <v>2710</v>
      </c>
      <c r="G127" s="362">
        <v>7870</v>
      </c>
    </row>
    <row r="128" s="347" customFormat="1" ht="14.25" customHeight="1" spans="1:7">
      <c r="A128" s="362" t="s">
        <v>273</v>
      </c>
      <c r="B128" s="362" t="s">
        <v>2345</v>
      </c>
      <c r="C128" s="362">
        <v>13180</v>
      </c>
      <c r="D128" s="362">
        <v>13150</v>
      </c>
      <c r="E128" s="362">
        <v>16190</v>
      </c>
      <c r="F128" s="362">
        <v>2820</v>
      </c>
      <c r="G128" s="362">
        <v>8460</v>
      </c>
    </row>
    <row r="129" s="347" customFormat="1" ht="14.25" customHeight="1" spans="1:7">
      <c r="A129" s="362" t="s">
        <v>273</v>
      </c>
      <c r="B129" s="362" t="s">
        <v>2359</v>
      </c>
      <c r="C129" s="362">
        <v>10950</v>
      </c>
      <c r="D129" s="362">
        <v>10920</v>
      </c>
      <c r="E129" s="362">
        <v>13820</v>
      </c>
      <c r="F129" s="362">
        <v>2500</v>
      </c>
      <c r="G129" s="362">
        <v>7020</v>
      </c>
    </row>
    <row r="130" s="347" customFormat="1" ht="14.25" customHeight="1" spans="1:7">
      <c r="A130" s="362" t="s">
        <v>273</v>
      </c>
      <c r="B130" s="362" t="s">
        <v>2371</v>
      </c>
      <c r="C130" s="362">
        <v>10910</v>
      </c>
      <c r="D130" s="362">
        <v>10860</v>
      </c>
      <c r="E130" s="362">
        <v>13730</v>
      </c>
      <c r="F130" s="362">
        <v>2760</v>
      </c>
      <c r="G130" s="362">
        <v>6990</v>
      </c>
    </row>
    <row r="131" s="347" customFormat="1" ht="14.25" customHeight="1" spans="1:7">
      <c r="A131" s="362" t="s">
        <v>273</v>
      </c>
      <c r="B131" s="362" t="s">
        <v>2383</v>
      </c>
      <c r="C131" s="362">
        <v>12910</v>
      </c>
      <c r="D131" s="362">
        <v>12870</v>
      </c>
      <c r="E131" s="362">
        <v>15720</v>
      </c>
      <c r="F131" s="362">
        <v>2750</v>
      </c>
      <c r="G131" s="362">
        <v>8280</v>
      </c>
    </row>
    <row r="132" s="347" customFormat="1" ht="14.25" customHeight="1" spans="1:7">
      <c r="A132" s="362" t="s">
        <v>273</v>
      </c>
      <c r="B132" s="362" t="s">
        <v>2394</v>
      </c>
      <c r="C132" s="362">
        <v>11910</v>
      </c>
      <c r="D132" s="362">
        <v>11860</v>
      </c>
      <c r="E132" s="362">
        <v>14730</v>
      </c>
      <c r="F132" s="362">
        <v>2360</v>
      </c>
      <c r="G132" s="362">
        <v>7630</v>
      </c>
    </row>
    <row r="133" s="347" customFormat="1" ht="14.25" customHeight="1" spans="1:7">
      <c r="A133" s="362" t="s">
        <v>273</v>
      </c>
      <c r="B133" s="362" t="s">
        <v>2405</v>
      </c>
      <c r="C133" s="362">
        <v>12270</v>
      </c>
      <c r="D133" s="362">
        <v>12210</v>
      </c>
      <c r="E133" s="362">
        <v>15010</v>
      </c>
      <c r="F133" s="362">
        <v>2580</v>
      </c>
      <c r="G133" s="362">
        <v>7860</v>
      </c>
    </row>
    <row r="134" s="347" customFormat="1" ht="14.25" customHeight="1" spans="1:7">
      <c r="A134" s="362" t="s">
        <v>273</v>
      </c>
      <c r="B134" s="362" t="s">
        <v>2416</v>
      </c>
      <c r="C134" s="362">
        <v>10800</v>
      </c>
      <c r="D134" s="362">
        <v>10780</v>
      </c>
      <c r="E134" s="362">
        <v>13640</v>
      </c>
      <c r="F134" s="362">
        <v>2110</v>
      </c>
      <c r="G134" s="362">
        <v>6930</v>
      </c>
    </row>
    <row r="135" s="347" customFormat="1" ht="14.25" customHeight="1" spans="1:7">
      <c r="A135" s="362" t="s">
        <v>273</v>
      </c>
      <c r="B135" s="362" t="s">
        <v>2426</v>
      </c>
      <c r="C135" s="362">
        <v>10430</v>
      </c>
      <c r="D135" s="362">
        <v>10390</v>
      </c>
      <c r="E135" s="362">
        <v>13140</v>
      </c>
      <c r="F135" s="362">
        <v>2240</v>
      </c>
      <c r="G135" s="362">
        <v>6680</v>
      </c>
    </row>
    <row r="136" s="347" customFormat="1" ht="14.25" customHeight="1" spans="1:7">
      <c r="A136" s="362" t="s">
        <v>273</v>
      </c>
      <c r="B136" s="362" t="s">
        <v>2436</v>
      </c>
      <c r="C136" s="362">
        <v>11930</v>
      </c>
      <c r="D136" s="362">
        <v>11880</v>
      </c>
      <c r="E136" s="362">
        <v>14770</v>
      </c>
      <c r="F136" s="362">
        <v>1970</v>
      </c>
      <c r="G136" s="362">
        <v>7640</v>
      </c>
    </row>
    <row r="137" s="347" customFormat="1" ht="14.25" customHeight="1" spans="1:7">
      <c r="A137" s="362" t="s">
        <v>273</v>
      </c>
      <c r="B137" s="362" t="s">
        <v>2446</v>
      </c>
      <c r="C137" s="362">
        <v>10470</v>
      </c>
      <c r="D137" s="362">
        <v>10430</v>
      </c>
      <c r="E137" s="362">
        <v>13190</v>
      </c>
      <c r="F137" s="362">
        <v>1990</v>
      </c>
      <c r="G137" s="362">
        <v>6710</v>
      </c>
    </row>
    <row r="138" s="347" customFormat="1" ht="14.25" customHeight="1" spans="1:7">
      <c r="A138" s="362" t="s">
        <v>273</v>
      </c>
      <c r="B138" s="362" t="s">
        <v>2455</v>
      </c>
      <c r="C138" s="362">
        <v>10410</v>
      </c>
      <c r="D138" s="362">
        <v>10380</v>
      </c>
      <c r="E138" s="362">
        <v>13130</v>
      </c>
      <c r="F138" s="362">
        <v>2030</v>
      </c>
      <c r="G138" s="362">
        <v>6680</v>
      </c>
    </row>
    <row r="139" s="347" customFormat="1" ht="14.25" customHeight="1" spans="1:7">
      <c r="A139" s="362" t="s">
        <v>273</v>
      </c>
      <c r="B139" s="362" t="s">
        <v>2465</v>
      </c>
      <c r="C139" s="362">
        <v>9460</v>
      </c>
      <c r="D139" s="362">
        <v>9410</v>
      </c>
      <c r="E139" s="362">
        <v>12050</v>
      </c>
      <c r="F139" s="362">
        <v>2140</v>
      </c>
      <c r="G139" s="362">
        <v>6050</v>
      </c>
    </row>
    <row r="140" s="347" customFormat="1" ht="14.25" customHeight="1" spans="1:7">
      <c r="A140" s="362" t="s">
        <v>273</v>
      </c>
      <c r="B140" s="362" t="s">
        <v>2475</v>
      </c>
      <c r="C140" s="362">
        <v>11030</v>
      </c>
      <c r="D140" s="362">
        <v>10980</v>
      </c>
      <c r="E140" s="362">
        <v>13880</v>
      </c>
      <c r="F140" s="362">
        <v>2210</v>
      </c>
      <c r="G140" s="362">
        <v>7060</v>
      </c>
    </row>
    <row r="141" s="347" customFormat="1" ht="14.25" customHeight="1" spans="1:7">
      <c r="A141" s="362" t="s">
        <v>273</v>
      </c>
      <c r="B141" s="362" t="s">
        <v>2485</v>
      </c>
      <c r="C141" s="362">
        <v>11200</v>
      </c>
      <c r="D141" s="362">
        <v>11150</v>
      </c>
      <c r="E141" s="362">
        <v>14100</v>
      </c>
      <c r="F141" s="362">
        <v>2470</v>
      </c>
      <c r="G141" s="362">
        <v>7170</v>
      </c>
    </row>
    <row r="142" s="347" customFormat="1" ht="14.25" customHeight="1" spans="1:7">
      <c r="A142" s="362" t="s">
        <v>273</v>
      </c>
      <c r="B142" s="362" t="s">
        <v>2495</v>
      </c>
      <c r="C142" s="362">
        <v>10780</v>
      </c>
      <c r="D142" s="362">
        <v>10730</v>
      </c>
      <c r="E142" s="362">
        <v>13540</v>
      </c>
      <c r="F142" s="362">
        <v>2280</v>
      </c>
      <c r="G142" s="362">
        <v>6900</v>
      </c>
    </row>
    <row r="143" s="347" customFormat="1" ht="14.25" customHeight="1" spans="1:7">
      <c r="A143" s="362" t="s">
        <v>273</v>
      </c>
      <c r="B143" s="362" t="s">
        <v>2505</v>
      </c>
      <c r="C143" s="362">
        <v>11550</v>
      </c>
      <c r="D143" s="362">
        <v>11490</v>
      </c>
      <c r="E143" s="362">
        <v>14480</v>
      </c>
      <c r="F143" s="362">
        <v>2070</v>
      </c>
      <c r="G143" s="362">
        <v>7390</v>
      </c>
    </row>
    <row r="144" s="347" customFormat="1" ht="14.25" customHeight="1" spans="1:7">
      <c r="A144" s="362" t="s">
        <v>273</v>
      </c>
      <c r="B144" s="362" t="s">
        <v>2515</v>
      </c>
      <c r="C144" s="362">
        <v>10720</v>
      </c>
      <c r="D144" s="362">
        <v>10680</v>
      </c>
      <c r="E144" s="362">
        <v>13480</v>
      </c>
      <c r="F144" s="362">
        <v>2440</v>
      </c>
      <c r="G144" s="362">
        <v>6870</v>
      </c>
    </row>
    <row r="145" s="347" customFormat="1" ht="14.25" customHeight="1" spans="1:7">
      <c r="A145" s="362" t="s">
        <v>273</v>
      </c>
      <c r="B145" s="362" t="s">
        <v>2525</v>
      </c>
      <c r="C145" s="362">
        <v>10340</v>
      </c>
      <c r="D145" s="362">
        <v>10290</v>
      </c>
      <c r="E145" s="362">
        <v>12880</v>
      </c>
      <c r="F145" s="362">
        <v>2650</v>
      </c>
      <c r="G145" s="362">
        <v>6620</v>
      </c>
    </row>
    <row r="146" s="347" customFormat="1" ht="14.25" customHeight="1" spans="1:7">
      <c r="A146" s="362" t="s">
        <v>273</v>
      </c>
      <c r="B146" s="362" t="s">
        <v>2535</v>
      </c>
      <c r="C146" s="362">
        <v>11890</v>
      </c>
      <c r="D146" s="362">
        <v>11830</v>
      </c>
      <c r="E146" s="362">
        <v>14670</v>
      </c>
      <c r="F146" s="362"/>
      <c r="G146" s="362">
        <v>7610</v>
      </c>
    </row>
    <row r="147" s="347" customFormat="1" ht="14.25" customHeight="1" spans="1:7">
      <c r="A147" s="362" t="s">
        <v>273</v>
      </c>
      <c r="B147" s="362" t="s">
        <v>2544</v>
      </c>
      <c r="C147" s="362">
        <v>12650</v>
      </c>
      <c r="D147" s="362">
        <v>12600</v>
      </c>
      <c r="E147" s="362">
        <v>15440</v>
      </c>
      <c r="F147" s="362"/>
      <c r="G147" s="362">
        <v>8110</v>
      </c>
    </row>
    <row r="148" s="347" customFormat="1" ht="14.25" customHeight="1" spans="1:7">
      <c r="A148" s="362" t="s">
        <v>273</v>
      </c>
      <c r="B148" s="362" t="s">
        <v>2552</v>
      </c>
      <c r="C148" s="362">
        <v>10370</v>
      </c>
      <c r="D148" s="362">
        <v>10310</v>
      </c>
      <c r="E148" s="362">
        <v>12970</v>
      </c>
      <c r="F148" s="362"/>
      <c r="G148" s="362">
        <v>6630</v>
      </c>
    </row>
    <row r="149" s="347" customFormat="1" ht="14.25" customHeight="1" spans="1:7">
      <c r="A149" s="362" t="s">
        <v>273</v>
      </c>
      <c r="B149" s="362" t="s">
        <v>2560</v>
      </c>
      <c r="C149" s="362">
        <v>11600</v>
      </c>
      <c r="D149" s="362">
        <v>11560</v>
      </c>
      <c r="E149" s="362">
        <v>14540</v>
      </c>
      <c r="F149" s="362">
        <v>2390</v>
      </c>
      <c r="G149" s="362">
        <v>7430</v>
      </c>
    </row>
    <row r="150" s="347" customFormat="1" ht="14.25" customHeight="1" spans="1:7">
      <c r="A150" s="362" t="s">
        <v>273</v>
      </c>
      <c r="B150" s="362" t="s">
        <v>2568</v>
      </c>
      <c r="C150" s="362">
        <v>9950</v>
      </c>
      <c r="D150" s="362">
        <v>9890</v>
      </c>
      <c r="E150" s="362">
        <v>12590</v>
      </c>
      <c r="F150" s="362">
        <v>1970</v>
      </c>
      <c r="G150" s="362">
        <v>6360</v>
      </c>
    </row>
    <row r="151" s="347" customFormat="1" ht="14.25" customHeight="1" spans="1:7">
      <c r="A151" s="362" t="s">
        <v>273</v>
      </c>
      <c r="B151" s="362" t="s">
        <v>2576</v>
      </c>
      <c r="C151" s="362">
        <v>10700</v>
      </c>
      <c r="D151" s="362">
        <v>10650</v>
      </c>
      <c r="E151" s="362">
        <v>13420</v>
      </c>
      <c r="F151" s="362">
        <v>2020</v>
      </c>
      <c r="G151" s="362">
        <v>6850</v>
      </c>
    </row>
    <row r="152" s="347" customFormat="1" ht="14.25" customHeight="1" spans="1:7">
      <c r="A152" s="362" t="s">
        <v>273</v>
      </c>
      <c r="B152" s="362" t="s">
        <v>2583</v>
      </c>
      <c r="C152" s="362">
        <v>10310</v>
      </c>
      <c r="D152" s="362">
        <v>10260</v>
      </c>
      <c r="E152" s="362">
        <v>12820</v>
      </c>
      <c r="F152" s="362">
        <v>1980</v>
      </c>
      <c r="G152" s="362">
        <v>6600</v>
      </c>
    </row>
    <row r="153" s="347" customFormat="1" ht="14.25" customHeight="1" spans="1:7">
      <c r="A153" s="362" t="s">
        <v>273</v>
      </c>
      <c r="B153" s="362" t="s">
        <v>2590</v>
      </c>
      <c r="C153" s="362">
        <v>10880</v>
      </c>
      <c r="D153" s="362">
        <v>10820</v>
      </c>
      <c r="E153" s="362">
        <v>13660</v>
      </c>
      <c r="F153" s="362">
        <v>2260</v>
      </c>
      <c r="G153" s="362">
        <v>6970</v>
      </c>
    </row>
    <row r="154" s="347" customFormat="1" ht="14.25" customHeight="1" spans="1:7">
      <c r="A154" s="362" t="s">
        <v>273</v>
      </c>
      <c r="B154" s="362" t="s">
        <v>2597</v>
      </c>
      <c r="C154" s="362">
        <v>11220</v>
      </c>
      <c r="D154" s="362">
        <v>11160</v>
      </c>
      <c r="E154" s="362">
        <v>14130</v>
      </c>
      <c r="F154" s="362">
        <v>2230</v>
      </c>
      <c r="G154" s="362">
        <v>7180</v>
      </c>
    </row>
    <row r="155" s="347" customFormat="1" ht="14.25" customHeight="1" spans="1:7">
      <c r="A155" s="362" t="s">
        <v>273</v>
      </c>
      <c r="B155" s="362" t="s">
        <v>2604</v>
      </c>
      <c r="C155" s="362">
        <v>10430</v>
      </c>
      <c r="D155" s="362">
        <v>10380</v>
      </c>
      <c r="E155" s="362">
        <v>13140</v>
      </c>
      <c r="F155" s="362">
        <v>2080</v>
      </c>
      <c r="G155" s="362">
        <v>6650</v>
      </c>
    </row>
    <row r="156" s="347" customFormat="1" ht="14.25" customHeight="1" spans="1:7">
      <c r="A156" s="362" t="s">
        <v>273</v>
      </c>
      <c r="B156" s="362" t="s">
        <v>2611</v>
      </c>
      <c r="C156" s="362">
        <v>10440</v>
      </c>
      <c r="D156" s="362">
        <v>10400</v>
      </c>
      <c r="E156" s="362">
        <v>13150</v>
      </c>
      <c r="F156" s="362">
        <v>2490</v>
      </c>
      <c r="G156" s="362">
        <v>6690</v>
      </c>
    </row>
    <row r="157" s="347" customFormat="1" ht="14.25" customHeight="1" spans="1:7">
      <c r="A157" s="362" t="s">
        <v>273</v>
      </c>
      <c r="B157" s="362" t="s">
        <v>2618</v>
      </c>
      <c r="C157" s="362">
        <v>10970</v>
      </c>
      <c r="D157" s="362">
        <v>10920</v>
      </c>
      <c r="E157" s="362">
        <v>13840</v>
      </c>
      <c r="F157" s="362">
        <v>2420</v>
      </c>
      <c r="G157" s="362">
        <v>7020</v>
      </c>
    </row>
    <row r="158" s="347" customFormat="1" ht="14.25" customHeight="1" spans="1:7">
      <c r="A158" s="362" t="s">
        <v>273</v>
      </c>
      <c r="B158" s="362" t="s">
        <v>2625</v>
      </c>
      <c r="C158" s="362">
        <v>9590</v>
      </c>
      <c r="D158" s="362">
        <v>9540</v>
      </c>
      <c r="E158" s="362">
        <v>12210</v>
      </c>
      <c r="F158" s="362">
        <v>2100</v>
      </c>
      <c r="G158" s="362">
        <v>6130</v>
      </c>
    </row>
    <row r="159" s="347" customFormat="1" ht="14.25" customHeight="1" spans="1:7">
      <c r="A159" s="362" t="s">
        <v>273</v>
      </c>
      <c r="B159" s="362" t="s">
        <v>2630</v>
      </c>
      <c r="C159" s="362">
        <v>11190</v>
      </c>
      <c r="D159" s="362">
        <v>11140</v>
      </c>
      <c r="E159" s="362">
        <v>14090</v>
      </c>
      <c r="F159" s="362">
        <v>2470</v>
      </c>
      <c r="G159" s="362">
        <v>7170</v>
      </c>
    </row>
    <row r="160" s="347" customFormat="1" ht="14.25" customHeight="1" spans="1:7">
      <c r="A160" s="362" t="s">
        <v>273</v>
      </c>
      <c r="B160" s="362" t="s">
        <v>2635</v>
      </c>
      <c r="C160" s="362">
        <v>11180</v>
      </c>
      <c r="D160" s="362">
        <v>11140</v>
      </c>
      <c r="E160" s="362">
        <v>14050</v>
      </c>
      <c r="F160" s="362">
        <v>2270</v>
      </c>
      <c r="G160" s="362">
        <v>7170</v>
      </c>
    </row>
    <row r="161" s="347" customFormat="1" ht="14.25" customHeight="1" spans="1:7">
      <c r="A161" s="362" t="s">
        <v>273</v>
      </c>
      <c r="B161" s="362" t="s">
        <v>2640</v>
      </c>
      <c r="C161" s="362">
        <v>11160</v>
      </c>
      <c r="D161" s="362">
        <v>11120</v>
      </c>
      <c r="E161" s="362">
        <v>14020</v>
      </c>
      <c r="F161" s="362">
        <v>2150</v>
      </c>
      <c r="G161" s="362">
        <v>7160</v>
      </c>
    </row>
    <row r="162" s="347" customFormat="1" ht="14.25" customHeight="1" spans="1:7">
      <c r="A162" s="362" t="s">
        <v>273</v>
      </c>
      <c r="B162" s="362" t="s">
        <v>2645</v>
      </c>
      <c r="C162" s="362">
        <v>9620</v>
      </c>
      <c r="D162" s="362">
        <v>9570</v>
      </c>
      <c r="E162" s="362">
        <v>12320</v>
      </c>
      <c r="F162" s="362">
        <v>2010</v>
      </c>
      <c r="G162" s="362">
        <v>6160</v>
      </c>
    </row>
    <row r="163" s="347" customFormat="1" ht="14.25" customHeight="1" spans="1:7">
      <c r="A163" s="362" t="s">
        <v>273</v>
      </c>
      <c r="B163" s="362" t="s">
        <v>2650</v>
      </c>
      <c r="C163" s="362">
        <v>9320</v>
      </c>
      <c r="D163" s="362">
        <v>9270</v>
      </c>
      <c r="E163" s="362">
        <v>11790</v>
      </c>
      <c r="F163" s="362">
        <v>1920</v>
      </c>
      <c r="G163" s="362">
        <v>5960</v>
      </c>
    </row>
    <row r="164" s="347" customFormat="1" ht="14.25" customHeight="1" spans="1:7">
      <c r="A164" s="362" t="s">
        <v>273</v>
      </c>
      <c r="B164" s="362" t="s">
        <v>2655</v>
      </c>
      <c r="C164" s="362"/>
      <c r="D164" s="362"/>
      <c r="E164" s="362"/>
      <c r="F164" s="362">
        <v>1980</v>
      </c>
      <c r="G164" s="362"/>
    </row>
    <row r="165" s="347" customFormat="1" ht="14.25" customHeight="1" spans="1:7">
      <c r="A165" s="362" t="s">
        <v>273</v>
      </c>
      <c r="B165" s="362" t="s">
        <v>2660</v>
      </c>
      <c r="C165" s="362">
        <v>11060</v>
      </c>
      <c r="D165" s="362">
        <v>11030</v>
      </c>
      <c r="E165" s="362">
        <v>13850</v>
      </c>
      <c r="F165" s="362">
        <v>2170</v>
      </c>
      <c r="G165" s="362">
        <v>7090</v>
      </c>
    </row>
    <row r="166" s="347" customFormat="1" ht="14.25" customHeight="1" spans="1:7">
      <c r="A166" s="362" t="s">
        <v>273</v>
      </c>
      <c r="B166" s="362" t="s">
        <v>2665</v>
      </c>
      <c r="C166" s="362">
        <v>11050</v>
      </c>
      <c r="D166" s="362">
        <v>11010</v>
      </c>
      <c r="E166" s="362">
        <v>13920</v>
      </c>
      <c r="F166" s="362">
        <v>2140</v>
      </c>
      <c r="G166" s="362">
        <v>7080</v>
      </c>
    </row>
    <row r="167" s="347" customFormat="1" ht="14.25" customHeight="1" spans="1:7">
      <c r="A167" s="362" t="s">
        <v>273</v>
      </c>
      <c r="B167" s="362" t="s">
        <v>2669</v>
      </c>
      <c r="C167" s="362">
        <v>10930</v>
      </c>
      <c r="D167" s="362">
        <v>10890</v>
      </c>
      <c r="E167" s="362">
        <v>13790</v>
      </c>
      <c r="F167" s="362">
        <v>2010</v>
      </c>
      <c r="G167" s="362">
        <v>7000</v>
      </c>
    </row>
    <row r="168" s="347" customFormat="1" ht="14.25" customHeight="1" spans="1:7">
      <c r="A168" s="362" t="s">
        <v>273</v>
      </c>
      <c r="B168" s="362" t="s">
        <v>2673</v>
      </c>
      <c r="C168" s="362">
        <v>9420</v>
      </c>
      <c r="D168" s="362">
        <v>9380</v>
      </c>
      <c r="E168" s="362">
        <v>11970</v>
      </c>
      <c r="F168" s="362"/>
      <c r="G168" s="362">
        <v>6040</v>
      </c>
    </row>
    <row r="169" s="347" customFormat="1" ht="14.25" customHeight="1" spans="1:7">
      <c r="A169" s="362" t="s">
        <v>273</v>
      </c>
      <c r="B169" s="362" t="s">
        <v>2677</v>
      </c>
      <c r="C169" s="362"/>
      <c r="D169" s="362"/>
      <c r="E169" s="362"/>
      <c r="F169" s="362">
        <v>2880</v>
      </c>
      <c r="G169" s="362"/>
    </row>
    <row r="170" s="347" customFormat="1" ht="14.25" customHeight="1" spans="1:7">
      <c r="A170" s="362" t="s">
        <v>273</v>
      </c>
      <c r="B170" s="362" t="s">
        <v>2681</v>
      </c>
      <c r="C170" s="362"/>
      <c r="D170" s="362"/>
      <c r="E170" s="362"/>
      <c r="F170" s="362">
        <v>2880</v>
      </c>
      <c r="G170" s="362"/>
    </row>
    <row r="171" s="347" customFormat="1" ht="14.25" customHeight="1" spans="1:7">
      <c r="A171" s="362" t="s">
        <v>273</v>
      </c>
      <c r="B171" s="362" t="s">
        <v>2684</v>
      </c>
      <c r="C171" s="362"/>
      <c r="D171" s="362"/>
      <c r="E171" s="362"/>
      <c r="F171" s="362">
        <v>2880</v>
      </c>
      <c r="G171" s="362"/>
    </row>
    <row r="172" s="347" customFormat="1" ht="14.25" customHeight="1" spans="1:7">
      <c r="A172" s="362" t="s">
        <v>273</v>
      </c>
      <c r="B172" s="362" t="s">
        <v>2686</v>
      </c>
      <c r="C172" s="362"/>
      <c r="D172" s="362"/>
      <c r="E172" s="362"/>
      <c r="F172" s="362">
        <v>2880</v>
      </c>
      <c r="G172" s="362"/>
    </row>
    <row r="173" s="347" customFormat="1" ht="14.25" customHeight="1" spans="1:7">
      <c r="A173" s="362" t="s">
        <v>273</v>
      </c>
      <c r="B173" s="362" t="s">
        <v>2688</v>
      </c>
      <c r="C173" s="362"/>
      <c r="D173" s="362"/>
      <c r="E173" s="362"/>
      <c r="F173" s="362">
        <v>2150</v>
      </c>
      <c r="G173" s="362"/>
    </row>
    <row r="174" s="347" customFormat="1" ht="14.25" customHeight="1" spans="1:7">
      <c r="A174" s="362" t="s">
        <v>273</v>
      </c>
      <c r="B174" s="362" t="s">
        <v>2690</v>
      </c>
      <c r="C174" s="362"/>
      <c r="D174" s="362"/>
      <c r="E174" s="362"/>
      <c r="F174" s="362">
        <v>2030</v>
      </c>
      <c r="G174" s="362"/>
    </row>
    <row r="175" s="347" customFormat="1" ht="14.25" customHeight="1" spans="1:7">
      <c r="A175" s="362" t="s">
        <v>273</v>
      </c>
      <c r="B175" s="362" t="s">
        <v>2692</v>
      </c>
      <c r="C175" s="362"/>
      <c r="D175" s="362"/>
      <c r="E175" s="362"/>
      <c r="F175" s="362">
        <v>2780</v>
      </c>
      <c r="G175" s="362"/>
    </row>
    <row r="176" s="347" customFormat="1" ht="14.25" customHeight="1" spans="1:7">
      <c r="A176" s="362" t="s">
        <v>273</v>
      </c>
      <c r="B176" s="362" t="s">
        <v>2694</v>
      </c>
      <c r="C176" s="362"/>
      <c r="D176" s="362"/>
      <c r="E176" s="362"/>
      <c r="F176" s="362">
        <v>2780</v>
      </c>
      <c r="G176" s="362"/>
    </row>
    <row r="177" s="347" customFormat="1" ht="14.25" customHeight="1" spans="1:7">
      <c r="A177" s="362" t="s">
        <v>273</v>
      </c>
      <c r="B177" s="362" t="s">
        <v>2696</v>
      </c>
      <c r="C177" s="362"/>
      <c r="D177" s="362"/>
      <c r="E177" s="362"/>
      <c r="F177" s="362">
        <v>2780</v>
      </c>
      <c r="G177" s="362"/>
    </row>
    <row r="178" s="347" customFormat="1" ht="14.25" customHeight="1" spans="1:7">
      <c r="A178" s="362" t="s">
        <v>273</v>
      </c>
      <c r="B178" s="362" t="s">
        <v>2697</v>
      </c>
      <c r="C178" s="362"/>
      <c r="D178" s="362"/>
      <c r="E178" s="362"/>
      <c r="F178" s="362">
        <v>2060</v>
      </c>
      <c r="G178" s="362"/>
    </row>
    <row r="179" s="347" customFormat="1" ht="14.25" customHeight="1" spans="1:7">
      <c r="A179" s="362" t="s">
        <v>273</v>
      </c>
      <c r="B179" s="362" t="s">
        <v>2698</v>
      </c>
      <c r="C179" s="362"/>
      <c r="D179" s="362"/>
      <c r="E179" s="362"/>
      <c r="F179" s="362">
        <v>2120</v>
      </c>
      <c r="G179" s="362"/>
    </row>
    <row r="180" s="347" customFormat="1" ht="14.25" customHeight="1" spans="1:7">
      <c r="A180" s="362" t="s">
        <v>273</v>
      </c>
      <c r="B180" s="362" t="s">
        <v>2699</v>
      </c>
      <c r="C180" s="362"/>
      <c r="D180" s="362"/>
      <c r="E180" s="362"/>
      <c r="F180" s="362">
        <v>2340</v>
      </c>
      <c r="G180" s="362"/>
    </row>
    <row r="181" s="347" customFormat="1" ht="14.25" customHeight="1" spans="1:7">
      <c r="A181" s="362" t="s">
        <v>273</v>
      </c>
      <c r="B181" s="362" t="s">
        <v>2700</v>
      </c>
      <c r="C181" s="362"/>
      <c r="D181" s="362"/>
      <c r="E181" s="362"/>
      <c r="F181" s="362">
        <v>2340</v>
      </c>
      <c r="G181" s="362"/>
    </row>
    <row r="182" s="347" customFormat="1" ht="14.25" customHeight="1" spans="1:7">
      <c r="A182" s="362" t="s">
        <v>273</v>
      </c>
      <c r="B182" s="362" t="s">
        <v>2701</v>
      </c>
      <c r="C182" s="362"/>
      <c r="D182" s="362"/>
      <c r="E182" s="362"/>
      <c r="F182" s="362">
        <v>2340</v>
      </c>
      <c r="G182" s="362"/>
    </row>
    <row r="183" s="347" customFormat="1" ht="14.25" customHeight="1" spans="1:7">
      <c r="A183" s="362" t="s">
        <v>273</v>
      </c>
      <c r="B183" s="362" t="s">
        <v>2702</v>
      </c>
      <c r="C183" s="362"/>
      <c r="D183" s="362"/>
      <c r="E183" s="362"/>
      <c r="F183" s="362">
        <v>2340</v>
      </c>
      <c r="G183" s="362"/>
    </row>
    <row r="184" s="347" customFormat="1" ht="14.25" customHeight="1" spans="1:7">
      <c r="A184" s="362" t="s">
        <v>273</v>
      </c>
      <c r="B184" s="362" t="s">
        <v>2703</v>
      </c>
      <c r="C184" s="362"/>
      <c r="D184" s="362"/>
      <c r="E184" s="362"/>
      <c r="F184" s="362">
        <v>2340</v>
      </c>
      <c r="G184" s="362"/>
    </row>
    <row r="185" s="347" customFormat="1" ht="14.25" customHeight="1" spans="1:7">
      <c r="A185" s="362" t="s">
        <v>273</v>
      </c>
      <c r="B185" s="362" t="s">
        <v>2704</v>
      </c>
      <c r="C185" s="362"/>
      <c r="D185" s="362"/>
      <c r="E185" s="362"/>
      <c r="F185" s="362">
        <v>2530</v>
      </c>
      <c r="G185" s="362"/>
    </row>
    <row r="186" s="347" customFormat="1" ht="14.25" customHeight="1" spans="1:7">
      <c r="A186" s="362" t="s">
        <v>273</v>
      </c>
      <c r="B186" s="362" t="s">
        <v>2705</v>
      </c>
      <c r="C186" s="362"/>
      <c r="D186" s="362"/>
      <c r="E186" s="362"/>
      <c r="F186" s="362">
        <v>2550</v>
      </c>
      <c r="G186" s="362"/>
    </row>
    <row r="187" s="347" customFormat="1" ht="14.25" customHeight="1" spans="1:7">
      <c r="A187" s="362" t="s">
        <v>273</v>
      </c>
      <c r="B187" s="362" t="s">
        <v>2706</v>
      </c>
      <c r="C187" s="362"/>
      <c r="D187" s="362"/>
      <c r="E187" s="362"/>
      <c r="F187" s="362">
        <v>2070</v>
      </c>
      <c r="G187" s="362"/>
    </row>
    <row r="188" s="347" customFormat="1" ht="14.25" customHeight="1" spans="1:7">
      <c r="A188" s="362" t="s">
        <v>273</v>
      </c>
      <c r="B188" s="362" t="s">
        <v>2707</v>
      </c>
      <c r="C188" s="362"/>
      <c r="D188" s="362"/>
      <c r="E188" s="362"/>
      <c r="F188" s="362">
        <v>2340</v>
      </c>
      <c r="G188" s="362"/>
    </row>
    <row r="189" s="347" customFormat="1" ht="14.25" customHeight="1" spans="1:7">
      <c r="A189" s="364" t="s">
        <v>273</v>
      </c>
      <c r="B189" s="368" t="s">
        <v>2708</v>
      </c>
      <c r="C189" s="368"/>
      <c r="D189" s="368"/>
      <c r="E189" s="368"/>
      <c r="F189" s="368">
        <v>2050</v>
      </c>
      <c r="G189" s="368"/>
    </row>
    <row r="190" s="347" customFormat="1" ht="14.25" customHeight="1" spans="1:7">
      <c r="A190" s="360" t="s">
        <v>278</v>
      </c>
      <c r="B190" s="361" t="s">
        <v>2333</v>
      </c>
      <c r="C190" s="361">
        <v>8830</v>
      </c>
      <c r="D190" s="361">
        <v>8790</v>
      </c>
      <c r="E190" s="361">
        <v>11630</v>
      </c>
      <c r="F190" s="361">
        <v>1790</v>
      </c>
      <c r="G190" s="369">
        <v>5550</v>
      </c>
    </row>
    <row r="191" s="347" customFormat="1" ht="14.25" customHeight="1" spans="1:7">
      <c r="A191" s="362" t="s">
        <v>278</v>
      </c>
      <c r="B191" s="362" t="s">
        <v>2346</v>
      </c>
      <c r="C191" s="362">
        <v>9780</v>
      </c>
      <c r="D191" s="362">
        <v>9710</v>
      </c>
      <c r="E191" s="362">
        <v>12550</v>
      </c>
      <c r="F191" s="362">
        <v>1980</v>
      </c>
      <c r="G191" s="370">
        <v>6130</v>
      </c>
    </row>
    <row r="192" s="347" customFormat="1" ht="14.25" customHeight="1" spans="1:7">
      <c r="A192" s="362" t="s">
        <v>278</v>
      </c>
      <c r="B192" s="362" t="s">
        <v>2360</v>
      </c>
      <c r="C192" s="362">
        <v>8180</v>
      </c>
      <c r="D192" s="362">
        <v>8140</v>
      </c>
      <c r="E192" s="362">
        <v>10870</v>
      </c>
      <c r="F192" s="362">
        <v>1690</v>
      </c>
      <c r="G192" s="370">
        <v>5140</v>
      </c>
    </row>
    <row r="193" s="347" customFormat="1" ht="14.25" customHeight="1" spans="1:7">
      <c r="A193" s="362" t="s">
        <v>278</v>
      </c>
      <c r="B193" s="362" t="s">
        <v>2372</v>
      </c>
      <c r="C193" s="362">
        <v>8440</v>
      </c>
      <c r="D193" s="362">
        <v>8390</v>
      </c>
      <c r="E193" s="362">
        <v>11210</v>
      </c>
      <c r="F193" s="362">
        <v>1600</v>
      </c>
      <c r="G193" s="370">
        <v>5300</v>
      </c>
    </row>
    <row r="194" s="347" customFormat="1" ht="14.25" customHeight="1" spans="1:7">
      <c r="A194" s="362" t="s">
        <v>278</v>
      </c>
      <c r="B194" s="362" t="s">
        <v>2384</v>
      </c>
      <c r="C194" s="362">
        <v>8780</v>
      </c>
      <c r="D194" s="362">
        <v>8730</v>
      </c>
      <c r="E194" s="362">
        <v>11550</v>
      </c>
      <c r="F194" s="362">
        <v>1660</v>
      </c>
      <c r="G194" s="370">
        <v>5520</v>
      </c>
    </row>
    <row r="195" s="347" customFormat="1" ht="14.25" customHeight="1" spans="1:7">
      <c r="A195" s="362" t="s">
        <v>278</v>
      </c>
      <c r="B195" s="362" t="s">
        <v>2395</v>
      </c>
      <c r="C195" s="362">
        <v>8720</v>
      </c>
      <c r="D195" s="362">
        <v>8670</v>
      </c>
      <c r="E195" s="362">
        <v>11450</v>
      </c>
      <c r="F195" s="362">
        <v>1720</v>
      </c>
      <c r="G195" s="370">
        <v>5480</v>
      </c>
    </row>
    <row r="196" s="347" customFormat="1" ht="14.25" customHeight="1" spans="1:7">
      <c r="A196" s="362" t="s">
        <v>278</v>
      </c>
      <c r="B196" s="362" t="s">
        <v>2406</v>
      </c>
      <c r="C196" s="362">
        <v>8460</v>
      </c>
      <c r="D196" s="362">
        <v>8410</v>
      </c>
      <c r="E196" s="362">
        <v>11230</v>
      </c>
      <c r="F196" s="362">
        <v>1730</v>
      </c>
      <c r="G196" s="370">
        <v>5310</v>
      </c>
    </row>
    <row r="197" s="347" customFormat="1" ht="14.25" customHeight="1" spans="1:7">
      <c r="A197" s="362" t="s">
        <v>278</v>
      </c>
      <c r="B197" s="362" t="s">
        <v>2417</v>
      </c>
      <c r="C197" s="362">
        <v>8790</v>
      </c>
      <c r="D197" s="362">
        <v>8730</v>
      </c>
      <c r="E197" s="362">
        <v>11560</v>
      </c>
      <c r="F197" s="362">
        <v>1750</v>
      </c>
      <c r="G197" s="370">
        <v>5520</v>
      </c>
    </row>
    <row r="198" s="347" customFormat="1" ht="14.25" customHeight="1" spans="1:7">
      <c r="A198" s="362" t="s">
        <v>278</v>
      </c>
      <c r="B198" s="362" t="s">
        <v>2427</v>
      </c>
      <c r="C198" s="362">
        <v>8720</v>
      </c>
      <c r="D198" s="362">
        <v>8680</v>
      </c>
      <c r="E198" s="362">
        <v>11470</v>
      </c>
      <c r="F198" s="362"/>
      <c r="G198" s="370">
        <v>5480</v>
      </c>
    </row>
    <row r="199" s="347" customFormat="1" ht="14.25" customHeight="1" spans="1:7">
      <c r="A199" s="362" t="s">
        <v>278</v>
      </c>
      <c r="B199" s="362" t="s">
        <v>2437</v>
      </c>
      <c r="C199" s="362">
        <v>8690</v>
      </c>
      <c r="D199" s="362">
        <v>8630</v>
      </c>
      <c r="E199" s="362">
        <v>11350</v>
      </c>
      <c r="F199" s="362">
        <v>1600</v>
      </c>
      <c r="G199" s="370">
        <v>5450</v>
      </c>
    </row>
    <row r="200" s="347" customFormat="1" ht="14.25" customHeight="1" spans="1:7">
      <c r="A200" s="362" t="s">
        <v>278</v>
      </c>
      <c r="B200" s="362" t="s">
        <v>2447</v>
      </c>
      <c r="C200" s="362"/>
      <c r="D200" s="362"/>
      <c r="E200" s="362"/>
      <c r="F200" s="362">
        <v>1510</v>
      </c>
      <c r="G200" s="370"/>
    </row>
    <row r="201" s="347" customFormat="1" ht="14.25" customHeight="1" spans="1:7">
      <c r="A201" s="362" t="s">
        <v>278</v>
      </c>
      <c r="B201" s="362" t="s">
        <v>2456</v>
      </c>
      <c r="C201" s="362">
        <v>8440</v>
      </c>
      <c r="D201" s="362">
        <v>8390</v>
      </c>
      <c r="E201" s="362">
        <v>10930</v>
      </c>
      <c r="F201" s="362">
        <v>1500</v>
      </c>
      <c r="G201" s="370">
        <v>5300</v>
      </c>
    </row>
    <row r="202" s="347" customFormat="1" ht="14.25" customHeight="1" spans="1:7">
      <c r="A202" s="362" t="s">
        <v>278</v>
      </c>
      <c r="B202" s="362" t="s">
        <v>2466</v>
      </c>
      <c r="C202" s="362">
        <v>8530</v>
      </c>
      <c r="D202" s="362">
        <v>8490</v>
      </c>
      <c r="E202" s="362">
        <v>11160</v>
      </c>
      <c r="F202" s="362">
        <v>1580</v>
      </c>
      <c r="G202" s="370">
        <v>5360</v>
      </c>
    </row>
    <row r="203" s="347" customFormat="1" ht="14.25" customHeight="1" spans="1:7">
      <c r="A203" s="362" t="s">
        <v>278</v>
      </c>
      <c r="B203" s="362" t="s">
        <v>2476</v>
      </c>
      <c r="C203" s="362">
        <v>8130</v>
      </c>
      <c r="D203" s="362">
        <v>8070</v>
      </c>
      <c r="E203" s="362">
        <v>10820</v>
      </c>
      <c r="F203" s="362">
        <v>1690</v>
      </c>
      <c r="G203" s="370">
        <v>5100</v>
      </c>
    </row>
    <row r="204" s="347" customFormat="1" ht="14.25" customHeight="1" spans="1:7">
      <c r="A204" s="362" t="s">
        <v>278</v>
      </c>
      <c r="B204" s="362" t="s">
        <v>2486</v>
      </c>
      <c r="C204" s="362">
        <v>8350</v>
      </c>
      <c r="D204" s="362">
        <v>8290</v>
      </c>
      <c r="E204" s="362">
        <v>11080</v>
      </c>
      <c r="F204" s="362">
        <v>1450</v>
      </c>
      <c r="G204" s="370">
        <v>5240</v>
      </c>
    </row>
    <row r="205" s="347" customFormat="1" ht="14.25" customHeight="1" spans="1:7">
      <c r="A205" s="362" t="s">
        <v>278</v>
      </c>
      <c r="B205" s="362" t="s">
        <v>2496</v>
      </c>
      <c r="C205" s="362">
        <v>7190</v>
      </c>
      <c r="D205" s="362">
        <v>7130</v>
      </c>
      <c r="E205" s="362">
        <v>9490</v>
      </c>
      <c r="F205" s="362">
        <v>1470</v>
      </c>
      <c r="G205" s="370">
        <v>4510</v>
      </c>
    </row>
    <row r="206" s="347" customFormat="1" ht="14.25" customHeight="1" spans="1:7">
      <c r="A206" s="362" t="s">
        <v>278</v>
      </c>
      <c r="B206" s="362" t="s">
        <v>2506</v>
      </c>
      <c r="C206" s="362">
        <v>7000</v>
      </c>
      <c r="D206" s="362">
        <v>6950</v>
      </c>
      <c r="E206" s="362">
        <v>9170</v>
      </c>
      <c r="F206" s="362">
        <v>1400</v>
      </c>
      <c r="G206" s="370">
        <v>4380</v>
      </c>
    </row>
    <row r="207" s="347" customFormat="1" ht="14.25" customHeight="1" spans="1:7">
      <c r="A207" s="362" t="s">
        <v>278</v>
      </c>
      <c r="B207" s="362" t="s">
        <v>2516</v>
      </c>
      <c r="C207" s="362">
        <v>6950</v>
      </c>
      <c r="D207" s="362">
        <v>6900</v>
      </c>
      <c r="E207" s="362">
        <v>9110</v>
      </c>
      <c r="F207" s="362">
        <v>1790</v>
      </c>
      <c r="G207" s="370">
        <v>4360</v>
      </c>
    </row>
    <row r="208" s="347" customFormat="1" ht="14.25" customHeight="1" spans="1:7">
      <c r="A208" s="362" t="s">
        <v>278</v>
      </c>
      <c r="B208" s="362" t="s">
        <v>2526</v>
      </c>
      <c r="C208" s="362">
        <v>9470</v>
      </c>
      <c r="D208" s="362">
        <v>9410</v>
      </c>
      <c r="E208" s="362">
        <v>12330</v>
      </c>
      <c r="F208" s="362">
        <v>1770</v>
      </c>
      <c r="G208" s="370">
        <v>5940</v>
      </c>
    </row>
    <row r="209" s="347" customFormat="1" ht="14.25" customHeight="1" spans="1:7">
      <c r="A209" s="362" t="s">
        <v>278</v>
      </c>
      <c r="B209" s="362" t="s">
        <v>2536</v>
      </c>
      <c r="C209" s="362">
        <v>8740</v>
      </c>
      <c r="D209" s="362">
        <v>8700</v>
      </c>
      <c r="E209" s="362">
        <v>11500</v>
      </c>
      <c r="F209" s="362">
        <v>1730</v>
      </c>
      <c r="G209" s="370">
        <v>5490</v>
      </c>
    </row>
    <row r="210" s="347" customFormat="1" ht="14.25" customHeight="1" spans="1:7">
      <c r="A210" s="362" t="s">
        <v>278</v>
      </c>
      <c r="B210" s="362" t="s">
        <v>2545</v>
      </c>
      <c r="C210" s="362">
        <v>8710</v>
      </c>
      <c r="D210" s="362">
        <v>8660</v>
      </c>
      <c r="E210" s="362">
        <v>11440</v>
      </c>
      <c r="F210" s="362">
        <v>1740</v>
      </c>
      <c r="G210" s="370">
        <v>5470</v>
      </c>
    </row>
    <row r="211" s="347" customFormat="1" ht="14.25" customHeight="1" spans="1:7">
      <c r="A211" s="362" t="s">
        <v>278</v>
      </c>
      <c r="B211" s="362" t="s">
        <v>2553</v>
      </c>
      <c r="C211" s="362">
        <v>9480</v>
      </c>
      <c r="D211" s="362">
        <v>9430</v>
      </c>
      <c r="E211" s="362">
        <v>12360</v>
      </c>
      <c r="F211" s="362">
        <v>1820</v>
      </c>
      <c r="G211" s="370">
        <v>5950</v>
      </c>
    </row>
    <row r="212" s="347" customFormat="1" ht="14.25" customHeight="1" spans="1:7">
      <c r="A212" s="362" t="s">
        <v>278</v>
      </c>
      <c r="B212" s="362" t="s">
        <v>2561</v>
      </c>
      <c r="C212" s="362">
        <v>9070</v>
      </c>
      <c r="D212" s="362">
        <v>9020</v>
      </c>
      <c r="E212" s="362">
        <v>11720</v>
      </c>
      <c r="F212" s="362">
        <v>1850</v>
      </c>
      <c r="G212" s="370">
        <v>5700</v>
      </c>
    </row>
    <row r="213" s="347" customFormat="1" ht="14.25" customHeight="1" spans="1:7">
      <c r="A213" s="362" t="s">
        <v>278</v>
      </c>
      <c r="B213" s="362" t="s">
        <v>2569</v>
      </c>
      <c r="C213" s="362">
        <v>9030</v>
      </c>
      <c r="D213" s="362">
        <v>8980</v>
      </c>
      <c r="E213" s="362">
        <v>11670</v>
      </c>
      <c r="F213" s="362">
        <v>1690</v>
      </c>
      <c r="G213" s="370">
        <v>5670</v>
      </c>
    </row>
    <row r="214" s="347" customFormat="1" ht="14.25" customHeight="1" spans="1:7">
      <c r="A214" s="362" t="s">
        <v>278</v>
      </c>
      <c r="B214" s="362" t="s">
        <v>2577</v>
      </c>
      <c r="C214" s="362">
        <v>8090</v>
      </c>
      <c r="D214" s="362">
        <v>8030</v>
      </c>
      <c r="E214" s="362">
        <v>10780</v>
      </c>
      <c r="F214" s="362">
        <v>1570</v>
      </c>
      <c r="G214" s="370">
        <v>5070</v>
      </c>
    </row>
    <row r="215" s="347" customFormat="1" ht="14.25" customHeight="1" spans="1:7">
      <c r="A215" s="362" t="s">
        <v>278</v>
      </c>
      <c r="B215" s="362" t="s">
        <v>2584</v>
      </c>
      <c r="C215" s="362">
        <v>7950</v>
      </c>
      <c r="D215" s="362">
        <v>7900</v>
      </c>
      <c r="E215" s="362">
        <v>10560</v>
      </c>
      <c r="F215" s="362">
        <v>1630</v>
      </c>
      <c r="G215" s="370">
        <v>4990</v>
      </c>
    </row>
    <row r="216" s="347" customFormat="1" ht="14.25" customHeight="1" spans="1:7">
      <c r="A216" s="362" t="s">
        <v>278</v>
      </c>
      <c r="B216" s="362" t="s">
        <v>2591</v>
      </c>
      <c r="C216" s="362">
        <v>8490</v>
      </c>
      <c r="D216" s="362">
        <v>8440</v>
      </c>
      <c r="E216" s="362">
        <v>11260</v>
      </c>
      <c r="F216" s="362">
        <v>1690</v>
      </c>
      <c r="G216" s="370">
        <v>5330</v>
      </c>
    </row>
    <row r="217" s="347" customFormat="1" ht="14.25" customHeight="1" spans="1:7">
      <c r="A217" s="362" t="s">
        <v>278</v>
      </c>
      <c r="B217" s="362" t="s">
        <v>2598</v>
      </c>
      <c r="C217" s="362">
        <v>8200</v>
      </c>
      <c r="D217" s="362">
        <v>8150</v>
      </c>
      <c r="E217" s="362">
        <v>10910</v>
      </c>
      <c r="F217" s="362">
        <v>1670</v>
      </c>
      <c r="G217" s="370">
        <v>5150</v>
      </c>
    </row>
    <row r="218" s="347" customFormat="1" ht="14.25" customHeight="1" spans="1:7">
      <c r="A218" s="362" t="s">
        <v>278</v>
      </c>
      <c r="B218" s="362" t="s">
        <v>2605</v>
      </c>
      <c r="C218" s="362"/>
      <c r="D218" s="362"/>
      <c r="E218" s="362"/>
      <c r="F218" s="362">
        <v>2040</v>
      </c>
      <c r="G218" s="370"/>
    </row>
    <row r="219" s="347" customFormat="1" ht="14.25" customHeight="1" spans="1:7">
      <c r="A219" s="362" t="s">
        <v>278</v>
      </c>
      <c r="B219" s="362" t="s">
        <v>2612</v>
      </c>
      <c r="C219" s="362"/>
      <c r="D219" s="362"/>
      <c r="E219" s="362"/>
      <c r="F219" s="362">
        <v>2040</v>
      </c>
      <c r="G219" s="370"/>
    </row>
    <row r="220" s="347" customFormat="1" ht="14.25" customHeight="1" spans="1:7">
      <c r="A220" s="362" t="s">
        <v>278</v>
      </c>
      <c r="B220" s="362" t="s">
        <v>2619</v>
      </c>
      <c r="C220" s="362"/>
      <c r="D220" s="362"/>
      <c r="E220" s="362"/>
      <c r="F220" s="362">
        <v>2040</v>
      </c>
      <c r="G220" s="370"/>
    </row>
    <row r="221" s="347" customFormat="1" ht="14.25" customHeight="1" spans="1:7">
      <c r="A221" s="362" t="s">
        <v>278</v>
      </c>
      <c r="B221" s="362" t="s">
        <v>2626</v>
      </c>
      <c r="C221" s="362"/>
      <c r="D221" s="362"/>
      <c r="E221" s="362"/>
      <c r="F221" s="362">
        <v>2040</v>
      </c>
      <c r="G221" s="370"/>
    </row>
    <row r="222" s="347" customFormat="1" ht="14.25" customHeight="1" spans="1:7">
      <c r="A222" s="362" t="s">
        <v>278</v>
      </c>
      <c r="B222" s="362" t="s">
        <v>2631</v>
      </c>
      <c r="C222" s="362"/>
      <c r="D222" s="362"/>
      <c r="E222" s="362"/>
      <c r="F222" s="362">
        <v>2040</v>
      </c>
      <c r="G222" s="370"/>
    </row>
    <row r="223" s="347" customFormat="1" ht="14.25" customHeight="1" spans="1:7">
      <c r="A223" s="362" t="s">
        <v>278</v>
      </c>
      <c r="B223" s="362" t="s">
        <v>2636</v>
      </c>
      <c r="C223" s="362"/>
      <c r="D223" s="362"/>
      <c r="E223" s="362"/>
      <c r="F223" s="362">
        <v>1930</v>
      </c>
      <c r="G223" s="370"/>
    </row>
    <row r="224" s="347" customFormat="1" ht="14.25" customHeight="1" spans="1:7">
      <c r="A224" s="362" t="s">
        <v>278</v>
      </c>
      <c r="B224" s="362" t="s">
        <v>2641</v>
      </c>
      <c r="C224" s="362"/>
      <c r="D224" s="362"/>
      <c r="E224" s="362"/>
      <c r="F224" s="362">
        <v>1930</v>
      </c>
      <c r="G224" s="370"/>
    </row>
    <row r="225" s="347" customFormat="1" ht="14.25" customHeight="1" spans="1:7">
      <c r="A225" s="362" t="s">
        <v>278</v>
      </c>
      <c r="B225" s="362" t="s">
        <v>2646</v>
      </c>
      <c r="C225" s="362"/>
      <c r="D225" s="362"/>
      <c r="E225" s="362"/>
      <c r="F225" s="362">
        <v>1930</v>
      </c>
      <c r="G225" s="370"/>
    </row>
    <row r="226" s="347" customFormat="1" ht="14.25" customHeight="1" spans="1:7">
      <c r="A226" s="362" t="s">
        <v>278</v>
      </c>
      <c r="B226" s="362" t="s">
        <v>2651</v>
      </c>
      <c r="C226" s="362"/>
      <c r="D226" s="362"/>
      <c r="E226" s="362"/>
      <c r="F226" s="362">
        <v>1700</v>
      </c>
      <c r="G226" s="370"/>
    </row>
    <row r="227" s="347" customFormat="1" ht="14.25" customHeight="1" spans="1:7">
      <c r="A227" s="362" t="s">
        <v>278</v>
      </c>
      <c r="B227" s="362" t="s">
        <v>2656</v>
      </c>
      <c r="C227" s="362"/>
      <c r="D227" s="362"/>
      <c r="E227" s="362"/>
      <c r="F227" s="362">
        <v>1520</v>
      </c>
      <c r="G227" s="370"/>
    </row>
    <row r="228" s="347" customFormat="1" ht="14.25" customHeight="1" spans="1:7">
      <c r="A228" s="362" t="s">
        <v>278</v>
      </c>
      <c r="B228" s="362" t="s">
        <v>2661</v>
      </c>
      <c r="C228" s="362"/>
      <c r="D228" s="362"/>
      <c r="E228" s="362"/>
      <c r="F228" s="362">
        <v>1520</v>
      </c>
      <c r="G228" s="370"/>
    </row>
    <row r="229" s="347" customFormat="1" ht="14.25" customHeight="1" spans="1:7">
      <c r="A229" s="362" t="s">
        <v>278</v>
      </c>
      <c r="B229" s="362" t="s">
        <v>2666</v>
      </c>
      <c r="C229" s="362"/>
      <c r="D229" s="362"/>
      <c r="E229" s="362"/>
      <c r="F229" s="362">
        <v>1520</v>
      </c>
      <c r="G229" s="370"/>
    </row>
    <row r="230" s="347" customFormat="1" ht="14.25" customHeight="1" spans="1:7">
      <c r="A230" s="362" t="s">
        <v>278</v>
      </c>
      <c r="B230" s="362" t="s">
        <v>2670</v>
      </c>
      <c r="C230" s="362"/>
      <c r="D230" s="362"/>
      <c r="E230" s="362"/>
      <c r="F230" s="362">
        <v>1820</v>
      </c>
      <c r="G230" s="370"/>
    </row>
    <row r="231" s="347" customFormat="1" ht="14.25" customHeight="1" spans="1:7">
      <c r="A231" s="362" t="s">
        <v>278</v>
      </c>
      <c r="B231" s="362" t="s">
        <v>2674</v>
      </c>
      <c r="C231" s="362"/>
      <c r="D231" s="362"/>
      <c r="E231" s="362"/>
      <c r="F231" s="362">
        <v>1760</v>
      </c>
      <c r="G231" s="370"/>
    </row>
    <row r="232" s="347" customFormat="1" ht="14.25" customHeight="1" spans="1:7">
      <c r="A232" s="362" t="s">
        <v>278</v>
      </c>
      <c r="B232" s="362" t="s">
        <v>2678</v>
      </c>
      <c r="C232" s="362"/>
      <c r="D232" s="362"/>
      <c r="E232" s="362"/>
      <c r="F232" s="362">
        <v>1840</v>
      </c>
      <c r="G232" s="370"/>
    </row>
    <row r="233" s="347" customFormat="1" ht="14.25" customHeight="1" spans="1:7">
      <c r="A233" s="371" t="s">
        <v>278</v>
      </c>
      <c r="B233" s="366" t="s">
        <v>2682</v>
      </c>
      <c r="C233" s="366"/>
      <c r="D233" s="366"/>
      <c r="E233" s="366"/>
      <c r="F233" s="366">
        <v>1770</v>
      </c>
      <c r="G233" s="372"/>
    </row>
    <row r="234" s="347" customFormat="1" ht="14.25" customHeight="1" spans="1:7">
      <c r="A234" s="360" t="s">
        <v>284</v>
      </c>
      <c r="B234" s="361" t="s">
        <v>2334</v>
      </c>
      <c r="C234" s="362">
        <v>6980</v>
      </c>
      <c r="D234" s="362">
        <v>6970</v>
      </c>
      <c r="E234" s="362">
        <v>8720</v>
      </c>
      <c r="F234" s="362">
        <v>1350</v>
      </c>
      <c r="G234" s="362">
        <v>4280</v>
      </c>
    </row>
    <row r="235" s="347" customFormat="1" ht="14.25" customHeight="1" spans="1:7">
      <c r="A235" s="362" t="s">
        <v>284</v>
      </c>
      <c r="B235" s="362" t="s">
        <v>2347</v>
      </c>
      <c r="C235" s="362">
        <v>7620</v>
      </c>
      <c r="D235" s="362">
        <v>7580</v>
      </c>
      <c r="E235" s="362">
        <v>9360</v>
      </c>
      <c r="F235" s="362">
        <v>1490</v>
      </c>
      <c r="G235" s="362">
        <v>4650</v>
      </c>
    </row>
    <row r="236" s="347" customFormat="1" ht="14.25" customHeight="1" spans="1:7">
      <c r="A236" s="362" t="s">
        <v>284</v>
      </c>
      <c r="B236" s="362" t="s">
        <v>2361</v>
      </c>
      <c r="C236" s="362">
        <v>6650</v>
      </c>
      <c r="D236" s="362">
        <v>6630</v>
      </c>
      <c r="E236" s="362">
        <v>8330</v>
      </c>
      <c r="F236" s="362">
        <v>1250</v>
      </c>
      <c r="G236" s="362">
        <v>4070</v>
      </c>
    </row>
    <row r="237" s="347" customFormat="1" ht="14.25" customHeight="1" spans="1:7">
      <c r="A237" s="362" t="s">
        <v>284</v>
      </c>
      <c r="B237" s="362" t="s">
        <v>2373</v>
      </c>
      <c r="C237" s="362">
        <v>5850</v>
      </c>
      <c r="D237" s="362">
        <v>5820</v>
      </c>
      <c r="E237" s="362">
        <v>7260</v>
      </c>
      <c r="F237" s="362">
        <v>1140</v>
      </c>
      <c r="G237" s="362">
        <v>3570</v>
      </c>
    </row>
    <row r="238" s="347" customFormat="1" ht="14.25" customHeight="1" spans="1:7">
      <c r="A238" s="362" t="s">
        <v>284</v>
      </c>
      <c r="B238" s="362" t="s">
        <v>2385</v>
      </c>
      <c r="C238" s="362">
        <v>6920</v>
      </c>
      <c r="D238" s="362">
        <v>6890</v>
      </c>
      <c r="E238" s="362">
        <v>8640</v>
      </c>
      <c r="F238" s="362">
        <v>1310</v>
      </c>
      <c r="G238" s="362">
        <v>4230</v>
      </c>
    </row>
    <row r="239" s="347" customFormat="1" ht="14.25" customHeight="1" spans="1:7">
      <c r="A239" s="362" t="s">
        <v>284</v>
      </c>
      <c r="B239" s="362" t="s">
        <v>2396</v>
      </c>
      <c r="C239" s="362">
        <v>6780</v>
      </c>
      <c r="D239" s="362">
        <v>6750</v>
      </c>
      <c r="E239" s="362">
        <v>8440</v>
      </c>
      <c r="F239" s="362">
        <v>1160</v>
      </c>
      <c r="G239" s="362">
        <v>4140</v>
      </c>
    </row>
    <row r="240" s="347" customFormat="1" ht="14.25" customHeight="1" spans="1:7">
      <c r="A240" s="362" t="s">
        <v>284</v>
      </c>
      <c r="B240" s="362" t="s">
        <v>2407</v>
      </c>
      <c r="C240" s="362">
        <v>5420</v>
      </c>
      <c r="D240" s="362">
        <v>5380</v>
      </c>
      <c r="E240" s="362">
        <v>6640</v>
      </c>
      <c r="F240" s="362">
        <v>1020</v>
      </c>
      <c r="G240" s="362">
        <v>3300</v>
      </c>
    </row>
    <row r="241" s="347" customFormat="1" ht="14.25" customHeight="1" spans="1:7">
      <c r="A241" s="362" t="s">
        <v>284</v>
      </c>
      <c r="B241" s="362" t="s">
        <v>2418</v>
      </c>
      <c r="C241" s="362">
        <v>6660</v>
      </c>
      <c r="D241" s="362">
        <v>6640</v>
      </c>
      <c r="E241" s="362">
        <v>8340</v>
      </c>
      <c r="F241" s="362">
        <v>1130</v>
      </c>
      <c r="G241" s="362">
        <v>4080</v>
      </c>
    </row>
    <row r="242" s="347" customFormat="1" ht="14.25" customHeight="1" spans="1:7">
      <c r="A242" s="362" t="s">
        <v>284</v>
      </c>
      <c r="B242" s="362" t="s">
        <v>2428</v>
      </c>
      <c r="C242" s="362">
        <v>6580</v>
      </c>
      <c r="D242" s="362">
        <v>6550</v>
      </c>
      <c r="E242" s="362">
        <v>8090</v>
      </c>
      <c r="F242" s="362">
        <v>1240</v>
      </c>
      <c r="G242" s="362">
        <v>4020</v>
      </c>
    </row>
    <row r="243" s="347" customFormat="1" ht="14.25" customHeight="1" spans="1:7">
      <c r="A243" s="362" t="s">
        <v>284</v>
      </c>
      <c r="B243" s="362" t="s">
        <v>2438</v>
      </c>
      <c r="C243" s="362">
        <v>6000</v>
      </c>
      <c r="D243" s="362">
        <v>5970</v>
      </c>
      <c r="E243" s="362">
        <v>7370</v>
      </c>
      <c r="F243" s="362">
        <v>1070</v>
      </c>
      <c r="G243" s="362">
        <v>3670</v>
      </c>
    </row>
    <row r="244" s="347" customFormat="1" ht="14.25" customHeight="1" spans="1:7">
      <c r="A244" s="362" t="s">
        <v>284</v>
      </c>
      <c r="B244" s="362" t="s">
        <v>2448</v>
      </c>
      <c r="C244" s="362">
        <v>5840</v>
      </c>
      <c r="D244" s="362">
        <v>5810</v>
      </c>
      <c r="E244" s="362">
        <v>7240</v>
      </c>
      <c r="F244" s="362">
        <v>1100</v>
      </c>
      <c r="G244" s="362">
        <v>3560</v>
      </c>
    </row>
    <row r="245" s="347" customFormat="1" ht="14.25" customHeight="1" spans="1:7">
      <c r="A245" s="362" t="s">
        <v>284</v>
      </c>
      <c r="B245" s="362" t="s">
        <v>2457</v>
      </c>
      <c r="C245" s="362">
        <v>6040</v>
      </c>
      <c r="D245" s="362">
        <v>6000</v>
      </c>
      <c r="E245" s="362">
        <v>7420</v>
      </c>
      <c r="F245" s="362">
        <v>1140</v>
      </c>
      <c r="G245" s="362">
        <v>3690</v>
      </c>
    </row>
    <row r="246" s="347" customFormat="1" ht="14.25" customHeight="1" spans="1:7">
      <c r="A246" s="362" t="s">
        <v>284</v>
      </c>
      <c r="B246" s="362" t="s">
        <v>2467</v>
      </c>
      <c r="C246" s="362">
        <v>5890</v>
      </c>
      <c r="D246" s="362">
        <v>5860</v>
      </c>
      <c r="E246" s="362">
        <v>7300</v>
      </c>
      <c r="F246" s="362">
        <v>1110</v>
      </c>
      <c r="G246" s="362">
        <v>3590</v>
      </c>
    </row>
    <row r="247" s="347" customFormat="1" ht="14.25" customHeight="1" spans="1:7">
      <c r="A247" s="362" t="s">
        <v>284</v>
      </c>
      <c r="B247" s="362" t="s">
        <v>2477</v>
      </c>
      <c r="C247" s="362">
        <v>6480</v>
      </c>
      <c r="D247" s="362">
        <v>6450</v>
      </c>
      <c r="E247" s="362">
        <v>8010</v>
      </c>
      <c r="F247" s="362">
        <v>1170</v>
      </c>
      <c r="G247" s="362">
        <v>3960</v>
      </c>
    </row>
    <row r="248" s="347" customFormat="1" ht="14.25" customHeight="1" spans="1:7">
      <c r="A248" s="362" t="s">
        <v>284</v>
      </c>
      <c r="B248" s="362" t="s">
        <v>2487</v>
      </c>
      <c r="C248" s="362">
        <v>6860</v>
      </c>
      <c r="D248" s="362">
        <v>6840</v>
      </c>
      <c r="E248" s="362">
        <v>8520</v>
      </c>
      <c r="F248" s="362">
        <v>1240</v>
      </c>
      <c r="G248" s="362">
        <v>4200</v>
      </c>
    </row>
    <row r="249" s="347" customFormat="1" ht="14.25" customHeight="1" spans="1:7">
      <c r="A249" s="362" t="s">
        <v>284</v>
      </c>
      <c r="B249" s="362" t="s">
        <v>2497</v>
      </c>
      <c r="C249" s="362">
        <v>7180</v>
      </c>
      <c r="D249" s="362">
        <v>7140</v>
      </c>
      <c r="E249" s="362">
        <v>8900</v>
      </c>
      <c r="F249" s="362">
        <v>1350</v>
      </c>
      <c r="G249" s="362">
        <v>4380</v>
      </c>
    </row>
    <row r="250" s="347" customFormat="1" ht="14.25" customHeight="1" spans="1:7">
      <c r="A250" s="362" t="s">
        <v>284</v>
      </c>
      <c r="B250" s="362" t="s">
        <v>2507</v>
      </c>
      <c r="C250" s="362">
        <v>6880</v>
      </c>
      <c r="D250" s="362">
        <v>6860</v>
      </c>
      <c r="E250" s="362">
        <v>8550</v>
      </c>
      <c r="F250" s="362">
        <v>1220</v>
      </c>
      <c r="G250" s="362">
        <v>4210</v>
      </c>
    </row>
    <row r="251" s="347" customFormat="1" ht="14.25" customHeight="1" spans="1:7">
      <c r="A251" s="362" t="s">
        <v>284</v>
      </c>
      <c r="B251" s="362" t="s">
        <v>2517</v>
      </c>
      <c r="C251" s="362"/>
      <c r="D251" s="362"/>
      <c r="E251" s="362"/>
      <c r="F251" s="362">
        <v>1100</v>
      </c>
      <c r="G251" s="362"/>
    </row>
    <row r="252" s="347" customFormat="1" ht="14.25" customHeight="1" spans="1:7">
      <c r="A252" s="362" t="s">
        <v>284</v>
      </c>
      <c r="B252" s="362" t="s">
        <v>2527</v>
      </c>
      <c r="C252" s="362">
        <v>7240</v>
      </c>
      <c r="D252" s="362">
        <v>7200</v>
      </c>
      <c r="E252" s="362">
        <v>9040</v>
      </c>
      <c r="F252" s="362">
        <v>1380</v>
      </c>
      <c r="G252" s="362">
        <v>4420</v>
      </c>
    </row>
    <row r="253" s="347" customFormat="1" ht="14.25" customHeight="1" spans="1:7">
      <c r="A253" s="362" t="s">
        <v>284</v>
      </c>
      <c r="B253" s="362" t="s">
        <v>2537</v>
      </c>
      <c r="C253" s="362">
        <v>6670</v>
      </c>
      <c r="D253" s="362">
        <v>6650</v>
      </c>
      <c r="E253" s="362">
        <v>8350</v>
      </c>
      <c r="F253" s="362">
        <v>1260</v>
      </c>
      <c r="G253" s="362">
        <v>4080</v>
      </c>
    </row>
    <row r="254" s="347" customFormat="1" ht="14.25" customHeight="1" spans="1:7">
      <c r="A254" s="362" t="s">
        <v>284</v>
      </c>
      <c r="B254" s="362" t="s">
        <v>2546</v>
      </c>
      <c r="C254" s="362">
        <v>7630</v>
      </c>
      <c r="D254" s="362">
        <v>7590</v>
      </c>
      <c r="E254" s="362">
        <v>9380</v>
      </c>
      <c r="F254" s="362">
        <v>1320</v>
      </c>
      <c r="G254" s="362">
        <v>4660</v>
      </c>
    </row>
    <row r="255" s="347" customFormat="1" ht="14.25" customHeight="1" spans="1:7">
      <c r="A255" s="362" t="s">
        <v>284</v>
      </c>
      <c r="B255" s="362" t="s">
        <v>2554</v>
      </c>
      <c r="C255" s="362">
        <v>6940</v>
      </c>
      <c r="D255" s="362">
        <v>6890</v>
      </c>
      <c r="E255" s="362">
        <v>8650</v>
      </c>
      <c r="F255" s="362">
        <v>1210</v>
      </c>
      <c r="G255" s="362">
        <v>4230</v>
      </c>
    </row>
    <row r="256" s="347" customFormat="1" ht="14.25" customHeight="1" spans="1:7">
      <c r="A256" s="362" t="s">
        <v>284</v>
      </c>
      <c r="B256" s="362" t="s">
        <v>2562</v>
      </c>
      <c r="C256" s="362">
        <v>7520</v>
      </c>
      <c r="D256" s="362">
        <v>7490</v>
      </c>
      <c r="E256" s="362">
        <v>9240</v>
      </c>
      <c r="F256" s="362">
        <v>1270</v>
      </c>
      <c r="G256" s="362">
        <v>4590</v>
      </c>
    </row>
    <row r="257" s="347" customFormat="1" ht="14.25" customHeight="1" spans="1:7">
      <c r="A257" s="362" t="s">
        <v>284</v>
      </c>
      <c r="B257" s="362" t="s">
        <v>2570</v>
      </c>
      <c r="C257" s="362">
        <v>6280</v>
      </c>
      <c r="D257" s="362">
        <v>6230</v>
      </c>
      <c r="E257" s="362">
        <v>7740</v>
      </c>
      <c r="F257" s="362">
        <v>1080</v>
      </c>
      <c r="G257" s="362">
        <v>3830</v>
      </c>
    </row>
    <row r="258" s="347" customFormat="1" ht="14.25" customHeight="1" spans="1:7">
      <c r="A258" s="362" t="s">
        <v>284</v>
      </c>
      <c r="B258" s="362" t="s">
        <v>2578</v>
      </c>
      <c r="C258" s="362">
        <v>6190</v>
      </c>
      <c r="D258" s="362">
        <v>6160</v>
      </c>
      <c r="E258" s="362">
        <v>7680</v>
      </c>
      <c r="F258" s="362">
        <v>1170</v>
      </c>
      <c r="G258" s="362">
        <v>3780</v>
      </c>
    </row>
    <row r="259" s="347" customFormat="1" ht="14.25" customHeight="1" spans="1:7">
      <c r="A259" s="362" t="s">
        <v>284</v>
      </c>
      <c r="B259" s="362" t="s">
        <v>2585</v>
      </c>
      <c r="C259" s="362">
        <v>7610</v>
      </c>
      <c r="D259" s="362">
        <v>7570</v>
      </c>
      <c r="E259" s="362">
        <v>9350</v>
      </c>
      <c r="F259" s="362">
        <v>1350</v>
      </c>
      <c r="G259" s="362">
        <v>4650</v>
      </c>
    </row>
    <row r="260" s="347" customFormat="1" ht="14.25" customHeight="1" spans="1:7">
      <c r="A260" s="362" t="s">
        <v>284</v>
      </c>
      <c r="B260" s="362" t="s">
        <v>2592</v>
      </c>
      <c r="C260" s="362">
        <v>6920</v>
      </c>
      <c r="D260" s="362">
        <v>6880</v>
      </c>
      <c r="E260" s="362">
        <v>8380</v>
      </c>
      <c r="F260" s="362">
        <v>1160</v>
      </c>
      <c r="G260" s="362">
        <v>4220</v>
      </c>
    </row>
    <row r="261" s="347" customFormat="1" ht="14.25" customHeight="1" spans="1:7">
      <c r="A261" s="362" t="s">
        <v>284</v>
      </c>
      <c r="B261" s="362" t="s">
        <v>2599</v>
      </c>
      <c r="C261" s="362">
        <v>6850</v>
      </c>
      <c r="D261" s="362">
        <v>6810</v>
      </c>
      <c r="E261" s="362">
        <v>8290</v>
      </c>
      <c r="F261" s="362">
        <v>1130</v>
      </c>
      <c r="G261" s="362">
        <v>4180</v>
      </c>
    </row>
    <row r="262" s="347" customFormat="1" ht="14.25" customHeight="1" spans="1:7">
      <c r="A262" s="362" t="s">
        <v>284</v>
      </c>
      <c r="B262" s="362" t="s">
        <v>2606</v>
      </c>
      <c r="C262" s="362">
        <v>5860</v>
      </c>
      <c r="D262" s="362">
        <v>5820</v>
      </c>
      <c r="E262" s="362">
        <v>7640</v>
      </c>
      <c r="F262" s="362">
        <v>1070</v>
      </c>
      <c r="G262" s="362">
        <v>3570</v>
      </c>
    </row>
    <row r="263" s="347" customFormat="1" ht="14.25" customHeight="1" spans="1:7">
      <c r="A263" s="362" t="s">
        <v>284</v>
      </c>
      <c r="B263" s="362" t="s">
        <v>2613</v>
      </c>
      <c r="C263" s="362">
        <v>5870</v>
      </c>
      <c r="D263" s="362">
        <v>5840</v>
      </c>
      <c r="E263" s="362">
        <v>7270</v>
      </c>
      <c r="F263" s="362">
        <v>1190</v>
      </c>
      <c r="G263" s="362">
        <v>3580</v>
      </c>
    </row>
    <row r="264" s="347" customFormat="1" ht="14.25" customHeight="1" spans="1:7">
      <c r="A264" s="362" t="s">
        <v>284</v>
      </c>
      <c r="B264" s="362" t="s">
        <v>2620</v>
      </c>
      <c r="C264" s="362">
        <v>6190</v>
      </c>
      <c r="D264" s="362">
        <v>6150</v>
      </c>
      <c r="E264" s="362">
        <v>7660</v>
      </c>
      <c r="F264" s="362">
        <v>1160</v>
      </c>
      <c r="G264" s="362">
        <v>3770</v>
      </c>
    </row>
    <row r="265" s="347" customFormat="1" ht="14.25" customHeight="1" spans="1:7">
      <c r="A265" s="362" t="s">
        <v>284</v>
      </c>
      <c r="B265" s="362" t="s">
        <v>2627</v>
      </c>
      <c r="C265" s="362"/>
      <c r="D265" s="362"/>
      <c r="E265" s="362"/>
      <c r="F265" s="362">
        <v>1500</v>
      </c>
      <c r="G265" s="362"/>
    </row>
    <row r="266" s="347" customFormat="1" ht="14.25" customHeight="1" spans="1:7">
      <c r="A266" s="362" t="s">
        <v>284</v>
      </c>
      <c r="B266" s="362" t="s">
        <v>2632</v>
      </c>
      <c r="C266" s="362"/>
      <c r="D266" s="362"/>
      <c r="E266" s="362"/>
      <c r="F266" s="362">
        <v>1500</v>
      </c>
      <c r="G266" s="362"/>
    </row>
    <row r="267" s="347" customFormat="1" ht="14.25" customHeight="1" spans="1:7">
      <c r="A267" s="362" t="s">
        <v>284</v>
      </c>
      <c r="B267" s="362" t="s">
        <v>2637</v>
      </c>
      <c r="C267" s="362"/>
      <c r="D267" s="362"/>
      <c r="E267" s="362"/>
      <c r="F267" s="362">
        <v>1500</v>
      </c>
      <c r="G267" s="362"/>
    </row>
    <row r="268" s="347" customFormat="1" ht="14.25" customHeight="1" spans="1:7">
      <c r="A268" s="362" t="s">
        <v>284</v>
      </c>
      <c r="B268" s="362" t="s">
        <v>2642</v>
      </c>
      <c r="C268" s="362"/>
      <c r="D268" s="362"/>
      <c r="E268" s="362"/>
      <c r="F268" s="362">
        <v>1290</v>
      </c>
      <c r="G268" s="362"/>
    </row>
    <row r="269" s="347" customFormat="1" ht="14.25" customHeight="1" spans="1:7">
      <c r="A269" s="362" t="s">
        <v>284</v>
      </c>
      <c r="B269" s="362" t="s">
        <v>2647</v>
      </c>
      <c r="C269" s="362"/>
      <c r="D269" s="362"/>
      <c r="E269" s="362"/>
      <c r="F269" s="362">
        <v>1150</v>
      </c>
      <c r="G269" s="362"/>
    </row>
    <row r="270" s="347" customFormat="1" ht="14.25" customHeight="1" spans="1:7">
      <c r="A270" s="362" t="s">
        <v>284</v>
      </c>
      <c r="B270" s="362" t="s">
        <v>2652</v>
      </c>
      <c r="C270" s="362"/>
      <c r="D270" s="362"/>
      <c r="E270" s="362"/>
      <c r="F270" s="362">
        <v>1380</v>
      </c>
      <c r="G270" s="362"/>
    </row>
    <row r="271" s="347" customFormat="1" ht="14.25" customHeight="1" spans="1:7">
      <c r="A271" s="362" t="s">
        <v>284</v>
      </c>
      <c r="B271" s="362" t="s">
        <v>2657</v>
      </c>
      <c r="C271" s="362"/>
      <c r="D271" s="362"/>
      <c r="E271" s="362"/>
      <c r="F271" s="362">
        <v>1460</v>
      </c>
      <c r="G271" s="362"/>
    </row>
    <row r="272" s="347" customFormat="1" ht="14.25" customHeight="1" spans="1:7">
      <c r="A272" s="362" t="s">
        <v>284</v>
      </c>
      <c r="B272" s="362" t="s">
        <v>2662</v>
      </c>
      <c r="C272" s="362"/>
      <c r="D272" s="362"/>
      <c r="E272" s="362"/>
      <c r="F272" s="362">
        <v>1460</v>
      </c>
      <c r="G272" s="362"/>
    </row>
    <row r="273" s="347" customFormat="1" ht="14.25" customHeight="1" spans="1:7">
      <c r="A273" s="362" t="s">
        <v>284</v>
      </c>
      <c r="B273" s="362" t="s">
        <v>2667</v>
      </c>
      <c r="C273" s="362"/>
      <c r="D273" s="362"/>
      <c r="E273" s="362"/>
      <c r="F273" s="362">
        <v>1490</v>
      </c>
      <c r="G273" s="362"/>
    </row>
    <row r="274" s="347" customFormat="1" ht="14.25" customHeight="1" spans="1:7">
      <c r="A274" s="362" t="s">
        <v>284</v>
      </c>
      <c r="B274" s="362" t="s">
        <v>2671</v>
      </c>
      <c r="C274" s="362"/>
      <c r="D274" s="362"/>
      <c r="E274" s="362"/>
      <c r="F274" s="362">
        <v>1490</v>
      </c>
      <c r="G274" s="362"/>
    </row>
    <row r="275" s="347" customFormat="1" ht="14.25" customHeight="1" spans="1:7">
      <c r="A275" s="362" t="s">
        <v>284</v>
      </c>
      <c r="B275" s="362" t="s">
        <v>2675</v>
      </c>
      <c r="C275" s="362"/>
      <c r="D275" s="362"/>
      <c r="E275" s="362"/>
      <c r="F275" s="362">
        <v>1220</v>
      </c>
      <c r="G275" s="362"/>
    </row>
    <row r="276" s="347" customFormat="1" ht="14.25" customHeight="1" spans="1:7">
      <c r="A276" s="364" t="s">
        <v>284</v>
      </c>
      <c r="B276" s="367" t="s">
        <v>2679</v>
      </c>
      <c r="C276" s="368"/>
      <c r="D276" s="368"/>
      <c r="E276" s="368"/>
      <c r="F276" s="368">
        <v>1380</v>
      </c>
      <c r="G276" s="368"/>
    </row>
    <row r="277" s="347" customFormat="1" ht="14.25" customHeight="1" spans="1:7">
      <c r="A277" s="360" t="s">
        <v>288</v>
      </c>
      <c r="B277" s="361" t="s">
        <v>2335</v>
      </c>
      <c r="C277" s="361">
        <v>5790</v>
      </c>
      <c r="D277" s="361">
        <v>5740</v>
      </c>
      <c r="E277" s="361">
        <v>6730</v>
      </c>
      <c r="F277" s="361">
        <v>1110</v>
      </c>
      <c r="G277" s="369">
        <v>3460</v>
      </c>
    </row>
    <row r="278" s="347" customFormat="1" ht="14.25" customHeight="1" spans="1:7">
      <c r="A278" s="362" t="s">
        <v>288</v>
      </c>
      <c r="B278" s="362" t="s">
        <v>2348</v>
      </c>
      <c r="C278" s="362">
        <v>5740</v>
      </c>
      <c r="D278" s="362">
        <v>5670</v>
      </c>
      <c r="E278" s="362">
        <v>6680</v>
      </c>
      <c r="F278" s="362">
        <v>1070</v>
      </c>
      <c r="G278" s="370">
        <v>3420</v>
      </c>
    </row>
    <row r="279" s="347" customFormat="1" ht="14.25" customHeight="1" spans="1:7">
      <c r="A279" s="362" t="s">
        <v>288</v>
      </c>
      <c r="B279" s="362" t="s">
        <v>2362</v>
      </c>
      <c r="C279" s="362">
        <v>4760</v>
      </c>
      <c r="D279" s="362">
        <v>4720</v>
      </c>
      <c r="E279" s="362">
        <v>5540</v>
      </c>
      <c r="F279" s="362">
        <v>810</v>
      </c>
      <c r="G279" s="370">
        <v>2850</v>
      </c>
    </row>
    <row r="280" s="347" customFormat="1" ht="14.25" customHeight="1" spans="1:7">
      <c r="A280" s="362" t="s">
        <v>288</v>
      </c>
      <c r="B280" s="362" t="s">
        <v>2374</v>
      </c>
      <c r="C280" s="362">
        <v>4010</v>
      </c>
      <c r="D280" s="362">
        <v>3950</v>
      </c>
      <c r="E280" s="362">
        <v>4710</v>
      </c>
      <c r="F280" s="362">
        <v>800</v>
      </c>
      <c r="G280" s="370">
        <v>2390</v>
      </c>
    </row>
    <row r="281" s="347" customFormat="1" ht="14.25" customHeight="1" spans="1:7">
      <c r="A281" s="362" t="s">
        <v>288</v>
      </c>
      <c r="B281" s="362" t="s">
        <v>2386</v>
      </c>
      <c r="C281" s="362">
        <v>4480</v>
      </c>
      <c r="D281" s="362">
        <v>4420</v>
      </c>
      <c r="E281" s="362">
        <v>5230</v>
      </c>
      <c r="F281" s="362">
        <v>870</v>
      </c>
      <c r="G281" s="370">
        <v>2660</v>
      </c>
    </row>
    <row r="282" s="347" customFormat="1" ht="14.25" customHeight="1" spans="1:7">
      <c r="A282" s="362" t="s">
        <v>288</v>
      </c>
      <c r="B282" s="362" t="s">
        <v>2397</v>
      </c>
      <c r="C282" s="362">
        <v>5360</v>
      </c>
      <c r="D282" s="362">
        <v>5300</v>
      </c>
      <c r="E282" s="362">
        <v>6190</v>
      </c>
      <c r="F282" s="362">
        <v>950</v>
      </c>
      <c r="G282" s="370">
        <v>3190</v>
      </c>
    </row>
    <row r="283" s="347" customFormat="1" ht="14.25" customHeight="1" spans="1:7">
      <c r="A283" s="362" t="s">
        <v>288</v>
      </c>
      <c r="B283" s="362" t="s">
        <v>2408</v>
      </c>
      <c r="C283" s="362">
        <v>4950</v>
      </c>
      <c r="D283" s="362">
        <v>4900</v>
      </c>
      <c r="E283" s="362">
        <v>5720</v>
      </c>
      <c r="F283" s="362">
        <v>920</v>
      </c>
      <c r="G283" s="370">
        <v>2950</v>
      </c>
    </row>
    <row r="284" s="347" customFormat="1" ht="14.25" customHeight="1" spans="1:7">
      <c r="A284" s="362" t="s">
        <v>288</v>
      </c>
      <c r="B284" s="362" t="s">
        <v>2419</v>
      </c>
      <c r="C284" s="362">
        <v>5610</v>
      </c>
      <c r="D284" s="362">
        <v>5560</v>
      </c>
      <c r="E284" s="362">
        <v>6520</v>
      </c>
      <c r="F284" s="362">
        <v>1030</v>
      </c>
      <c r="G284" s="370">
        <v>3360</v>
      </c>
    </row>
    <row r="285" s="347" customFormat="1" ht="14.25" customHeight="1" spans="1:7">
      <c r="A285" s="362" t="s">
        <v>288</v>
      </c>
      <c r="B285" s="362" t="s">
        <v>2429</v>
      </c>
      <c r="C285" s="362">
        <v>5340</v>
      </c>
      <c r="D285" s="362">
        <v>5290</v>
      </c>
      <c r="E285" s="362">
        <v>6170</v>
      </c>
      <c r="F285" s="362">
        <v>1080</v>
      </c>
      <c r="G285" s="370">
        <v>3180</v>
      </c>
    </row>
    <row r="286" s="347" customFormat="1" ht="14.25" customHeight="1" spans="1:7">
      <c r="A286" s="362" t="s">
        <v>288</v>
      </c>
      <c r="B286" s="362" t="s">
        <v>2439</v>
      </c>
      <c r="C286" s="362">
        <v>4890</v>
      </c>
      <c r="D286" s="362">
        <v>4840</v>
      </c>
      <c r="E286" s="362">
        <v>5640</v>
      </c>
      <c r="F286" s="362">
        <v>960</v>
      </c>
      <c r="G286" s="370">
        <v>2910</v>
      </c>
    </row>
    <row r="287" s="347" customFormat="1" ht="14.25" customHeight="1" spans="1:7">
      <c r="A287" s="362" t="s">
        <v>288</v>
      </c>
      <c r="B287" s="362" t="s">
        <v>2449</v>
      </c>
      <c r="C287" s="362">
        <v>4960</v>
      </c>
      <c r="D287" s="362">
        <v>4920</v>
      </c>
      <c r="E287" s="362">
        <v>5730</v>
      </c>
      <c r="F287" s="362">
        <v>930</v>
      </c>
      <c r="G287" s="370">
        <v>2960</v>
      </c>
    </row>
    <row r="288" s="347" customFormat="1" ht="14.25" customHeight="1" spans="1:7">
      <c r="A288" s="362" t="s">
        <v>288</v>
      </c>
      <c r="B288" s="362" t="s">
        <v>2458</v>
      </c>
      <c r="C288" s="362">
        <v>4350</v>
      </c>
      <c r="D288" s="362">
        <v>4300</v>
      </c>
      <c r="E288" s="362">
        <v>4900</v>
      </c>
      <c r="F288" s="362">
        <v>820</v>
      </c>
      <c r="G288" s="370">
        <v>2590</v>
      </c>
    </row>
    <row r="289" s="347" customFormat="1" ht="14.25" customHeight="1" spans="1:7">
      <c r="A289" s="362" t="s">
        <v>288</v>
      </c>
      <c r="B289" s="362" t="s">
        <v>2468</v>
      </c>
      <c r="C289" s="362">
        <v>5230</v>
      </c>
      <c r="D289" s="362">
        <v>5170</v>
      </c>
      <c r="E289" s="362">
        <v>6060</v>
      </c>
      <c r="F289" s="362">
        <v>900</v>
      </c>
      <c r="G289" s="370">
        <v>3120</v>
      </c>
    </row>
    <row r="290" s="347" customFormat="1" ht="14.25" customHeight="1" spans="1:7">
      <c r="A290" s="362" t="s">
        <v>288</v>
      </c>
      <c r="B290" s="362" t="s">
        <v>2478</v>
      </c>
      <c r="C290" s="362">
        <v>5550</v>
      </c>
      <c r="D290" s="362">
        <v>5500</v>
      </c>
      <c r="E290" s="362">
        <v>6440</v>
      </c>
      <c r="F290" s="362">
        <v>960</v>
      </c>
      <c r="G290" s="370">
        <v>3320</v>
      </c>
    </row>
    <row r="291" s="347" customFormat="1" ht="14.25" customHeight="1" spans="1:7">
      <c r="A291" s="362" t="s">
        <v>288</v>
      </c>
      <c r="B291" s="362" t="s">
        <v>2488</v>
      </c>
      <c r="C291" s="362">
        <v>5440</v>
      </c>
      <c r="D291" s="362">
        <v>5400</v>
      </c>
      <c r="E291" s="362">
        <v>6320</v>
      </c>
      <c r="F291" s="362">
        <v>930</v>
      </c>
      <c r="G291" s="370">
        <v>3250</v>
      </c>
    </row>
    <row r="292" s="347" customFormat="1" ht="14.25" customHeight="1" spans="1:7">
      <c r="A292" s="362" t="s">
        <v>288</v>
      </c>
      <c r="B292" s="362" t="s">
        <v>2498</v>
      </c>
      <c r="C292" s="362">
        <v>5400</v>
      </c>
      <c r="D292" s="362">
        <v>5360</v>
      </c>
      <c r="E292" s="362">
        <v>6270</v>
      </c>
      <c r="F292" s="362">
        <v>1040</v>
      </c>
      <c r="G292" s="370">
        <v>3230</v>
      </c>
    </row>
    <row r="293" s="347" customFormat="1" ht="14.25" customHeight="1" spans="1:7">
      <c r="A293" s="362" t="s">
        <v>288</v>
      </c>
      <c r="B293" s="362" t="s">
        <v>2508</v>
      </c>
      <c r="C293" s="362">
        <v>5320</v>
      </c>
      <c r="D293" s="362">
        <v>5270</v>
      </c>
      <c r="E293" s="362">
        <v>6160</v>
      </c>
      <c r="F293" s="362">
        <v>990</v>
      </c>
      <c r="G293" s="370">
        <v>3170</v>
      </c>
    </row>
    <row r="294" s="347" customFormat="1" ht="14.25" customHeight="1" spans="1:7">
      <c r="A294" s="362" t="s">
        <v>288</v>
      </c>
      <c r="B294" s="362" t="s">
        <v>2518</v>
      </c>
      <c r="C294" s="362">
        <v>5260</v>
      </c>
      <c r="D294" s="362">
        <v>5210</v>
      </c>
      <c r="E294" s="362">
        <v>6100</v>
      </c>
      <c r="F294" s="362">
        <v>950</v>
      </c>
      <c r="G294" s="370">
        <v>3150</v>
      </c>
    </row>
    <row r="295" s="347" customFormat="1" ht="14.25" customHeight="1" spans="1:7">
      <c r="A295" s="362" t="s">
        <v>288</v>
      </c>
      <c r="B295" s="362" t="s">
        <v>2528</v>
      </c>
      <c r="C295" s="362">
        <v>5610</v>
      </c>
      <c r="D295" s="362">
        <v>5570</v>
      </c>
      <c r="E295" s="362">
        <v>6530</v>
      </c>
      <c r="F295" s="362">
        <v>960</v>
      </c>
      <c r="G295" s="370">
        <v>3360</v>
      </c>
    </row>
    <row r="296" s="347" customFormat="1" ht="14.25" customHeight="1" spans="1:7">
      <c r="A296" s="362" t="s">
        <v>288</v>
      </c>
      <c r="B296" s="362" t="s">
        <v>2538</v>
      </c>
      <c r="C296" s="362">
        <v>5540</v>
      </c>
      <c r="D296" s="362">
        <v>5490</v>
      </c>
      <c r="E296" s="362">
        <v>6430</v>
      </c>
      <c r="F296" s="362">
        <v>980</v>
      </c>
      <c r="G296" s="370">
        <v>3310</v>
      </c>
    </row>
    <row r="297" s="347" customFormat="1" ht="14.25" customHeight="1" spans="1:7">
      <c r="A297" s="362" t="s">
        <v>288</v>
      </c>
      <c r="B297" s="362" t="s">
        <v>2547</v>
      </c>
      <c r="C297" s="362">
        <v>5480</v>
      </c>
      <c r="D297" s="362">
        <v>5420</v>
      </c>
      <c r="E297" s="362">
        <v>6370</v>
      </c>
      <c r="F297" s="362">
        <v>990</v>
      </c>
      <c r="G297" s="370">
        <v>3270</v>
      </c>
    </row>
    <row r="298" s="347" customFormat="1" ht="14.25" customHeight="1" spans="1:7">
      <c r="A298" s="362" t="s">
        <v>288</v>
      </c>
      <c r="B298" s="362" t="s">
        <v>2555</v>
      </c>
      <c r="C298" s="362">
        <v>5090</v>
      </c>
      <c r="D298" s="362">
        <v>5050</v>
      </c>
      <c r="E298" s="362">
        <v>5910</v>
      </c>
      <c r="F298" s="362">
        <v>900</v>
      </c>
      <c r="G298" s="370">
        <v>3040</v>
      </c>
    </row>
    <row r="299" s="347" customFormat="1" ht="14.25" customHeight="1" spans="1:7">
      <c r="A299" s="362" t="s">
        <v>288</v>
      </c>
      <c r="B299" s="376" t="s">
        <v>2563</v>
      </c>
      <c r="C299" s="362">
        <v>5430</v>
      </c>
      <c r="D299" s="362">
        <v>5380</v>
      </c>
      <c r="E299" s="362">
        <v>6280</v>
      </c>
      <c r="F299" s="362">
        <v>1000</v>
      </c>
      <c r="G299" s="370">
        <v>3240</v>
      </c>
    </row>
    <row r="300" s="347" customFormat="1" ht="14.25" customHeight="1" spans="1:7">
      <c r="A300" s="362" t="s">
        <v>288</v>
      </c>
      <c r="B300" s="376" t="s">
        <v>2571</v>
      </c>
      <c r="C300" s="362">
        <v>4740</v>
      </c>
      <c r="D300" s="362">
        <v>4680</v>
      </c>
      <c r="E300" s="362">
        <v>5450</v>
      </c>
      <c r="F300" s="362">
        <v>900</v>
      </c>
      <c r="G300" s="370">
        <v>2830</v>
      </c>
    </row>
    <row r="301" s="347" customFormat="1" ht="14.25" customHeight="1" spans="1:7">
      <c r="A301" s="362" t="s">
        <v>288</v>
      </c>
      <c r="B301" s="376" t="s">
        <v>2579</v>
      </c>
      <c r="C301" s="362">
        <v>4870</v>
      </c>
      <c r="D301" s="362">
        <v>4810</v>
      </c>
      <c r="E301" s="362">
        <v>5560</v>
      </c>
      <c r="F301" s="362">
        <v>990</v>
      </c>
      <c r="G301" s="370">
        <v>2910</v>
      </c>
    </row>
    <row r="302" s="347" customFormat="1" ht="14.25" customHeight="1" spans="1:7">
      <c r="A302" s="362" t="s">
        <v>288</v>
      </c>
      <c r="B302" s="362" t="s">
        <v>2586</v>
      </c>
      <c r="C302" s="362">
        <v>5520</v>
      </c>
      <c r="D302" s="362">
        <v>5470</v>
      </c>
      <c r="E302" s="362">
        <v>6410</v>
      </c>
      <c r="F302" s="362">
        <v>950</v>
      </c>
      <c r="G302" s="370">
        <v>3300</v>
      </c>
    </row>
    <row r="303" s="347" customFormat="1" ht="14.25" customHeight="1" spans="1:7">
      <c r="A303" s="362" t="s">
        <v>288</v>
      </c>
      <c r="B303" s="362" t="s">
        <v>2593</v>
      </c>
      <c r="C303" s="362">
        <v>5630</v>
      </c>
      <c r="D303" s="362">
        <v>5590</v>
      </c>
      <c r="E303" s="362">
        <v>6550</v>
      </c>
      <c r="F303" s="362">
        <v>1010</v>
      </c>
      <c r="G303" s="370">
        <v>3370</v>
      </c>
    </row>
    <row r="304" s="347" customFormat="1" ht="14.25" customHeight="1" spans="1:7">
      <c r="A304" s="362" t="s">
        <v>288</v>
      </c>
      <c r="B304" s="362" t="s">
        <v>2600</v>
      </c>
      <c r="C304" s="362">
        <v>5680</v>
      </c>
      <c r="D304" s="362">
        <v>5620</v>
      </c>
      <c r="E304" s="362">
        <v>6620</v>
      </c>
      <c r="F304" s="362">
        <v>1050</v>
      </c>
      <c r="G304" s="370">
        <v>3390</v>
      </c>
    </row>
    <row r="305" s="347" customFormat="1" ht="14.25" customHeight="1" spans="1:7">
      <c r="A305" s="362" t="s">
        <v>288</v>
      </c>
      <c r="B305" s="362" t="s">
        <v>2607</v>
      </c>
      <c r="C305" s="362">
        <v>5590</v>
      </c>
      <c r="D305" s="362">
        <v>5530</v>
      </c>
      <c r="E305" s="362">
        <v>6460</v>
      </c>
      <c r="F305" s="362">
        <v>900</v>
      </c>
      <c r="G305" s="370">
        <v>3340</v>
      </c>
    </row>
    <row r="306" s="347" customFormat="1" ht="14.25" customHeight="1" spans="1:7">
      <c r="A306" s="362" t="s">
        <v>288</v>
      </c>
      <c r="B306" s="362" t="s">
        <v>2614</v>
      </c>
      <c r="C306" s="362">
        <v>5560</v>
      </c>
      <c r="D306" s="362">
        <v>5510</v>
      </c>
      <c r="E306" s="362">
        <v>6440</v>
      </c>
      <c r="F306" s="362">
        <v>900</v>
      </c>
      <c r="G306" s="370">
        <v>3320</v>
      </c>
    </row>
    <row r="307" s="347" customFormat="1" ht="14.25" customHeight="1" spans="1:7">
      <c r="A307" s="362" t="s">
        <v>288</v>
      </c>
      <c r="B307" s="362" t="s">
        <v>2621</v>
      </c>
      <c r="C307" s="362">
        <v>5650</v>
      </c>
      <c r="D307" s="362">
        <v>5600</v>
      </c>
      <c r="E307" s="362">
        <v>6590</v>
      </c>
      <c r="F307" s="362">
        <v>930</v>
      </c>
      <c r="G307" s="370">
        <v>3380</v>
      </c>
    </row>
    <row r="308" s="347" customFormat="1" ht="14.25" customHeight="1" spans="1:7">
      <c r="A308" s="362" t="s">
        <v>288</v>
      </c>
      <c r="B308" s="362" t="s">
        <v>2628</v>
      </c>
      <c r="C308" s="362">
        <v>5620</v>
      </c>
      <c r="D308" s="362">
        <v>5580</v>
      </c>
      <c r="E308" s="362">
        <v>6540</v>
      </c>
      <c r="F308" s="362">
        <v>910</v>
      </c>
      <c r="G308" s="370">
        <v>3370</v>
      </c>
    </row>
    <row r="309" s="347" customFormat="1" ht="14.25" customHeight="1" spans="1:7">
      <c r="A309" s="362" t="s">
        <v>288</v>
      </c>
      <c r="B309" s="362" t="s">
        <v>2633</v>
      </c>
      <c r="C309" s="362">
        <v>5060</v>
      </c>
      <c r="D309" s="362">
        <v>5020</v>
      </c>
      <c r="E309" s="362">
        <v>6370</v>
      </c>
      <c r="F309" s="362">
        <v>800</v>
      </c>
      <c r="G309" s="370">
        <v>3020</v>
      </c>
    </row>
    <row r="310" s="347" customFormat="1" ht="14.25" customHeight="1" spans="1:7">
      <c r="A310" s="362" t="s">
        <v>288</v>
      </c>
      <c r="B310" s="362" t="s">
        <v>2638</v>
      </c>
      <c r="C310" s="362">
        <v>5150</v>
      </c>
      <c r="D310" s="362">
        <v>5110</v>
      </c>
      <c r="E310" s="362">
        <v>6500</v>
      </c>
      <c r="F310" s="362">
        <v>880</v>
      </c>
      <c r="G310" s="370">
        <v>3080</v>
      </c>
    </row>
    <row r="311" s="347" customFormat="1" ht="14.25" customHeight="1" spans="1:7">
      <c r="A311" s="362" t="s">
        <v>288</v>
      </c>
      <c r="B311" s="362" t="s">
        <v>2643</v>
      </c>
      <c r="C311" s="362">
        <v>4750</v>
      </c>
      <c r="D311" s="362">
        <v>4710</v>
      </c>
      <c r="E311" s="362">
        <v>5510</v>
      </c>
      <c r="F311" s="362">
        <v>880</v>
      </c>
      <c r="G311" s="370">
        <v>2840</v>
      </c>
    </row>
    <row r="312" s="347" customFormat="1" ht="14.25" customHeight="1" spans="1:7">
      <c r="A312" s="362" t="s">
        <v>288</v>
      </c>
      <c r="B312" s="362" t="s">
        <v>2648</v>
      </c>
      <c r="C312" s="362">
        <v>4690</v>
      </c>
      <c r="D312" s="362">
        <v>4640</v>
      </c>
      <c r="E312" s="362">
        <v>5420</v>
      </c>
      <c r="F312" s="362">
        <v>800</v>
      </c>
      <c r="G312" s="370">
        <v>2800</v>
      </c>
    </row>
    <row r="313" s="347" customFormat="1" ht="14.25" customHeight="1" spans="1:7">
      <c r="A313" s="362" t="s">
        <v>288</v>
      </c>
      <c r="B313" s="362" t="s">
        <v>2653</v>
      </c>
      <c r="C313" s="362">
        <v>4810</v>
      </c>
      <c r="D313" s="362">
        <v>4760</v>
      </c>
      <c r="E313" s="362">
        <v>5550</v>
      </c>
      <c r="F313" s="362">
        <v>920</v>
      </c>
      <c r="G313" s="370">
        <v>2870</v>
      </c>
    </row>
    <row r="314" s="347" customFormat="1" ht="14.25" customHeight="1" spans="1:7">
      <c r="A314" s="362" t="s">
        <v>288</v>
      </c>
      <c r="B314" s="362" t="s">
        <v>2658</v>
      </c>
      <c r="C314" s="362"/>
      <c r="D314" s="362"/>
      <c r="E314" s="362"/>
      <c r="F314" s="362">
        <v>1020</v>
      </c>
      <c r="G314" s="370"/>
    </row>
    <row r="315" s="347" customFormat="1" ht="14.25" customHeight="1" spans="1:7">
      <c r="A315" s="362" t="s">
        <v>288</v>
      </c>
      <c r="B315" s="362" t="s">
        <v>2663</v>
      </c>
      <c r="C315" s="362"/>
      <c r="D315" s="362"/>
      <c r="E315" s="362"/>
      <c r="F315" s="362">
        <v>1050</v>
      </c>
      <c r="G315" s="370"/>
    </row>
    <row r="316" s="347" customFormat="1" ht="14.25" customHeight="1" spans="1:7">
      <c r="A316" s="362" t="s">
        <v>288</v>
      </c>
      <c r="B316" s="362" t="s">
        <v>2668</v>
      </c>
      <c r="C316" s="362"/>
      <c r="D316" s="362"/>
      <c r="E316" s="362"/>
      <c r="F316" s="362">
        <v>900</v>
      </c>
      <c r="G316" s="370"/>
    </row>
    <row r="317" s="347" customFormat="1" ht="14.25" customHeight="1" spans="1:7">
      <c r="A317" s="362" t="s">
        <v>288</v>
      </c>
      <c r="B317" s="362" t="s">
        <v>2672</v>
      </c>
      <c r="C317" s="362"/>
      <c r="D317" s="362"/>
      <c r="E317" s="362"/>
      <c r="F317" s="362">
        <v>920</v>
      </c>
      <c r="G317" s="370"/>
    </row>
    <row r="318" s="347" customFormat="1" ht="14.25" customHeight="1" spans="1:7">
      <c r="A318" s="362" t="s">
        <v>288</v>
      </c>
      <c r="B318" s="362" t="s">
        <v>2676</v>
      </c>
      <c r="C318" s="362"/>
      <c r="D318" s="362"/>
      <c r="E318" s="362"/>
      <c r="F318" s="362">
        <v>1080</v>
      </c>
      <c r="G318" s="370"/>
    </row>
    <row r="319" s="347" customFormat="1" ht="14.25" customHeight="1" spans="1:7">
      <c r="A319" s="362" t="s">
        <v>288</v>
      </c>
      <c r="B319" s="362" t="s">
        <v>2680</v>
      </c>
      <c r="C319" s="362"/>
      <c r="D319" s="362"/>
      <c r="E319" s="362"/>
      <c r="F319" s="362">
        <v>1020</v>
      </c>
      <c r="G319" s="370"/>
    </row>
    <row r="320" s="347" customFormat="1" ht="14.25" customHeight="1" spans="1:7">
      <c r="A320" s="362" t="s">
        <v>288</v>
      </c>
      <c r="B320" s="362" t="s">
        <v>2683</v>
      </c>
      <c r="C320" s="362"/>
      <c r="D320" s="362"/>
      <c r="E320" s="362"/>
      <c r="F320" s="362">
        <v>1050</v>
      </c>
      <c r="G320" s="370"/>
    </row>
    <row r="321" s="347" customFormat="1" ht="14.25" customHeight="1" spans="1:7">
      <c r="A321" s="362" t="s">
        <v>288</v>
      </c>
      <c r="B321" s="362" t="s">
        <v>2685</v>
      </c>
      <c r="C321" s="362"/>
      <c r="D321" s="362"/>
      <c r="E321" s="362"/>
      <c r="F321" s="362">
        <v>960</v>
      </c>
      <c r="G321" s="370"/>
    </row>
    <row r="322" s="347" customFormat="1" ht="14.25" customHeight="1" spans="1:7">
      <c r="A322" s="362" t="s">
        <v>288</v>
      </c>
      <c r="B322" s="362" t="s">
        <v>2687</v>
      </c>
      <c r="C322" s="362"/>
      <c r="D322" s="362"/>
      <c r="E322" s="362"/>
      <c r="F322" s="362">
        <v>960</v>
      </c>
      <c r="G322" s="370"/>
    </row>
    <row r="323" s="347" customFormat="1" ht="14.25" customHeight="1" spans="1:7">
      <c r="A323" s="362" t="s">
        <v>288</v>
      </c>
      <c r="B323" s="362" t="s">
        <v>2689</v>
      </c>
      <c r="C323" s="362"/>
      <c r="D323" s="362"/>
      <c r="E323" s="362"/>
      <c r="F323" s="362">
        <v>880</v>
      </c>
      <c r="G323" s="370"/>
    </row>
    <row r="324" s="347" customFormat="1" ht="14.25" customHeight="1" spans="1:7">
      <c r="A324" s="362" t="s">
        <v>288</v>
      </c>
      <c r="B324" s="362" t="s">
        <v>2691</v>
      </c>
      <c r="C324" s="362"/>
      <c r="D324" s="362"/>
      <c r="E324" s="362"/>
      <c r="F324" s="362">
        <v>930</v>
      </c>
      <c r="G324" s="370"/>
    </row>
    <row r="325" s="347" customFormat="1" ht="14.25" customHeight="1" spans="1:7">
      <c r="A325" s="362" t="s">
        <v>288</v>
      </c>
      <c r="B325" s="363" t="s">
        <v>2693</v>
      </c>
      <c r="C325" s="362"/>
      <c r="D325" s="362"/>
      <c r="E325" s="362"/>
      <c r="F325" s="362">
        <v>900</v>
      </c>
      <c r="G325" s="370"/>
    </row>
    <row r="326" s="347" customFormat="1" ht="14.25" customHeight="1" spans="1:7">
      <c r="A326" s="371" t="s">
        <v>288</v>
      </c>
      <c r="B326" s="366" t="s">
        <v>2695</v>
      </c>
      <c r="C326" s="366"/>
      <c r="D326" s="366"/>
      <c r="E326" s="366"/>
      <c r="F326" s="366">
        <v>790</v>
      </c>
      <c r="G326" s="372"/>
    </row>
    <row r="327" s="347" customFormat="1" ht="14.25" customHeight="1" spans="1:7">
      <c r="A327" s="360" t="s">
        <v>292</v>
      </c>
      <c r="B327" s="361" t="s">
        <v>2336</v>
      </c>
      <c r="C327" s="362">
        <v>3750</v>
      </c>
      <c r="D327" s="362">
        <v>3710</v>
      </c>
      <c r="E327" s="362">
        <v>4080</v>
      </c>
      <c r="F327" s="362">
        <v>860</v>
      </c>
      <c r="G327" s="362">
        <v>2210</v>
      </c>
    </row>
    <row r="328" s="347" customFormat="1" ht="14.25" customHeight="1" spans="1:7">
      <c r="A328" s="362" t="s">
        <v>292</v>
      </c>
      <c r="B328" s="362" t="s">
        <v>2349</v>
      </c>
      <c r="C328" s="362">
        <v>3330</v>
      </c>
      <c r="D328" s="362">
        <v>3290</v>
      </c>
      <c r="E328" s="362">
        <v>3610</v>
      </c>
      <c r="F328" s="362">
        <v>850</v>
      </c>
      <c r="G328" s="362">
        <v>1960</v>
      </c>
    </row>
    <row r="329" s="347" customFormat="1" ht="14.25" customHeight="1" spans="1:7">
      <c r="A329" s="362" t="s">
        <v>292</v>
      </c>
      <c r="B329" s="362" t="s">
        <v>2363</v>
      </c>
      <c r="C329" s="362">
        <v>2730</v>
      </c>
      <c r="D329" s="362">
        <v>2690</v>
      </c>
      <c r="E329" s="362">
        <v>3100</v>
      </c>
      <c r="F329" s="362">
        <v>660</v>
      </c>
      <c r="G329" s="362">
        <v>1610</v>
      </c>
    </row>
    <row r="330" s="347" customFormat="1" ht="14.25" customHeight="1" spans="1:7">
      <c r="A330" s="362" t="s">
        <v>292</v>
      </c>
      <c r="B330" s="362" t="s">
        <v>2375</v>
      </c>
      <c r="C330" s="362">
        <v>3270</v>
      </c>
      <c r="D330" s="362">
        <v>3240</v>
      </c>
      <c r="E330" s="362">
        <v>3560</v>
      </c>
      <c r="F330" s="362">
        <v>680</v>
      </c>
      <c r="G330" s="362">
        <v>1940</v>
      </c>
    </row>
    <row r="331" s="347" customFormat="1" ht="14.25" customHeight="1" spans="1:7">
      <c r="A331" s="362" t="s">
        <v>292</v>
      </c>
      <c r="B331" s="362" t="s">
        <v>2387</v>
      </c>
      <c r="C331" s="362">
        <v>3770</v>
      </c>
      <c r="D331" s="362">
        <v>3740</v>
      </c>
      <c r="E331" s="362">
        <v>4110</v>
      </c>
      <c r="F331" s="362">
        <v>730</v>
      </c>
      <c r="G331" s="362">
        <v>2230</v>
      </c>
    </row>
    <row r="332" s="347" customFormat="1" ht="14.25" customHeight="1" spans="1:7">
      <c r="A332" s="362" t="s">
        <v>292</v>
      </c>
      <c r="B332" s="362" t="s">
        <v>2398</v>
      </c>
      <c r="C332" s="362">
        <v>3520</v>
      </c>
      <c r="D332" s="362">
        <v>3480</v>
      </c>
      <c r="E332" s="362">
        <v>3830</v>
      </c>
      <c r="F332" s="362">
        <v>720</v>
      </c>
      <c r="G332" s="362">
        <v>2090</v>
      </c>
    </row>
    <row r="333" s="347" customFormat="1" ht="14.25" customHeight="1" spans="1:7">
      <c r="A333" s="362" t="s">
        <v>292</v>
      </c>
      <c r="B333" s="362" t="s">
        <v>2409</v>
      </c>
      <c r="C333" s="362">
        <v>3840</v>
      </c>
      <c r="D333" s="362">
        <v>3800</v>
      </c>
      <c r="E333" s="362">
        <v>4200</v>
      </c>
      <c r="F333" s="362">
        <v>760</v>
      </c>
      <c r="G333" s="362">
        <v>2270</v>
      </c>
    </row>
    <row r="334" s="347" customFormat="1" ht="14.25" customHeight="1" spans="1:7">
      <c r="A334" s="362" t="s">
        <v>292</v>
      </c>
      <c r="B334" s="362" t="s">
        <v>2420</v>
      </c>
      <c r="C334" s="362">
        <v>3960</v>
      </c>
      <c r="D334" s="362">
        <v>3910</v>
      </c>
      <c r="E334" s="362">
        <v>4340</v>
      </c>
      <c r="F334" s="362">
        <v>780</v>
      </c>
      <c r="G334" s="362">
        <v>2340</v>
      </c>
    </row>
    <row r="335" s="347" customFormat="1" ht="14.25" customHeight="1" spans="1:7">
      <c r="A335" s="362" t="s">
        <v>292</v>
      </c>
      <c r="B335" s="362" t="s">
        <v>2430</v>
      </c>
      <c r="C335" s="362">
        <v>3710</v>
      </c>
      <c r="D335" s="362">
        <v>3670</v>
      </c>
      <c r="E335" s="362">
        <v>4030</v>
      </c>
      <c r="F335" s="362">
        <v>750</v>
      </c>
      <c r="G335" s="362">
        <v>2200</v>
      </c>
    </row>
    <row r="336" s="347" customFormat="1" ht="14.25" customHeight="1" spans="1:7">
      <c r="A336" s="362" t="s">
        <v>292</v>
      </c>
      <c r="B336" s="362" t="s">
        <v>2440</v>
      </c>
      <c r="C336" s="362">
        <v>3570</v>
      </c>
      <c r="D336" s="362">
        <v>3530</v>
      </c>
      <c r="E336" s="362">
        <v>3880</v>
      </c>
      <c r="F336" s="362">
        <v>770</v>
      </c>
      <c r="G336" s="362">
        <v>2110</v>
      </c>
    </row>
    <row r="337" s="347" customFormat="1" ht="14.25" customHeight="1" spans="1:7">
      <c r="A337" s="362" t="s">
        <v>292</v>
      </c>
      <c r="B337" s="362" t="s">
        <v>2450</v>
      </c>
      <c r="C337" s="362">
        <v>3780</v>
      </c>
      <c r="D337" s="362">
        <v>3750</v>
      </c>
      <c r="E337" s="362">
        <v>4130</v>
      </c>
      <c r="F337" s="362">
        <v>750</v>
      </c>
      <c r="G337" s="362">
        <v>2240</v>
      </c>
    </row>
    <row r="338" s="347" customFormat="1" ht="14.25" customHeight="1" spans="1:7">
      <c r="A338" s="362" t="s">
        <v>292</v>
      </c>
      <c r="B338" s="362" t="s">
        <v>2459</v>
      </c>
      <c r="C338" s="362">
        <v>3600</v>
      </c>
      <c r="D338" s="362">
        <v>3570</v>
      </c>
      <c r="E338" s="362">
        <v>3920</v>
      </c>
      <c r="F338" s="362">
        <v>790</v>
      </c>
      <c r="G338" s="362">
        <v>2140</v>
      </c>
    </row>
    <row r="339" s="347" customFormat="1" ht="14.25" customHeight="1" spans="1:7">
      <c r="A339" s="362" t="s">
        <v>292</v>
      </c>
      <c r="B339" s="362" t="s">
        <v>2469</v>
      </c>
      <c r="C339" s="362">
        <v>3540</v>
      </c>
      <c r="D339" s="362">
        <v>3500</v>
      </c>
      <c r="E339" s="362">
        <v>3850</v>
      </c>
      <c r="F339" s="362">
        <v>780</v>
      </c>
      <c r="G339" s="362">
        <v>2100</v>
      </c>
    </row>
    <row r="340" s="347" customFormat="1" ht="14.25" customHeight="1" spans="1:7">
      <c r="A340" s="362" t="s">
        <v>292</v>
      </c>
      <c r="B340" s="362" t="s">
        <v>2479</v>
      </c>
      <c r="C340" s="362">
        <v>3850</v>
      </c>
      <c r="D340" s="362">
        <v>3810</v>
      </c>
      <c r="E340" s="362">
        <v>4210</v>
      </c>
      <c r="F340" s="362">
        <v>750</v>
      </c>
      <c r="G340" s="362">
        <v>2280</v>
      </c>
    </row>
    <row r="341" s="347" customFormat="1" ht="14.25" customHeight="1" spans="1:7">
      <c r="A341" s="362" t="s">
        <v>292</v>
      </c>
      <c r="B341" s="362" t="s">
        <v>2489</v>
      </c>
      <c r="C341" s="362">
        <v>3780</v>
      </c>
      <c r="D341" s="362">
        <v>3750</v>
      </c>
      <c r="E341" s="362">
        <v>4140</v>
      </c>
      <c r="F341" s="362">
        <v>720</v>
      </c>
      <c r="G341" s="362">
        <v>2240</v>
      </c>
    </row>
    <row r="342" s="347" customFormat="1" ht="14.25" customHeight="1" spans="1:7">
      <c r="A342" s="362" t="s">
        <v>292</v>
      </c>
      <c r="B342" s="362" t="s">
        <v>2499</v>
      </c>
      <c r="C342" s="362">
        <v>3670</v>
      </c>
      <c r="D342" s="362">
        <v>3620</v>
      </c>
      <c r="E342" s="362">
        <v>3990</v>
      </c>
      <c r="F342" s="362">
        <v>760</v>
      </c>
      <c r="G342" s="362">
        <v>2170</v>
      </c>
    </row>
    <row r="343" s="347" customFormat="1" ht="14.25" customHeight="1" spans="1:7">
      <c r="A343" s="362" t="s">
        <v>292</v>
      </c>
      <c r="B343" s="362" t="s">
        <v>2509</v>
      </c>
      <c r="C343" s="362">
        <v>3760</v>
      </c>
      <c r="D343" s="362">
        <v>3720</v>
      </c>
      <c r="E343" s="362">
        <v>4090</v>
      </c>
      <c r="F343" s="362">
        <v>780</v>
      </c>
      <c r="G343" s="362">
        <v>2220</v>
      </c>
    </row>
    <row r="344" s="347" customFormat="1" ht="14.25" customHeight="1" spans="1:7">
      <c r="A344" s="362" t="s">
        <v>292</v>
      </c>
      <c r="B344" s="362" t="s">
        <v>2519</v>
      </c>
      <c r="C344" s="362">
        <v>3680</v>
      </c>
      <c r="D344" s="362">
        <v>3640</v>
      </c>
      <c r="E344" s="362">
        <v>4010</v>
      </c>
      <c r="F344" s="362">
        <v>750</v>
      </c>
      <c r="G344" s="362">
        <v>2180</v>
      </c>
    </row>
    <row r="345" spans="1:10">
      <c r="A345" s="362" t="s">
        <v>292</v>
      </c>
      <c r="B345" s="362" t="s">
        <v>2529</v>
      </c>
      <c r="C345" s="362">
        <v>3190</v>
      </c>
      <c r="D345" s="362">
        <v>3140</v>
      </c>
      <c r="E345" s="362">
        <v>3450</v>
      </c>
      <c r="F345" s="362">
        <v>720</v>
      </c>
      <c r="G345" s="362">
        <v>1880</v>
      </c>
      <c r="J345" s="347"/>
    </row>
    <row r="346" spans="1:10">
      <c r="A346" s="362" t="s">
        <v>292</v>
      </c>
      <c r="B346" s="362" t="s">
        <v>2539</v>
      </c>
      <c r="C346" s="362">
        <v>3630</v>
      </c>
      <c r="D346" s="362">
        <v>3590</v>
      </c>
      <c r="E346" s="362">
        <v>3940</v>
      </c>
      <c r="F346" s="362">
        <v>730</v>
      </c>
      <c r="G346" s="362">
        <v>2150</v>
      </c>
      <c r="J346" s="347"/>
    </row>
    <row r="347" spans="1:10">
      <c r="A347" s="362" t="s">
        <v>292</v>
      </c>
      <c r="B347" s="362" t="s">
        <v>2548</v>
      </c>
      <c r="C347" s="362">
        <v>3860</v>
      </c>
      <c r="D347" s="362">
        <v>3820</v>
      </c>
      <c r="E347" s="362">
        <v>4220</v>
      </c>
      <c r="F347" s="362">
        <v>750</v>
      </c>
      <c r="G347" s="362">
        <v>2280</v>
      </c>
      <c r="J347" s="347"/>
    </row>
    <row r="348" spans="1:10">
      <c r="A348" s="362" t="s">
        <v>292</v>
      </c>
      <c r="B348" s="362" t="s">
        <v>2556</v>
      </c>
      <c r="C348" s="362">
        <v>4000</v>
      </c>
      <c r="D348" s="362">
        <v>3950</v>
      </c>
      <c r="E348" s="362">
        <v>4430</v>
      </c>
      <c r="F348" s="362">
        <v>760</v>
      </c>
      <c r="G348" s="362">
        <v>2360</v>
      </c>
      <c r="J348" s="347"/>
    </row>
    <row r="349" spans="1:10">
      <c r="A349" s="362" t="s">
        <v>292</v>
      </c>
      <c r="B349" s="362" t="s">
        <v>2564</v>
      </c>
      <c r="C349" s="362">
        <v>3820</v>
      </c>
      <c r="D349" s="362">
        <v>3780</v>
      </c>
      <c r="E349" s="362">
        <v>4170</v>
      </c>
      <c r="F349" s="362">
        <v>710</v>
      </c>
      <c r="G349" s="362">
        <v>2260</v>
      </c>
      <c r="J349" s="347"/>
    </row>
    <row r="350" spans="1:10">
      <c r="A350" s="362" t="s">
        <v>292</v>
      </c>
      <c r="B350" s="362" t="s">
        <v>2572</v>
      </c>
      <c r="C350" s="362">
        <v>3760</v>
      </c>
      <c r="D350" s="362">
        <v>3730</v>
      </c>
      <c r="E350" s="362">
        <v>4100</v>
      </c>
      <c r="F350" s="362">
        <v>800</v>
      </c>
      <c r="G350" s="362">
        <v>2230</v>
      </c>
      <c r="J350" s="347"/>
    </row>
    <row r="351" spans="1:10">
      <c r="A351" s="362" t="s">
        <v>292</v>
      </c>
      <c r="B351" s="362" t="s">
        <v>2580</v>
      </c>
      <c r="C351" s="362">
        <v>3610</v>
      </c>
      <c r="D351" s="362">
        <v>3580</v>
      </c>
      <c r="E351" s="362">
        <v>3930</v>
      </c>
      <c r="F351" s="362">
        <v>700</v>
      </c>
      <c r="G351" s="362">
        <v>2140</v>
      </c>
      <c r="J351" s="347"/>
    </row>
    <row r="352" spans="1:7">
      <c r="A352" s="362" t="s">
        <v>292</v>
      </c>
      <c r="B352" s="362" t="s">
        <v>2587</v>
      </c>
      <c r="C352" s="362">
        <v>3670</v>
      </c>
      <c r="D352" s="362">
        <v>3630</v>
      </c>
      <c r="E352" s="362">
        <v>4000</v>
      </c>
      <c r="F352" s="362">
        <v>750</v>
      </c>
      <c r="G352" s="362">
        <v>2180</v>
      </c>
    </row>
    <row r="353" s="348" customFormat="1" spans="1:7">
      <c r="A353" s="362" t="s">
        <v>292</v>
      </c>
      <c r="B353" s="362" t="s">
        <v>2594</v>
      </c>
      <c r="C353" s="362">
        <v>3190</v>
      </c>
      <c r="D353" s="362">
        <v>3150</v>
      </c>
      <c r="E353" s="362">
        <v>3640</v>
      </c>
      <c r="F353" s="362">
        <v>630</v>
      </c>
      <c r="G353" s="362">
        <v>1890</v>
      </c>
    </row>
    <row r="354" s="348" customFormat="1" spans="1:7">
      <c r="A354" s="362" t="s">
        <v>292</v>
      </c>
      <c r="B354" s="362" t="s">
        <v>2601</v>
      </c>
      <c r="C354" s="362">
        <v>3450</v>
      </c>
      <c r="D354" s="362">
        <v>3420</v>
      </c>
      <c r="E354" s="362">
        <v>3960</v>
      </c>
      <c r="F354" s="362">
        <v>660</v>
      </c>
      <c r="G354" s="362">
        <v>2050</v>
      </c>
    </row>
    <row r="355" s="348" customFormat="1" spans="1:7">
      <c r="A355" s="362" t="s">
        <v>292</v>
      </c>
      <c r="B355" s="362" t="s">
        <v>2608</v>
      </c>
      <c r="C355" s="362">
        <v>3650</v>
      </c>
      <c r="D355" s="362">
        <v>3610</v>
      </c>
      <c r="E355" s="362">
        <v>4200</v>
      </c>
      <c r="F355" s="362">
        <v>640</v>
      </c>
      <c r="G355" s="362">
        <v>2160</v>
      </c>
    </row>
    <row r="356" s="348" customFormat="1" spans="1:7">
      <c r="A356" s="362" t="s">
        <v>292</v>
      </c>
      <c r="B356" s="362" t="s">
        <v>2615</v>
      </c>
      <c r="C356" s="362">
        <v>3260</v>
      </c>
      <c r="D356" s="362">
        <v>3230</v>
      </c>
      <c r="E356" s="362">
        <v>3740</v>
      </c>
      <c r="F356" s="362">
        <v>600</v>
      </c>
      <c r="G356" s="362">
        <v>1930</v>
      </c>
    </row>
    <row r="357" s="348" customFormat="1" ht="12" spans="1:7">
      <c r="A357" s="364" t="s">
        <v>292</v>
      </c>
      <c r="B357" s="368" t="s">
        <v>2622</v>
      </c>
      <c r="C357" s="368">
        <v>3690</v>
      </c>
      <c r="D357" s="368">
        <v>3650</v>
      </c>
      <c r="E357" s="368">
        <v>4020</v>
      </c>
      <c r="F357" s="368">
        <v>700</v>
      </c>
      <c r="G357" s="368">
        <v>2190</v>
      </c>
    </row>
    <row r="358" s="348" customFormat="1" spans="1:7">
      <c r="A358" s="360" t="s">
        <v>296</v>
      </c>
      <c r="B358" s="361" t="s">
        <v>2337</v>
      </c>
      <c r="C358" s="361">
        <v>2080</v>
      </c>
      <c r="D358" s="361">
        <v>2040</v>
      </c>
      <c r="E358" s="361">
        <v>2010</v>
      </c>
      <c r="F358" s="361">
        <v>530</v>
      </c>
      <c r="G358" s="369">
        <v>1230</v>
      </c>
    </row>
    <row r="359" s="348" customFormat="1" spans="1:7">
      <c r="A359" s="362" t="s">
        <v>296</v>
      </c>
      <c r="B359" s="362" t="s">
        <v>2350</v>
      </c>
      <c r="C359" s="362">
        <v>1850</v>
      </c>
      <c r="D359" s="362">
        <v>1820</v>
      </c>
      <c r="E359" s="362">
        <v>1780</v>
      </c>
      <c r="F359" s="362">
        <v>520</v>
      </c>
      <c r="G359" s="370">
        <v>1100</v>
      </c>
    </row>
    <row r="360" s="348" customFormat="1" spans="1:7">
      <c r="A360" s="362" t="s">
        <v>296</v>
      </c>
      <c r="B360" s="362" t="s">
        <v>2364</v>
      </c>
      <c r="C360" s="362">
        <v>2020</v>
      </c>
      <c r="D360" s="362">
        <v>1990</v>
      </c>
      <c r="E360" s="362">
        <v>1950</v>
      </c>
      <c r="F360" s="362">
        <v>500</v>
      </c>
      <c r="G360" s="370">
        <v>1200</v>
      </c>
    </row>
    <row r="361" s="348" customFormat="1" spans="1:7">
      <c r="A361" s="362" t="s">
        <v>296</v>
      </c>
      <c r="B361" s="362" t="s">
        <v>2376</v>
      </c>
      <c r="C361" s="362">
        <v>2260</v>
      </c>
      <c r="D361" s="362">
        <v>2220</v>
      </c>
      <c r="E361" s="362">
        <v>2180</v>
      </c>
      <c r="F361" s="362">
        <v>580</v>
      </c>
      <c r="G361" s="370">
        <v>1340</v>
      </c>
    </row>
    <row r="362" s="348" customFormat="1" spans="1:7">
      <c r="A362" s="362" t="s">
        <v>296</v>
      </c>
      <c r="B362" s="362" t="s">
        <v>2388</v>
      </c>
      <c r="C362" s="362">
        <v>2650</v>
      </c>
      <c r="D362" s="362">
        <v>2610</v>
      </c>
      <c r="E362" s="362">
        <v>2570</v>
      </c>
      <c r="F362" s="362">
        <v>630</v>
      </c>
      <c r="G362" s="370">
        <v>1570</v>
      </c>
    </row>
    <row r="363" s="348" customFormat="1" spans="1:7">
      <c r="A363" s="362" t="s">
        <v>296</v>
      </c>
      <c r="B363" s="362" t="s">
        <v>2399</v>
      </c>
      <c r="C363" s="362">
        <v>2390</v>
      </c>
      <c r="D363" s="362">
        <v>2360</v>
      </c>
      <c r="E363" s="362">
        <v>2320</v>
      </c>
      <c r="F363" s="362">
        <v>600</v>
      </c>
      <c r="G363" s="370">
        <v>1420</v>
      </c>
    </row>
    <row r="364" s="348" customFormat="1" spans="1:7">
      <c r="A364" s="362" t="s">
        <v>296</v>
      </c>
      <c r="B364" s="362" t="s">
        <v>2410</v>
      </c>
      <c r="C364" s="362">
        <v>2050</v>
      </c>
      <c r="D364" s="362">
        <v>2030</v>
      </c>
      <c r="E364" s="362">
        <v>1990</v>
      </c>
      <c r="F364" s="362">
        <v>550</v>
      </c>
      <c r="G364" s="370">
        <v>1220</v>
      </c>
    </row>
    <row r="365" s="348" customFormat="1" spans="1:7">
      <c r="A365" s="362" t="s">
        <v>296</v>
      </c>
      <c r="B365" s="362" t="s">
        <v>2421</v>
      </c>
      <c r="C365" s="362">
        <v>2140</v>
      </c>
      <c r="D365" s="362">
        <v>2100</v>
      </c>
      <c r="E365" s="362">
        <v>2060</v>
      </c>
      <c r="F365" s="362">
        <v>540</v>
      </c>
      <c r="G365" s="370">
        <v>1270</v>
      </c>
    </row>
    <row r="366" s="348" customFormat="1" spans="1:7">
      <c r="A366" s="362" t="s">
        <v>296</v>
      </c>
      <c r="B366" s="362" t="s">
        <v>2431</v>
      </c>
      <c r="C366" s="362">
        <v>2410</v>
      </c>
      <c r="D366" s="362">
        <v>2370</v>
      </c>
      <c r="E366" s="362">
        <v>2330</v>
      </c>
      <c r="F366" s="362">
        <v>570</v>
      </c>
      <c r="G366" s="370">
        <v>1440</v>
      </c>
    </row>
    <row r="367" s="348" customFormat="1" spans="1:7">
      <c r="A367" s="362" t="s">
        <v>296</v>
      </c>
      <c r="B367" s="362" t="s">
        <v>2441</v>
      </c>
      <c r="C367" s="362">
        <v>2300</v>
      </c>
      <c r="D367" s="362">
        <v>2260</v>
      </c>
      <c r="E367" s="362">
        <v>2220</v>
      </c>
      <c r="F367" s="362">
        <v>560</v>
      </c>
      <c r="G367" s="370">
        <v>1370</v>
      </c>
    </row>
    <row r="368" s="348" customFormat="1" spans="1:7">
      <c r="A368" s="362" t="s">
        <v>296</v>
      </c>
      <c r="B368" s="362" t="s">
        <v>2451</v>
      </c>
      <c r="C368" s="362">
        <v>2430</v>
      </c>
      <c r="D368" s="362">
        <v>2390</v>
      </c>
      <c r="E368" s="362">
        <v>2350</v>
      </c>
      <c r="F368" s="362">
        <v>570</v>
      </c>
      <c r="G368" s="370">
        <v>1450</v>
      </c>
    </row>
    <row r="369" s="348" customFormat="1" spans="1:7">
      <c r="A369" s="362" t="s">
        <v>296</v>
      </c>
      <c r="B369" s="362" t="s">
        <v>2460</v>
      </c>
      <c r="C369" s="362">
        <v>2320</v>
      </c>
      <c r="D369" s="362">
        <v>2290</v>
      </c>
      <c r="E369" s="362">
        <v>2250</v>
      </c>
      <c r="F369" s="362">
        <v>550</v>
      </c>
      <c r="G369" s="370">
        <v>1380</v>
      </c>
    </row>
    <row r="370" s="348" customFormat="1" spans="1:7">
      <c r="A370" s="362" t="s">
        <v>296</v>
      </c>
      <c r="B370" s="362" t="s">
        <v>2470</v>
      </c>
      <c r="C370" s="362">
        <v>2190</v>
      </c>
      <c r="D370" s="362">
        <v>2170</v>
      </c>
      <c r="E370" s="362">
        <v>2130</v>
      </c>
      <c r="F370" s="362">
        <v>530</v>
      </c>
      <c r="G370" s="370">
        <v>1310</v>
      </c>
    </row>
    <row r="371" s="348" customFormat="1" spans="1:7">
      <c r="A371" s="362" t="s">
        <v>296</v>
      </c>
      <c r="B371" s="362" t="s">
        <v>2480</v>
      </c>
      <c r="C371" s="362">
        <v>2460</v>
      </c>
      <c r="D371" s="362">
        <v>2420</v>
      </c>
      <c r="E371" s="362">
        <v>2370</v>
      </c>
      <c r="F371" s="362">
        <v>560</v>
      </c>
      <c r="G371" s="370">
        <v>1470</v>
      </c>
    </row>
    <row r="372" s="348" customFormat="1" spans="1:7">
      <c r="A372" s="362" t="s">
        <v>296</v>
      </c>
      <c r="B372" s="362" t="s">
        <v>2490</v>
      </c>
      <c r="C372" s="362">
        <v>2250</v>
      </c>
      <c r="D372" s="362">
        <v>2210</v>
      </c>
      <c r="E372" s="362">
        <v>2180</v>
      </c>
      <c r="F372" s="362">
        <v>550</v>
      </c>
      <c r="G372" s="370">
        <v>1340</v>
      </c>
    </row>
    <row r="373" s="348" customFormat="1" spans="1:7">
      <c r="A373" s="362" t="s">
        <v>296</v>
      </c>
      <c r="B373" s="362" t="s">
        <v>2500</v>
      </c>
      <c r="C373" s="362">
        <v>2210</v>
      </c>
      <c r="D373" s="362">
        <v>2190</v>
      </c>
      <c r="E373" s="362">
        <v>2150</v>
      </c>
      <c r="F373" s="362">
        <v>530</v>
      </c>
      <c r="G373" s="370">
        <v>1320</v>
      </c>
    </row>
    <row r="374" s="348" customFormat="1" spans="1:7">
      <c r="A374" s="362" t="s">
        <v>296</v>
      </c>
      <c r="B374" s="362" t="s">
        <v>2510</v>
      </c>
      <c r="C374" s="362">
        <v>2320</v>
      </c>
      <c r="D374" s="362">
        <v>2280</v>
      </c>
      <c r="E374" s="362">
        <v>2230</v>
      </c>
      <c r="F374" s="362">
        <v>580</v>
      </c>
      <c r="G374" s="370">
        <v>1380</v>
      </c>
    </row>
    <row r="375" s="348" customFormat="1" spans="1:7">
      <c r="A375" s="362" t="s">
        <v>296</v>
      </c>
      <c r="B375" s="362" t="s">
        <v>2520</v>
      </c>
      <c r="C375" s="362">
        <v>2090</v>
      </c>
      <c r="D375" s="362">
        <v>2050</v>
      </c>
      <c r="E375" s="362">
        <v>2020</v>
      </c>
      <c r="F375" s="362">
        <v>520</v>
      </c>
      <c r="G375" s="370">
        <v>1240</v>
      </c>
    </row>
    <row r="376" s="348" customFormat="1" spans="1:7">
      <c r="A376" s="362" t="s">
        <v>296</v>
      </c>
      <c r="B376" s="362" t="s">
        <v>2530</v>
      </c>
      <c r="C376" s="362">
        <v>2010</v>
      </c>
      <c r="D376" s="362">
        <v>1980</v>
      </c>
      <c r="E376" s="362">
        <v>1940</v>
      </c>
      <c r="F376" s="362">
        <v>540</v>
      </c>
      <c r="G376" s="370">
        <v>1190</v>
      </c>
    </row>
    <row r="377" s="348" customFormat="1" ht="12" spans="1:7">
      <c r="A377" s="364" t="s">
        <v>296</v>
      </c>
      <c r="B377" s="368" t="s">
        <v>2540</v>
      </c>
      <c r="C377" s="368">
        <v>1930</v>
      </c>
      <c r="D377" s="368">
        <v>1890</v>
      </c>
      <c r="E377" s="368">
        <v>1860</v>
      </c>
      <c r="F377" s="368">
        <v>530</v>
      </c>
      <c r="G377" s="377">
        <v>1150</v>
      </c>
    </row>
    <row r="378" s="348" customFormat="1" spans="1:7">
      <c r="A378" s="378" t="s">
        <v>300</v>
      </c>
      <c r="B378" s="361" t="s">
        <v>2338</v>
      </c>
      <c r="C378" s="361">
        <v>1520</v>
      </c>
      <c r="D378" s="361">
        <v>1490</v>
      </c>
      <c r="E378" s="361">
        <v>1460</v>
      </c>
      <c r="F378" s="361">
        <v>460</v>
      </c>
      <c r="G378" s="369">
        <v>940</v>
      </c>
    </row>
    <row r="379" s="348" customFormat="1" spans="1:7">
      <c r="A379" s="379" t="s">
        <v>300</v>
      </c>
      <c r="B379" s="362" t="s">
        <v>2351</v>
      </c>
      <c r="C379" s="362">
        <v>1500</v>
      </c>
      <c r="D379" s="362">
        <v>1470</v>
      </c>
      <c r="E379" s="362">
        <v>1430</v>
      </c>
      <c r="F379" s="362">
        <v>460</v>
      </c>
      <c r="G379" s="370">
        <v>920</v>
      </c>
    </row>
    <row r="380" s="348" customFormat="1" spans="1:7">
      <c r="A380" s="379" t="s">
        <v>300</v>
      </c>
      <c r="B380" s="362" t="s">
        <v>2365</v>
      </c>
      <c r="C380" s="362">
        <v>1620</v>
      </c>
      <c r="D380" s="362">
        <v>1590</v>
      </c>
      <c r="E380" s="362">
        <v>1560</v>
      </c>
      <c r="F380" s="362">
        <v>480</v>
      </c>
      <c r="G380" s="370">
        <v>1000</v>
      </c>
    </row>
    <row r="381" s="348" customFormat="1" spans="1:7">
      <c r="A381" s="379" t="s">
        <v>300</v>
      </c>
      <c r="B381" s="362" t="s">
        <v>2377</v>
      </c>
      <c r="C381" s="362">
        <v>1460</v>
      </c>
      <c r="D381" s="362">
        <v>1430</v>
      </c>
      <c r="E381" s="362">
        <v>1390</v>
      </c>
      <c r="F381" s="362">
        <v>450</v>
      </c>
      <c r="G381" s="370">
        <v>900</v>
      </c>
    </row>
    <row r="382" s="348" customFormat="1" spans="1:7">
      <c r="A382" s="379" t="s">
        <v>300</v>
      </c>
      <c r="B382" s="362" t="s">
        <v>2389</v>
      </c>
      <c r="C382" s="362">
        <v>1310</v>
      </c>
      <c r="D382" s="362">
        <v>1280</v>
      </c>
      <c r="E382" s="362">
        <v>1250</v>
      </c>
      <c r="F382" s="362">
        <v>440</v>
      </c>
      <c r="G382" s="370">
        <v>800</v>
      </c>
    </row>
    <row r="383" s="348" customFormat="1" spans="1:7">
      <c r="A383" s="379" t="s">
        <v>300</v>
      </c>
      <c r="B383" s="362" t="s">
        <v>2400</v>
      </c>
      <c r="C383" s="362">
        <v>1260</v>
      </c>
      <c r="D383" s="362">
        <v>1230</v>
      </c>
      <c r="E383" s="362">
        <v>1200</v>
      </c>
      <c r="F383" s="362">
        <v>420</v>
      </c>
      <c r="G383" s="370">
        <v>770</v>
      </c>
    </row>
    <row r="384" s="348" customFormat="1" ht="12" spans="1:7">
      <c r="A384" s="380" t="s">
        <v>300</v>
      </c>
      <c r="B384" s="366" t="s">
        <v>2411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2709</v>
      </c>
      <c r="B1" s="312"/>
    </row>
    <row r="2" ht="14.25" spans="1:2">
      <c r="A2" s="312"/>
      <c r="B2" s="312"/>
    </row>
    <row r="3" ht="14.25" spans="1:7">
      <c r="A3" s="312"/>
      <c r="B3" s="312"/>
      <c r="C3" s="313" t="s">
        <v>2004</v>
      </c>
      <c r="D3" s="313" t="s">
        <v>552</v>
      </c>
      <c r="E3" s="313" t="s">
        <v>416</v>
      </c>
      <c r="F3" s="313" t="s">
        <v>412</v>
      </c>
      <c r="G3" s="313" t="s">
        <v>280</v>
      </c>
    </row>
    <row r="4" ht="14.25" spans="1:7">
      <c r="A4" s="314" t="s">
        <v>2339</v>
      </c>
      <c r="B4" s="315" t="s">
        <v>2352</v>
      </c>
      <c r="C4" s="313"/>
      <c r="D4" s="313"/>
      <c r="E4" s="313"/>
      <c r="F4" s="313"/>
      <c r="G4" s="313"/>
    </row>
    <row r="5" spans="1:7">
      <c r="A5" s="316" t="s">
        <v>230</v>
      </c>
      <c r="B5" s="317" t="s">
        <v>2327</v>
      </c>
      <c r="C5" s="318">
        <v>0.098</v>
      </c>
      <c r="D5" s="318">
        <v>0.087</v>
      </c>
      <c r="E5" s="318">
        <v>0.087</v>
      </c>
      <c r="F5" s="318">
        <v>0.098</v>
      </c>
      <c r="G5" s="319">
        <v>0.095</v>
      </c>
    </row>
    <row r="6" spans="1:7">
      <c r="A6" s="320" t="s">
        <v>230</v>
      </c>
      <c r="B6" s="321" t="s">
        <v>2340</v>
      </c>
      <c r="C6" s="322">
        <v>0.098</v>
      </c>
      <c r="D6" s="322">
        <v>0.098</v>
      </c>
      <c r="E6" s="322">
        <v>0.098</v>
      </c>
      <c r="F6" s="322">
        <v>0.1</v>
      </c>
      <c r="G6" s="323">
        <v>0.099</v>
      </c>
    </row>
    <row r="7" spans="1:7">
      <c r="A7" s="320" t="s">
        <v>230</v>
      </c>
      <c r="B7" s="321" t="s">
        <v>2354</v>
      </c>
      <c r="C7" s="322">
        <v>0.097</v>
      </c>
      <c r="D7" s="322">
        <v>0.097</v>
      </c>
      <c r="E7" s="322">
        <v>0.096</v>
      </c>
      <c r="F7" s="322">
        <v>0.1</v>
      </c>
      <c r="G7" s="323">
        <v>0.098</v>
      </c>
    </row>
    <row r="8" spans="1:7">
      <c r="A8" s="320" t="s">
        <v>230</v>
      </c>
      <c r="B8" s="321" t="s">
        <v>2366</v>
      </c>
      <c r="C8" s="322">
        <v>0.081</v>
      </c>
      <c r="D8" s="322">
        <v>0.082</v>
      </c>
      <c r="E8" s="322">
        <v>0.07</v>
      </c>
      <c r="F8" s="322">
        <v>0.096</v>
      </c>
      <c r="G8" s="323">
        <v>0.089</v>
      </c>
    </row>
    <row r="9" ht="14.25" spans="1:7">
      <c r="A9" s="324" t="s">
        <v>230</v>
      </c>
      <c r="B9" s="325" t="s">
        <v>2378</v>
      </c>
      <c r="C9" s="326">
        <v>0.1</v>
      </c>
      <c r="D9" s="326">
        <v>0.1</v>
      </c>
      <c r="E9" s="326">
        <v>0.1</v>
      </c>
      <c r="F9" s="327"/>
      <c r="G9" s="328">
        <v>0.1</v>
      </c>
    </row>
    <row r="10" spans="1:7">
      <c r="A10" s="316" t="s">
        <v>241</v>
      </c>
      <c r="B10" s="317" t="s">
        <v>2328</v>
      </c>
      <c r="C10" s="318">
        <v>0.067</v>
      </c>
      <c r="D10" s="318">
        <v>0.079</v>
      </c>
      <c r="E10" s="318">
        <v>0.079</v>
      </c>
      <c r="F10" s="318">
        <v>0.1</v>
      </c>
      <c r="G10" s="319">
        <v>0.091</v>
      </c>
    </row>
    <row r="11" spans="1:7">
      <c r="A11" s="320" t="s">
        <v>241</v>
      </c>
      <c r="B11" s="321" t="s">
        <v>2341</v>
      </c>
      <c r="C11" s="322">
        <v>0.05</v>
      </c>
      <c r="D11" s="322">
        <v>0.053</v>
      </c>
      <c r="E11" s="322">
        <v>0.063</v>
      </c>
      <c r="F11" s="322">
        <v>0.1</v>
      </c>
      <c r="G11" s="323">
        <v>0.072</v>
      </c>
    </row>
    <row r="12" spans="1:7">
      <c r="A12" s="320" t="s">
        <v>241</v>
      </c>
      <c r="B12" s="321" t="s">
        <v>2355</v>
      </c>
      <c r="C12" s="322">
        <v>0.053</v>
      </c>
      <c r="D12" s="322">
        <v>0.09</v>
      </c>
      <c r="E12" s="322">
        <v>0.072</v>
      </c>
      <c r="F12" s="322">
        <v>0.1</v>
      </c>
      <c r="G12" s="323">
        <v>0.097</v>
      </c>
    </row>
    <row r="13" spans="1:7">
      <c r="A13" s="320" t="s">
        <v>241</v>
      </c>
      <c r="B13" s="321" t="s">
        <v>2367</v>
      </c>
      <c r="C13" s="322">
        <v>0.097</v>
      </c>
      <c r="D13" s="322">
        <v>0.092</v>
      </c>
      <c r="E13" s="322">
        <v>0.095</v>
      </c>
      <c r="F13" s="322">
        <v>0.1</v>
      </c>
      <c r="G13" s="323">
        <v>0.097</v>
      </c>
    </row>
    <row r="14" spans="1:7">
      <c r="A14" s="320" t="s">
        <v>241</v>
      </c>
      <c r="B14" s="321" t="s">
        <v>2379</v>
      </c>
      <c r="C14" s="322">
        <v>0.097</v>
      </c>
      <c r="D14" s="322">
        <v>0.097</v>
      </c>
      <c r="E14" s="322">
        <v>0.097</v>
      </c>
      <c r="F14" s="322">
        <v>0.1</v>
      </c>
      <c r="G14" s="323">
        <v>0.098</v>
      </c>
    </row>
    <row r="15" spans="1:7">
      <c r="A15" s="320" t="s">
        <v>241</v>
      </c>
      <c r="B15" s="321" t="s">
        <v>2390</v>
      </c>
      <c r="C15" s="322">
        <v>0.098</v>
      </c>
      <c r="D15" s="322">
        <v>0.091</v>
      </c>
      <c r="E15" s="322">
        <v>0.06</v>
      </c>
      <c r="F15" s="322">
        <v>0.1</v>
      </c>
      <c r="G15" s="323">
        <v>0.097</v>
      </c>
    </row>
    <row r="16" spans="1:7">
      <c r="A16" s="320" t="s">
        <v>241</v>
      </c>
      <c r="B16" s="321" t="s">
        <v>2401</v>
      </c>
      <c r="C16" s="322">
        <v>0.098</v>
      </c>
      <c r="D16" s="322">
        <v>0.097</v>
      </c>
      <c r="E16" s="322">
        <v>0.095</v>
      </c>
      <c r="F16" s="322">
        <v>0.1</v>
      </c>
      <c r="G16" s="323">
        <v>0.099</v>
      </c>
    </row>
    <row r="17" spans="1:7">
      <c r="A17" s="320" t="s">
        <v>241</v>
      </c>
      <c r="B17" s="321" t="s">
        <v>2412</v>
      </c>
      <c r="C17" s="322">
        <v>0.089</v>
      </c>
      <c r="D17" s="322">
        <v>0.092</v>
      </c>
      <c r="E17" s="322">
        <v>0.061</v>
      </c>
      <c r="F17" s="322">
        <v>0.1</v>
      </c>
      <c r="G17" s="323">
        <v>0.097</v>
      </c>
    </row>
    <row r="18" spans="1:7">
      <c r="A18" s="320" t="s">
        <v>241</v>
      </c>
      <c r="B18" s="321" t="s">
        <v>2422</v>
      </c>
      <c r="C18" s="322">
        <v>0.098</v>
      </c>
      <c r="D18" s="322">
        <v>0.098</v>
      </c>
      <c r="E18" s="322">
        <v>0.098</v>
      </c>
      <c r="F18" s="329"/>
      <c r="G18" s="323">
        <v>0.099</v>
      </c>
    </row>
    <row r="19" spans="1:7">
      <c r="A19" s="320" t="s">
        <v>241</v>
      </c>
      <c r="B19" s="321" t="s">
        <v>2432</v>
      </c>
      <c r="C19" s="322">
        <v>0.099</v>
      </c>
      <c r="D19" s="322">
        <v>0.074</v>
      </c>
      <c r="E19" s="322">
        <v>0.081</v>
      </c>
      <c r="F19" s="329"/>
      <c r="G19" s="323">
        <v>0.093</v>
      </c>
    </row>
    <row r="20" spans="1:7">
      <c r="A20" s="320" t="s">
        <v>241</v>
      </c>
      <c r="B20" s="321" t="s">
        <v>2442</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2461</v>
      </c>
      <c r="C22" s="322">
        <v>0.095</v>
      </c>
      <c r="D22" s="322">
        <v>0.099</v>
      </c>
      <c r="E22" s="322">
        <v>0.098</v>
      </c>
      <c r="F22" s="329"/>
      <c r="G22" s="323">
        <v>0.1</v>
      </c>
    </row>
    <row r="23" spans="1:7">
      <c r="A23" s="320" t="s">
        <v>241</v>
      </c>
      <c r="B23" s="321" t="s">
        <v>2471</v>
      </c>
      <c r="C23" s="322">
        <v>0.099</v>
      </c>
      <c r="D23" s="322">
        <v>0.1</v>
      </c>
      <c r="E23" s="322">
        <v>0.1</v>
      </c>
      <c r="F23" s="329"/>
      <c r="G23" s="323">
        <v>0.1</v>
      </c>
    </row>
    <row r="24" spans="1:7">
      <c r="A24" s="320" t="s">
        <v>241</v>
      </c>
      <c r="B24" s="321" t="s">
        <v>2481</v>
      </c>
      <c r="C24" s="322">
        <v>0.095</v>
      </c>
      <c r="D24" s="322">
        <v>0.1</v>
      </c>
      <c r="E24" s="322">
        <v>0.098</v>
      </c>
      <c r="F24" s="329"/>
      <c r="G24" s="323">
        <v>0.1</v>
      </c>
    </row>
    <row r="25" spans="1:7">
      <c r="A25" s="320" t="s">
        <v>241</v>
      </c>
      <c r="B25" s="321" t="s">
        <v>2491</v>
      </c>
      <c r="C25" s="322">
        <v>0.05</v>
      </c>
      <c r="D25" s="322">
        <v>0.096</v>
      </c>
      <c r="E25" s="322">
        <v>0.096</v>
      </c>
      <c r="F25" s="329"/>
      <c r="G25" s="323">
        <v>0.096</v>
      </c>
    </row>
    <row r="26" spans="1:7">
      <c r="A26" s="320" t="s">
        <v>241</v>
      </c>
      <c r="B26" s="321" t="s">
        <v>2501</v>
      </c>
      <c r="C26" s="322">
        <v>0.063</v>
      </c>
      <c r="D26" s="322">
        <v>0.099</v>
      </c>
      <c r="E26" s="322">
        <v>0.098</v>
      </c>
      <c r="F26" s="329"/>
      <c r="G26" s="323">
        <v>0.1</v>
      </c>
    </row>
    <row r="27" spans="1:7">
      <c r="A27" s="320" t="s">
        <v>241</v>
      </c>
      <c r="B27" s="321" t="s">
        <v>2511</v>
      </c>
      <c r="C27" s="322">
        <v>0.052</v>
      </c>
      <c r="D27" s="322">
        <v>0.095</v>
      </c>
      <c r="E27" s="322">
        <v>0.064</v>
      </c>
      <c r="F27" s="329"/>
      <c r="G27" s="323">
        <v>0.097</v>
      </c>
    </row>
    <row r="28" spans="1:7">
      <c r="A28" s="320" t="s">
        <v>241</v>
      </c>
      <c r="B28" s="321" t="s">
        <v>2521</v>
      </c>
      <c r="C28" s="329"/>
      <c r="D28" s="322">
        <v>0.063</v>
      </c>
      <c r="E28" s="322">
        <v>0.052</v>
      </c>
      <c r="F28" s="329"/>
      <c r="G28" s="323">
        <v>0.063</v>
      </c>
    </row>
    <row r="29" ht="14.25" spans="1:7">
      <c r="A29" s="324" t="s">
        <v>241</v>
      </c>
      <c r="B29" s="325" t="s">
        <v>2531</v>
      </c>
      <c r="C29" s="330"/>
      <c r="D29" s="326">
        <v>0.052</v>
      </c>
      <c r="E29" s="326">
        <v>0.07</v>
      </c>
      <c r="F29" s="330"/>
      <c r="G29" s="328">
        <v>0.071</v>
      </c>
    </row>
    <row r="30" spans="1:7">
      <c r="A30" s="331" t="s">
        <v>251</v>
      </c>
      <c r="B30" s="317" t="s">
        <v>2329</v>
      </c>
      <c r="C30" s="318">
        <v>0.066</v>
      </c>
      <c r="D30" s="318">
        <v>0.066</v>
      </c>
      <c r="E30" s="318">
        <v>0.057</v>
      </c>
      <c r="F30" s="318">
        <v>0.1</v>
      </c>
      <c r="G30" s="319">
        <v>0.068</v>
      </c>
    </row>
    <row r="31" spans="1:7">
      <c r="A31" s="332" t="s">
        <v>251</v>
      </c>
      <c r="B31" s="321" t="s">
        <v>2342</v>
      </c>
      <c r="C31" s="322">
        <v>0.055</v>
      </c>
      <c r="D31" s="322">
        <v>0.082</v>
      </c>
      <c r="E31" s="322">
        <v>0.064</v>
      </c>
      <c r="F31" s="322">
        <v>0.1</v>
      </c>
      <c r="G31" s="323">
        <v>0.095</v>
      </c>
    </row>
    <row r="32" spans="1:7">
      <c r="A32" s="332" t="s">
        <v>251</v>
      </c>
      <c r="B32" s="321" t="s">
        <v>2356</v>
      </c>
      <c r="C32" s="322">
        <v>0.082</v>
      </c>
      <c r="D32" s="322">
        <v>0.087</v>
      </c>
      <c r="E32" s="322">
        <v>0.095</v>
      </c>
      <c r="F32" s="322">
        <v>0.1</v>
      </c>
      <c r="G32" s="323">
        <v>0.096</v>
      </c>
    </row>
    <row r="33" spans="1:7">
      <c r="A33" s="332" t="s">
        <v>251</v>
      </c>
      <c r="B33" s="321" t="s">
        <v>2368</v>
      </c>
      <c r="C33" s="322">
        <v>0.099</v>
      </c>
      <c r="D33" s="322">
        <v>0.092</v>
      </c>
      <c r="E33" s="322">
        <v>0.087</v>
      </c>
      <c r="F33" s="322">
        <v>0.1</v>
      </c>
      <c r="G33" s="323">
        <v>0.097</v>
      </c>
    </row>
    <row r="34" spans="1:7">
      <c r="A34" s="332" t="s">
        <v>251</v>
      </c>
      <c r="B34" s="321" t="s">
        <v>2380</v>
      </c>
      <c r="C34" s="322">
        <v>0.084</v>
      </c>
      <c r="D34" s="322">
        <v>0.097</v>
      </c>
      <c r="E34" s="322">
        <v>0.071</v>
      </c>
      <c r="F34" s="322">
        <v>0.1</v>
      </c>
      <c r="G34" s="323">
        <v>0.098</v>
      </c>
    </row>
    <row r="35" spans="1:7">
      <c r="A35" s="332" t="s">
        <v>251</v>
      </c>
      <c r="B35" s="321" t="s">
        <v>2391</v>
      </c>
      <c r="C35" s="322">
        <v>0.083</v>
      </c>
      <c r="D35" s="322">
        <v>0.097</v>
      </c>
      <c r="E35" s="322">
        <v>0.061</v>
      </c>
      <c r="F35" s="322">
        <v>0.1</v>
      </c>
      <c r="G35" s="323">
        <v>0.099</v>
      </c>
    </row>
    <row r="36" spans="1:7">
      <c r="A36" s="332" t="s">
        <v>251</v>
      </c>
      <c r="B36" s="321" t="s">
        <v>2402</v>
      </c>
      <c r="C36" s="322">
        <v>0.097</v>
      </c>
      <c r="D36" s="322">
        <v>0.097</v>
      </c>
      <c r="E36" s="322">
        <v>0.078</v>
      </c>
      <c r="F36" s="322">
        <v>0.1</v>
      </c>
      <c r="G36" s="323">
        <v>0.099</v>
      </c>
    </row>
    <row r="37" spans="1:7">
      <c r="A37" s="332" t="s">
        <v>251</v>
      </c>
      <c r="B37" s="321" t="s">
        <v>2413</v>
      </c>
      <c r="C37" s="322">
        <v>0.097</v>
      </c>
      <c r="D37" s="322">
        <v>0.095</v>
      </c>
      <c r="E37" s="322">
        <v>0.078</v>
      </c>
      <c r="F37" s="322">
        <v>0.1</v>
      </c>
      <c r="G37" s="323">
        <v>0.097</v>
      </c>
    </row>
    <row r="38" spans="1:7">
      <c r="A38" s="332" t="s">
        <v>251</v>
      </c>
      <c r="B38" s="321" t="s">
        <v>2423</v>
      </c>
      <c r="C38" s="322">
        <v>0.097</v>
      </c>
      <c r="D38" s="322">
        <v>0.077</v>
      </c>
      <c r="E38" s="322">
        <v>0.07</v>
      </c>
      <c r="F38" s="322">
        <v>0.1</v>
      </c>
      <c r="G38" s="323">
        <v>0.077</v>
      </c>
    </row>
    <row r="39" spans="1:7">
      <c r="A39" s="332" t="s">
        <v>251</v>
      </c>
      <c r="B39" s="321" t="s">
        <v>2433</v>
      </c>
      <c r="C39" s="322">
        <v>0.095</v>
      </c>
      <c r="D39" s="322">
        <v>0.077</v>
      </c>
      <c r="E39" s="322">
        <v>0.066</v>
      </c>
      <c r="F39" s="322">
        <v>0.1</v>
      </c>
      <c r="G39" s="323">
        <v>0.086</v>
      </c>
    </row>
    <row r="40" spans="1:7">
      <c r="A40" s="332" t="s">
        <v>251</v>
      </c>
      <c r="B40" s="321" t="s">
        <v>2443</v>
      </c>
      <c r="C40" s="322">
        <v>0.077</v>
      </c>
      <c r="D40" s="322">
        <v>0.078</v>
      </c>
      <c r="E40" s="322">
        <v>0.082</v>
      </c>
      <c r="F40" s="333"/>
      <c r="G40" s="323">
        <v>0.078</v>
      </c>
    </row>
    <row r="41" spans="1:7">
      <c r="A41" s="332" t="s">
        <v>251</v>
      </c>
      <c r="B41" s="321" t="s">
        <v>2452</v>
      </c>
      <c r="C41" s="322">
        <v>0.078</v>
      </c>
      <c r="D41" s="322">
        <v>0.078</v>
      </c>
      <c r="E41" s="322">
        <v>0.082</v>
      </c>
      <c r="F41" s="333"/>
      <c r="G41" s="323">
        <v>0.086</v>
      </c>
    </row>
    <row r="42" spans="1:7">
      <c r="A42" s="332" t="s">
        <v>251</v>
      </c>
      <c r="B42" s="321" t="s">
        <v>2462</v>
      </c>
      <c r="C42" s="322">
        <v>0.078</v>
      </c>
      <c r="D42" s="322">
        <v>0.096</v>
      </c>
      <c r="E42" s="322">
        <v>0.072</v>
      </c>
      <c r="F42" s="333"/>
      <c r="G42" s="323">
        <v>0.098</v>
      </c>
    </row>
    <row r="43" spans="1:7">
      <c r="A43" s="332" t="s">
        <v>251</v>
      </c>
      <c r="B43" s="321" t="s">
        <v>2472</v>
      </c>
      <c r="C43" s="322">
        <v>0.078</v>
      </c>
      <c r="D43" s="322">
        <v>0.099</v>
      </c>
      <c r="E43" s="322">
        <v>0.096</v>
      </c>
      <c r="F43" s="333"/>
      <c r="G43" s="323">
        <v>0.1</v>
      </c>
    </row>
    <row r="44" spans="1:7">
      <c r="A44" s="332" t="s">
        <v>251</v>
      </c>
      <c r="B44" s="321" t="s">
        <v>2482</v>
      </c>
      <c r="C44" s="322">
        <v>0.096</v>
      </c>
      <c r="D44" s="322">
        <v>0.1</v>
      </c>
      <c r="E44" s="322">
        <v>0.098</v>
      </c>
      <c r="F44" s="333"/>
      <c r="G44" s="323">
        <v>0.1</v>
      </c>
    </row>
    <row r="45" spans="1:7">
      <c r="A45" s="332" t="s">
        <v>251</v>
      </c>
      <c r="B45" s="321" t="s">
        <v>2492</v>
      </c>
      <c r="C45" s="322">
        <v>0.099</v>
      </c>
      <c r="D45" s="322">
        <v>0.098</v>
      </c>
      <c r="E45" s="322">
        <v>0.095</v>
      </c>
      <c r="F45" s="333"/>
      <c r="G45" s="323">
        <v>0.098</v>
      </c>
    </row>
    <row r="46" spans="1:7">
      <c r="A46" s="332" t="s">
        <v>251</v>
      </c>
      <c r="B46" s="321" t="s">
        <v>2502</v>
      </c>
      <c r="C46" s="322">
        <v>0.1</v>
      </c>
      <c r="D46" s="322">
        <v>0.099</v>
      </c>
      <c r="E46" s="322">
        <v>0.096</v>
      </c>
      <c r="F46" s="333"/>
      <c r="G46" s="323">
        <v>0.1</v>
      </c>
    </row>
    <row r="47" spans="1:7">
      <c r="A47" s="332" t="s">
        <v>251</v>
      </c>
      <c r="B47" s="321" t="s">
        <v>2512</v>
      </c>
      <c r="C47" s="322">
        <v>0.098</v>
      </c>
      <c r="D47" s="322">
        <v>0.087</v>
      </c>
      <c r="E47" s="322">
        <v>0.059</v>
      </c>
      <c r="F47" s="333"/>
      <c r="G47" s="323">
        <v>0.096</v>
      </c>
    </row>
    <row r="48" spans="1:7">
      <c r="A48" s="332" t="s">
        <v>251</v>
      </c>
      <c r="B48" s="321" t="s">
        <v>2522</v>
      </c>
      <c r="C48" s="322">
        <v>0.099</v>
      </c>
      <c r="D48" s="322">
        <v>0.098</v>
      </c>
      <c r="E48" s="322">
        <v>0.095</v>
      </c>
      <c r="F48" s="333"/>
      <c r="G48" s="323">
        <v>0.098</v>
      </c>
    </row>
    <row r="49" spans="1:7">
      <c r="A49" s="332" t="s">
        <v>251</v>
      </c>
      <c r="B49" s="321" t="s">
        <v>2532</v>
      </c>
      <c r="C49" s="322">
        <v>0.088</v>
      </c>
      <c r="D49" s="322">
        <v>0.099</v>
      </c>
      <c r="E49" s="322">
        <v>0.07</v>
      </c>
      <c r="F49" s="333"/>
      <c r="G49" s="323">
        <v>0.1</v>
      </c>
    </row>
    <row r="50" spans="1:7">
      <c r="A50" s="332" t="s">
        <v>251</v>
      </c>
      <c r="B50" s="321" t="s">
        <v>2541</v>
      </c>
      <c r="C50" s="322">
        <v>0.098</v>
      </c>
      <c r="D50" s="322">
        <v>0.073</v>
      </c>
      <c r="E50" s="322">
        <v>0.071</v>
      </c>
      <c r="F50" s="333"/>
      <c r="G50" s="323">
        <v>0.073</v>
      </c>
    </row>
    <row r="51" spans="1:7">
      <c r="A51" s="332" t="s">
        <v>251</v>
      </c>
      <c r="B51" s="321" t="s">
        <v>2549</v>
      </c>
      <c r="C51" s="322">
        <v>0.099</v>
      </c>
      <c r="D51" s="322">
        <v>0.085</v>
      </c>
      <c r="E51" s="322">
        <v>0.063</v>
      </c>
      <c r="F51" s="333"/>
      <c r="G51" s="323">
        <v>0.096</v>
      </c>
    </row>
    <row r="52" spans="1:7">
      <c r="A52" s="332" t="s">
        <v>251</v>
      </c>
      <c r="B52" s="321" t="s">
        <v>2557</v>
      </c>
      <c r="C52" s="322">
        <v>0.074</v>
      </c>
      <c r="D52" s="322">
        <v>0.096</v>
      </c>
      <c r="E52" s="322">
        <v>0.05</v>
      </c>
      <c r="F52" s="333"/>
      <c r="G52" s="323">
        <v>0.098</v>
      </c>
    </row>
    <row r="53" spans="1:7">
      <c r="A53" s="332" t="s">
        <v>251</v>
      </c>
      <c r="B53" s="321" t="s">
        <v>2565</v>
      </c>
      <c r="C53" s="322">
        <v>0.086</v>
      </c>
      <c r="D53" s="333"/>
      <c r="E53" s="322">
        <v>0.092</v>
      </c>
      <c r="F53" s="333"/>
      <c r="G53" s="334"/>
    </row>
    <row r="54" ht="14.25" spans="1:7">
      <c r="A54" s="335" t="s">
        <v>251</v>
      </c>
      <c r="B54" s="325" t="s">
        <v>2573</v>
      </c>
      <c r="C54" s="326">
        <v>0.096</v>
      </c>
      <c r="D54" s="327"/>
      <c r="E54" s="336"/>
      <c r="F54" s="327"/>
      <c r="G54" s="337"/>
    </row>
    <row r="55" spans="1:7">
      <c r="A55" s="331" t="s">
        <v>259</v>
      </c>
      <c r="B55" s="317" t="s">
        <v>2330</v>
      </c>
      <c r="C55" s="318">
        <v>0.096</v>
      </c>
      <c r="D55" s="318">
        <v>0.084</v>
      </c>
      <c r="E55" s="318">
        <v>0.092</v>
      </c>
      <c r="F55" s="318">
        <v>0.1</v>
      </c>
      <c r="G55" s="319">
        <v>0.095</v>
      </c>
    </row>
    <row r="56" spans="1:7">
      <c r="A56" s="332" t="s">
        <v>259</v>
      </c>
      <c r="B56" s="321" t="s">
        <v>2343</v>
      </c>
      <c r="C56" s="322">
        <v>0.084</v>
      </c>
      <c r="D56" s="322">
        <v>0.092</v>
      </c>
      <c r="E56" s="322">
        <v>0.095</v>
      </c>
      <c r="F56" s="322">
        <v>0.092</v>
      </c>
      <c r="G56" s="323">
        <v>0.096</v>
      </c>
    </row>
    <row r="57" spans="1:7">
      <c r="A57" s="332" t="s">
        <v>259</v>
      </c>
      <c r="B57" s="321" t="s">
        <v>2357</v>
      </c>
      <c r="C57" s="322">
        <v>0.099</v>
      </c>
      <c r="D57" s="322">
        <v>0.096</v>
      </c>
      <c r="E57" s="322">
        <v>0.092</v>
      </c>
      <c r="F57" s="322">
        <v>0.1</v>
      </c>
      <c r="G57" s="323">
        <v>0.098</v>
      </c>
    </row>
    <row r="58" spans="1:7">
      <c r="A58" s="332" t="s">
        <v>259</v>
      </c>
      <c r="B58" s="321" t="s">
        <v>2369</v>
      </c>
      <c r="C58" s="322">
        <v>0.098</v>
      </c>
      <c r="D58" s="322">
        <v>0.095</v>
      </c>
      <c r="E58" s="322">
        <v>0.057</v>
      </c>
      <c r="F58" s="322">
        <v>0.1</v>
      </c>
      <c r="G58" s="323">
        <v>0.096</v>
      </c>
    </row>
    <row r="59" spans="1:7">
      <c r="A59" s="332" t="s">
        <v>259</v>
      </c>
      <c r="B59" s="321" t="s">
        <v>2381</v>
      </c>
      <c r="C59" s="322">
        <v>0.095</v>
      </c>
      <c r="D59" s="322">
        <v>0.1</v>
      </c>
      <c r="E59" s="322">
        <v>0.075</v>
      </c>
      <c r="F59" s="322">
        <v>0.1</v>
      </c>
      <c r="G59" s="323">
        <v>0.1</v>
      </c>
    </row>
    <row r="60" spans="1:7">
      <c r="A60" s="332" t="s">
        <v>259</v>
      </c>
      <c r="B60" s="321" t="s">
        <v>2392</v>
      </c>
      <c r="C60" s="322">
        <v>0.1</v>
      </c>
      <c r="D60" s="322">
        <v>0.097</v>
      </c>
      <c r="E60" s="322">
        <v>0.1</v>
      </c>
      <c r="F60" s="322">
        <v>0.1</v>
      </c>
      <c r="G60" s="323">
        <v>0.097</v>
      </c>
    </row>
    <row r="61" spans="1:7">
      <c r="A61" s="332" t="s">
        <v>259</v>
      </c>
      <c r="B61" s="321" t="s">
        <v>2403</v>
      </c>
      <c r="C61" s="322">
        <v>0.097</v>
      </c>
      <c r="D61" s="322">
        <v>0.1</v>
      </c>
      <c r="E61" s="322">
        <v>0.093</v>
      </c>
      <c r="F61" s="322">
        <v>0.1</v>
      </c>
      <c r="G61" s="323">
        <v>0.1</v>
      </c>
    </row>
    <row r="62" spans="1:7">
      <c r="A62" s="332" t="s">
        <v>259</v>
      </c>
      <c r="B62" s="321" t="s">
        <v>2414</v>
      </c>
      <c r="C62" s="322">
        <v>0.1</v>
      </c>
      <c r="D62" s="322">
        <v>0.097</v>
      </c>
      <c r="E62" s="322">
        <v>0.089</v>
      </c>
      <c r="F62" s="322">
        <v>0.1</v>
      </c>
      <c r="G62" s="323">
        <v>0.098</v>
      </c>
    </row>
    <row r="63" spans="1:7">
      <c r="A63" s="332" t="s">
        <v>259</v>
      </c>
      <c r="B63" s="321" t="s">
        <v>2424</v>
      </c>
      <c r="C63" s="322">
        <v>0.097</v>
      </c>
      <c r="D63" s="322">
        <v>0.097</v>
      </c>
      <c r="E63" s="322">
        <v>0.099</v>
      </c>
      <c r="F63" s="322">
        <v>0.1</v>
      </c>
      <c r="G63" s="323">
        <v>0.097</v>
      </c>
    </row>
    <row r="64" spans="1:7">
      <c r="A64" s="332" t="s">
        <v>259</v>
      </c>
      <c r="B64" s="321" t="s">
        <v>2434</v>
      </c>
      <c r="C64" s="322">
        <v>0.097</v>
      </c>
      <c r="D64" s="322">
        <v>0.074</v>
      </c>
      <c r="E64" s="322">
        <v>0.078</v>
      </c>
      <c r="F64" s="322">
        <v>0.1</v>
      </c>
      <c r="G64" s="323">
        <v>0.089</v>
      </c>
    </row>
    <row r="65" spans="1:7">
      <c r="A65" s="332" t="s">
        <v>259</v>
      </c>
      <c r="B65" s="321" t="s">
        <v>2444</v>
      </c>
      <c r="C65" s="322">
        <v>0.073</v>
      </c>
      <c r="D65" s="322">
        <v>0.098</v>
      </c>
      <c r="E65" s="322">
        <v>0.095</v>
      </c>
      <c r="F65" s="322">
        <v>0.1</v>
      </c>
      <c r="G65" s="323">
        <v>0.099</v>
      </c>
    </row>
    <row r="66" spans="1:7">
      <c r="A66" s="332" t="s">
        <v>259</v>
      </c>
      <c r="B66" s="321" t="s">
        <v>2453</v>
      </c>
      <c r="C66" s="322">
        <v>0.098</v>
      </c>
      <c r="D66" s="322">
        <v>0.095</v>
      </c>
      <c r="E66" s="322">
        <v>0.05</v>
      </c>
      <c r="F66" s="322">
        <v>0.1</v>
      </c>
      <c r="G66" s="323">
        <v>0.097</v>
      </c>
    </row>
    <row r="67" spans="1:7">
      <c r="A67" s="332" t="s">
        <v>259</v>
      </c>
      <c r="B67" s="321" t="s">
        <v>2463</v>
      </c>
      <c r="C67" s="322">
        <v>0.095</v>
      </c>
      <c r="D67" s="322">
        <v>0.097</v>
      </c>
      <c r="E67" s="322">
        <v>0.097</v>
      </c>
      <c r="F67" s="322">
        <v>0.1</v>
      </c>
      <c r="G67" s="323">
        <v>0.099</v>
      </c>
    </row>
    <row r="68" spans="1:7">
      <c r="A68" s="332" t="s">
        <v>259</v>
      </c>
      <c r="B68" s="321" t="s">
        <v>2473</v>
      </c>
      <c r="C68" s="322">
        <v>0.097</v>
      </c>
      <c r="D68" s="322">
        <v>0.068</v>
      </c>
      <c r="E68" s="322">
        <v>0.066</v>
      </c>
      <c r="F68" s="322">
        <v>0.1</v>
      </c>
      <c r="G68" s="323">
        <v>0.084</v>
      </c>
    </row>
    <row r="69" spans="1:7">
      <c r="A69" s="332" t="s">
        <v>259</v>
      </c>
      <c r="B69" s="321" t="s">
        <v>2483</v>
      </c>
      <c r="C69" s="322">
        <v>0.068</v>
      </c>
      <c r="D69" s="322">
        <v>0.098</v>
      </c>
      <c r="E69" s="322">
        <v>0.095</v>
      </c>
      <c r="F69" s="322">
        <v>0.1</v>
      </c>
      <c r="G69" s="323">
        <v>0.1</v>
      </c>
    </row>
    <row r="70" spans="1:7">
      <c r="A70" s="332" t="s">
        <v>259</v>
      </c>
      <c r="B70" s="321" t="s">
        <v>2493</v>
      </c>
      <c r="C70" s="322">
        <v>0.098</v>
      </c>
      <c r="D70" s="322">
        <v>0.089</v>
      </c>
      <c r="E70" s="322">
        <v>0.059</v>
      </c>
      <c r="F70" s="322">
        <v>0.1</v>
      </c>
      <c r="G70" s="323">
        <v>0.096</v>
      </c>
    </row>
    <row r="71" spans="1:7">
      <c r="A71" s="332" t="s">
        <v>259</v>
      </c>
      <c r="B71" s="321" t="s">
        <v>2503</v>
      </c>
      <c r="C71" s="322">
        <v>0.089</v>
      </c>
      <c r="D71" s="322">
        <v>0.099</v>
      </c>
      <c r="E71" s="322">
        <v>0.096</v>
      </c>
      <c r="F71" s="322">
        <v>0.1</v>
      </c>
      <c r="G71" s="323">
        <v>0.1</v>
      </c>
    </row>
    <row r="72" spans="1:7">
      <c r="A72" s="332" t="s">
        <v>259</v>
      </c>
      <c r="B72" s="321" t="s">
        <v>2513</v>
      </c>
      <c r="C72" s="322">
        <v>0.099</v>
      </c>
      <c r="D72" s="322">
        <v>0.1</v>
      </c>
      <c r="E72" s="322">
        <v>0.07</v>
      </c>
      <c r="F72" s="333"/>
      <c r="G72" s="323">
        <v>0.1</v>
      </c>
    </row>
    <row r="73" spans="1:7">
      <c r="A73" s="332" t="s">
        <v>259</v>
      </c>
      <c r="B73" s="321" t="s">
        <v>2523</v>
      </c>
      <c r="C73" s="322">
        <v>0.1</v>
      </c>
      <c r="D73" s="322">
        <v>0.1</v>
      </c>
      <c r="E73" s="322">
        <v>0.096</v>
      </c>
      <c r="F73" s="333"/>
      <c r="G73" s="323">
        <v>0.1</v>
      </c>
    </row>
    <row r="74" spans="1:7">
      <c r="A74" s="332" t="s">
        <v>259</v>
      </c>
      <c r="B74" s="321" t="s">
        <v>2533</v>
      </c>
      <c r="C74" s="322">
        <v>0.1</v>
      </c>
      <c r="D74" s="322">
        <v>0.1</v>
      </c>
      <c r="E74" s="322">
        <v>0.098</v>
      </c>
      <c r="F74" s="333"/>
      <c r="G74" s="323">
        <v>0.1</v>
      </c>
    </row>
    <row r="75" spans="1:7">
      <c r="A75" s="332" t="s">
        <v>259</v>
      </c>
      <c r="B75" s="321" t="s">
        <v>2542</v>
      </c>
      <c r="C75" s="322">
        <v>0.1</v>
      </c>
      <c r="D75" s="322">
        <v>0.099</v>
      </c>
      <c r="E75" s="322">
        <v>0.098</v>
      </c>
      <c r="F75" s="333"/>
      <c r="G75" s="323">
        <v>0.1</v>
      </c>
    </row>
    <row r="76" spans="1:7">
      <c r="A76" s="332" t="s">
        <v>259</v>
      </c>
      <c r="B76" s="321" t="s">
        <v>2550</v>
      </c>
      <c r="C76" s="322">
        <v>0.099</v>
      </c>
      <c r="D76" s="322">
        <v>0.1</v>
      </c>
      <c r="E76" s="322">
        <v>0.097</v>
      </c>
      <c r="F76" s="333"/>
      <c r="G76" s="323">
        <v>0.1</v>
      </c>
    </row>
    <row r="77" spans="1:7">
      <c r="A77" s="332" t="s">
        <v>259</v>
      </c>
      <c r="B77" s="321" t="s">
        <v>2558</v>
      </c>
      <c r="C77" s="322">
        <v>0.1</v>
      </c>
      <c r="D77" s="322">
        <v>0.1</v>
      </c>
      <c r="E77" s="322">
        <v>0.096</v>
      </c>
      <c r="F77" s="333"/>
      <c r="G77" s="323">
        <v>0.1</v>
      </c>
    </row>
    <row r="78" spans="1:7">
      <c r="A78" s="332" t="s">
        <v>259</v>
      </c>
      <c r="B78" s="321" t="s">
        <v>2566</v>
      </c>
      <c r="C78" s="322">
        <v>0.1</v>
      </c>
      <c r="D78" s="322">
        <v>0.085</v>
      </c>
      <c r="E78" s="322">
        <v>0.096</v>
      </c>
      <c r="F78" s="333"/>
      <c r="G78" s="323">
        <v>0.096</v>
      </c>
    </row>
    <row r="79" spans="1:7">
      <c r="A79" s="332" t="s">
        <v>259</v>
      </c>
      <c r="B79" s="321" t="s">
        <v>2574</v>
      </c>
      <c r="C79" s="322">
        <v>0.05</v>
      </c>
      <c r="D79" s="322">
        <v>0.096</v>
      </c>
      <c r="E79" s="322">
        <v>0.095</v>
      </c>
      <c r="F79" s="333"/>
      <c r="G79" s="323">
        <v>0.098</v>
      </c>
    </row>
    <row r="80" spans="1:7">
      <c r="A80" s="332" t="s">
        <v>259</v>
      </c>
      <c r="B80" s="321" t="s">
        <v>2581</v>
      </c>
      <c r="C80" s="322">
        <v>0.086</v>
      </c>
      <c r="D80" s="338"/>
      <c r="E80" s="322">
        <v>0.1</v>
      </c>
      <c r="F80" s="333"/>
      <c r="G80" s="334"/>
    </row>
    <row r="81" spans="1:7">
      <c r="A81" s="332" t="s">
        <v>259</v>
      </c>
      <c r="B81" s="321" t="s">
        <v>2588</v>
      </c>
      <c r="C81" s="322">
        <v>0.096</v>
      </c>
      <c r="D81" s="333"/>
      <c r="E81" s="322">
        <v>0.098</v>
      </c>
      <c r="F81" s="333"/>
      <c r="G81" s="334"/>
    </row>
    <row r="82" spans="1:7">
      <c r="A82" s="332" t="s">
        <v>259</v>
      </c>
      <c r="B82" s="321" t="s">
        <v>2595</v>
      </c>
      <c r="C82" s="338"/>
      <c r="D82" s="333"/>
      <c r="E82" s="322">
        <v>0.077</v>
      </c>
      <c r="F82" s="333"/>
      <c r="G82" s="334"/>
    </row>
    <row r="83" spans="1:7">
      <c r="A83" s="332" t="s">
        <v>259</v>
      </c>
      <c r="B83" s="321" t="s">
        <v>2602</v>
      </c>
      <c r="C83" s="333"/>
      <c r="D83" s="333"/>
      <c r="E83" s="333"/>
      <c r="F83" s="322">
        <v>0.1</v>
      </c>
      <c r="G83" s="339"/>
    </row>
    <row r="84" spans="1:7">
      <c r="A84" s="332" t="s">
        <v>259</v>
      </c>
      <c r="B84" s="321" t="s">
        <v>2609</v>
      </c>
      <c r="C84" s="333"/>
      <c r="D84" s="333"/>
      <c r="E84" s="333"/>
      <c r="F84" s="322">
        <v>0.1</v>
      </c>
      <c r="G84" s="339"/>
    </row>
    <row r="85" spans="1:7">
      <c r="A85" s="332" t="s">
        <v>259</v>
      </c>
      <c r="B85" s="321" t="s">
        <v>2616</v>
      </c>
      <c r="C85" s="333"/>
      <c r="D85" s="333"/>
      <c r="E85" s="333"/>
      <c r="F85" s="322">
        <v>0.1</v>
      </c>
      <c r="G85" s="339"/>
    </row>
    <row r="86" ht="14.25" spans="1:7">
      <c r="A86" s="335" t="s">
        <v>259</v>
      </c>
      <c r="B86" s="325" t="s">
        <v>2623</v>
      </c>
      <c r="C86" s="326">
        <v>0.098</v>
      </c>
      <c r="D86" s="326">
        <v>0.098</v>
      </c>
      <c r="E86" s="326">
        <v>0.096</v>
      </c>
      <c r="F86" s="336"/>
      <c r="G86" s="328">
        <v>0.1</v>
      </c>
    </row>
    <row r="87" spans="1:7">
      <c r="A87" s="331" t="s">
        <v>267</v>
      </c>
      <c r="B87" s="317" t="s">
        <v>2331</v>
      </c>
      <c r="C87" s="318">
        <v>0.1</v>
      </c>
      <c r="D87" s="318">
        <v>0.1</v>
      </c>
      <c r="E87" s="318">
        <v>0.098</v>
      </c>
      <c r="F87" s="318">
        <v>0.1</v>
      </c>
      <c r="G87" s="319">
        <v>0.1</v>
      </c>
    </row>
    <row r="88" spans="1:7">
      <c r="A88" s="332" t="s">
        <v>267</v>
      </c>
      <c r="B88" s="321" t="s">
        <v>2344</v>
      </c>
      <c r="C88" s="322">
        <v>0.091</v>
      </c>
      <c r="D88" s="322">
        <v>0.092</v>
      </c>
      <c r="E88" s="322">
        <v>0.1</v>
      </c>
      <c r="F88" s="322">
        <v>0.1</v>
      </c>
      <c r="G88" s="323">
        <v>0.096</v>
      </c>
    </row>
    <row r="89" spans="1:7">
      <c r="A89" s="332" t="s">
        <v>267</v>
      </c>
      <c r="B89" s="321" t="s">
        <v>2358</v>
      </c>
      <c r="C89" s="322">
        <v>0.1</v>
      </c>
      <c r="D89" s="322">
        <v>0.1</v>
      </c>
      <c r="E89" s="322">
        <v>0.067</v>
      </c>
      <c r="F89" s="322">
        <v>0.093</v>
      </c>
      <c r="G89" s="323">
        <v>0.1</v>
      </c>
    </row>
    <row r="90" spans="1:7">
      <c r="A90" s="332" t="s">
        <v>267</v>
      </c>
      <c r="B90" s="321" t="s">
        <v>2370</v>
      </c>
      <c r="C90" s="322">
        <v>0.096</v>
      </c>
      <c r="D90" s="322">
        <v>0.096</v>
      </c>
      <c r="E90" s="322">
        <v>0.1</v>
      </c>
      <c r="F90" s="322">
        <v>0.1</v>
      </c>
      <c r="G90" s="323">
        <v>0.098</v>
      </c>
    </row>
    <row r="91" spans="1:7">
      <c r="A91" s="332" t="s">
        <v>267</v>
      </c>
      <c r="B91" s="321" t="s">
        <v>2382</v>
      </c>
      <c r="C91" s="322">
        <v>0.077</v>
      </c>
      <c r="D91" s="322">
        <v>0.077</v>
      </c>
      <c r="E91" s="322">
        <v>0.096</v>
      </c>
      <c r="F91" s="322">
        <v>0.1</v>
      </c>
      <c r="G91" s="323">
        <v>0.077</v>
      </c>
    </row>
    <row r="92" spans="1:7">
      <c r="A92" s="332" t="s">
        <v>267</v>
      </c>
      <c r="B92" s="321" t="s">
        <v>2393</v>
      </c>
      <c r="C92" s="322">
        <v>0.1</v>
      </c>
      <c r="D92" s="322">
        <v>0.1</v>
      </c>
      <c r="E92" s="322">
        <v>0.092</v>
      </c>
      <c r="F92" s="322">
        <v>0.1</v>
      </c>
      <c r="G92" s="323">
        <v>0.1</v>
      </c>
    </row>
    <row r="93" spans="1:7">
      <c r="A93" s="332" t="s">
        <v>267</v>
      </c>
      <c r="B93" s="321" t="s">
        <v>2404</v>
      </c>
      <c r="C93" s="322">
        <v>0.098</v>
      </c>
      <c r="D93" s="322">
        <v>0.098</v>
      </c>
      <c r="E93" s="322">
        <v>0.096</v>
      </c>
      <c r="F93" s="322">
        <v>0.1</v>
      </c>
      <c r="G93" s="323">
        <v>0.099</v>
      </c>
    </row>
    <row r="94" spans="1:7">
      <c r="A94" s="332" t="s">
        <v>267</v>
      </c>
      <c r="B94" s="321" t="s">
        <v>2415</v>
      </c>
      <c r="C94" s="322">
        <v>0.088</v>
      </c>
      <c r="D94" s="322">
        <v>0.088</v>
      </c>
      <c r="E94" s="322">
        <v>0.096</v>
      </c>
      <c r="F94" s="322">
        <v>0.1</v>
      </c>
      <c r="G94" s="323">
        <v>0.088</v>
      </c>
    </row>
    <row r="95" spans="1:7">
      <c r="A95" s="332" t="s">
        <v>267</v>
      </c>
      <c r="B95" s="321" t="s">
        <v>2425</v>
      </c>
      <c r="C95" s="322">
        <v>0.096</v>
      </c>
      <c r="D95" s="322">
        <v>0.096</v>
      </c>
      <c r="E95" s="322">
        <v>0.1</v>
      </c>
      <c r="F95" s="322">
        <v>0.1</v>
      </c>
      <c r="G95" s="323">
        <v>0.098</v>
      </c>
    </row>
    <row r="96" spans="1:7">
      <c r="A96" s="332" t="s">
        <v>267</v>
      </c>
      <c r="B96" s="321" t="s">
        <v>2435</v>
      </c>
      <c r="C96" s="322">
        <v>0.097</v>
      </c>
      <c r="D96" s="322">
        <v>0.097</v>
      </c>
      <c r="E96" s="322">
        <v>0.1</v>
      </c>
      <c r="F96" s="322">
        <v>0.1</v>
      </c>
      <c r="G96" s="323">
        <v>0.098</v>
      </c>
    </row>
    <row r="97" spans="1:7">
      <c r="A97" s="332" t="s">
        <v>267</v>
      </c>
      <c r="B97" s="321" t="s">
        <v>2445</v>
      </c>
      <c r="C97" s="322">
        <v>0.096</v>
      </c>
      <c r="D97" s="322">
        <v>0.096</v>
      </c>
      <c r="E97" s="322">
        <v>0.099</v>
      </c>
      <c r="F97" s="322">
        <v>0.1</v>
      </c>
      <c r="G97" s="323">
        <v>0.098</v>
      </c>
    </row>
    <row r="98" spans="1:7">
      <c r="A98" s="332" t="s">
        <v>267</v>
      </c>
      <c r="B98" s="321" t="s">
        <v>2454</v>
      </c>
      <c r="C98" s="322">
        <v>0.098</v>
      </c>
      <c r="D98" s="322">
        <v>0.098</v>
      </c>
      <c r="E98" s="322">
        <v>0.1</v>
      </c>
      <c r="F98" s="322">
        <v>0.1</v>
      </c>
      <c r="G98" s="323">
        <v>0.099</v>
      </c>
    </row>
    <row r="99" spans="1:7">
      <c r="A99" s="332" t="s">
        <v>267</v>
      </c>
      <c r="B99" s="321" t="s">
        <v>2464</v>
      </c>
      <c r="C99" s="322">
        <v>0.096</v>
      </c>
      <c r="D99" s="322">
        <v>0.096</v>
      </c>
      <c r="E99" s="322">
        <v>0.1</v>
      </c>
      <c r="F99" s="322">
        <v>0.1</v>
      </c>
      <c r="G99" s="323">
        <v>0.097</v>
      </c>
    </row>
    <row r="100" spans="1:7">
      <c r="A100" s="332" t="s">
        <v>267</v>
      </c>
      <c r="B100" s="321" t="s">
        <v>2474</v>
      </c>
      <c r="C100" s="322">
        <v>0.1</v>
      </c>
      <c r="D100" s="322">
        <v>0.1</v>
      </c>
      <c r="E100" s="322">
        <v>0.097</v>
      </c>
      <c r="F100" s="322">
        <v>0.098</v>
      </c>
      <c r="G100" s="323">
        <v>0.1</v>
      </c>
    </row>
    <row r="101" spans="1:7">
      <c r="A101" s="332" t="s">
        <v>267</v>
      </c>
      <c r="B101" s="321" t="s">
        <v>2484</v>
      </c>
      <c r="C101" s="322">
        <v>0.1</v>
      </c>
      <c r="D101" s="322">
        <v>0.1</v>
      </c>
      <c r="E101" s="322">
        <v>0.095</v>
      </c>
      <c r="F101" s="322">
        <v>0.1</v>
      </c>
      <c r="G101" s="323">
        <v>0.1</v>
      </c>
    </row>
    <row r="102" spans="1:7">
      <c r="A102" s="332" t="s">
        <v>267</v>
      </c>
      <c r="B102" s="321" t="s">
        <v>2494</v>
      </c>
      <c r="C102" s="322">
        <v>0.1</v>
      </c>
      <c r="D102" s="322">
        <v>0.1</v>
      </c>
      <c r="E102" s="322">
        <v>0.099</v>
      </c>
      <c r="F102" s="322">
        <v>0.097</v>
      </c>
      <c r="G102" s="323">
        <v>0.1</v>
      </c>
    </row>
    <row r="103" spans="1:7">
      <c r="A103" s="332" t="s">
        <v>267</v>
      </c>
      <c r="B103" s="321" t="s">
        <v>2504</v>
      </c>
      <c r="C103" s="322">
        <v>0.1</v>
      </c>
      <c r="D103" s="322">
        <v>0.1</v>
      </c>
      <c r="E103" s="322">
        <v>0.098</v>
      </c>
      <c r="F103" s="322">
        <v>0.1</v>
      </c>
      <c r="G103" s="323">
        <v>0.1</v>
      </c>
    </row>
    <row r="104" spans="1:7">
      <c r="A104" s="332" t="s">
        <v>267</v>
      </c>
      <c r="B104" s="321" t="s">
        <v>2514</v>
      </c>
      <c r="C104" s="322">
        <v>0.1</v>
      </c>
      <c r="D104" s="322">
        <v>0.1</v>
      </c>
      <c r="E104" s="322">
        <v>0.098</v>
      </c>
      <c r="F104" s="322">
        <v>0.1</v>
      </c>
      <c r="G104" s="323">
        <v>0.1</v>
      </c>
    </row>
    <row r="105" spans="1:7">
      <c r="A105" s="332" t="s">
        <v>267</v>
      </c>
      <c r="B105" s="321" t="s">
        <v>2524</v>
      </c>
      <c r="C105" s="322">
        <v>0.098</v>
      </c>
      <c r="D105" s="322">
        <v>0.098</v>
      </c>
      <c r="E105" s="322">
        <v>0.098</v>
      </c>
      <c r="F105" s="322">
        <v>0.1</v>
      </c>
      <c r="G105" s="323">
        <v>0.099</v>
      </c>
    </row>
    <row r="106" spans="1:7">
      <c r="A106" s="332" t="s">
        <v>267</v>
      </c>
      <c r="B106" s="321" t="s">
        <v>2534</v>
      </c>
      <c r="C106" s="322">
        <v>0.097</v>
      </c>
      <c r="D106" s="322">
        <v>0.097</v>
      </c>
      <c r="E106" s="322">
        <v>0.097</v>
      </c>
      <c r="F106" s="322">
        <v>0.1</v>
      </c>
      <c r="G106" s="323">
        <v>0.099</v>
      </c>
    </row>
    <row r="107" spans="1:7">
      <c r="A107" s="332" t="s">
        <v>267</v>
      </c>
      <c r="B107" s="321" t="s">
        <v>2543</v>
      </c>
      <c r="C107" s="322">
        <v>0.1</v>
      </c>
      <c r="D107" s="322">
        <v>0.1</v>
      </c>
      <c r="E107" s="322">
        <v>0.086</v>
      </c>
      <c r="F107" s="322">
        <v>0.09</v>
      </c>
      <c r="G107" s="323">
        <v>0.1</v>
      </c>
    </row>
    <row r="108" spans="1:7">
      <c r="A108" s="332" t="s">
        <v>267</v>
      </c>
      <c r="B108" s="321" t="s">
        <v>2551</v>
      </c>
      <c r="C108" s="322">
        <v>0.1</v>
      </c>
      <c r="D108" s="322">
        <v>0.1</v>
      </c>
      <c r="E108" s="322">
        <v>0.096</v>
      </c>
      <c r="F108" s="333"/>
      <c r="G108" s="323">
        <v>0.1</v>
      </c>
    </row>
    <row r="109" spans="1:7">
      <c r="A109" s="332" t="s">
        <v>267</v>
      </c>
      <c r="B109" s="321" t="s">
        <v>2559</v>
      </c>
      <c r="C109" s="322">
        <v>0.1</v>
      </c>
      <c r="D109" s="322">
        <v>0.1</v>
      </c>
      <c r="E109" s="322">
        <v>0.1</v>
      </c>
      <c r="F109" s="333"/>
      <c r="G109" s="323">
        <v>0.1</v>
      </c>
    </row>
    <row r="110" spans="1:7">
      <c r="A110" s="332" t="s">
        <v>267</v>
      </c>
      <c r="B110" s="321" t="s">
        <v>2567</v>
      </c>
      <c r="C110" s="322">
        <v>0.1</v>
      </c>
      <c r="D110" s="322">
        <v>0.1</v>
      </c>
      <c r="E110" s="322">
        <v>0.1</v>
      </c>
      <c r="F110" s="333"/>
      <c r="G110" s="323">
        <v>0.1</v>
      </c>
    </row>
    <row r="111" spans="1:7">
      <c r="A111" s="332" t="s">
        <v>267</v>
      </c>
      <c r="B111" s="321" t="s">
        <v>2575</v>
      </c>
      <c r="C111" s="322">
        <v>0.1</v>
      </c>
      <c r="D111" s="322">
        <v>0.1</v>
      </c>
      <c r="E111" s="322">
        <v>0.095</v>
      </c>
      <c r="F111" s="333"/>
      <c r="G111" s="323">
        <v>0.1</v>
      </c>
    </row>
    <row r="112" spans="1:7">
      <c r="A112" s="332" t="s">
        <v>267</v>
      </c>
      <c r="B112" s="321" t="s">
        <v>2582</v>
      </c>
      <c r="C112" s="322">
        <v>0.097</v>
      </c>
      <c r="D112" s="322">
        <v>0.097</v>
      </c>
      <c r="E112" s="322">
        <v>0.05</v>
      </c>
      <c r="F112" s="333"/>
      <c r="G112" s="323">
        <v>0.098</v>
      </c>
    </row>
    <row r="113" spans="1:7">
      <c r="A113" s="332" t="s">
        <v>267</v>
      </c>
      <c r="B113" s="321" t="s">
        <v>2589</v>
      </c>
      <c r="C113" s="322">
        <v>0.1</v>
      </c>
      <c r="D113" s="322">
        <v>0.1</v>
      </c>
      <c r="E113" s="333"/>
      <c r="F113" s="333"/>
      <c r="G113" s="323">
        <v>0.1</v>
      </c>
    </row>
    <row r="114" spans="1:7">
      <c r="A114" s="332" t="s">
        <v>267</v>
      </c>
      <c r="B114" s="321" t="s">
        <v>2596</v>
      </c>
      <c r="C114" s="322">
        <v>0.097</v>
      </c>
      <c r="D114" s="322">
        <v>0.097</v>
      </c>
      <c r="E114" s="333"/>
      <c r="F114" s="333"/>
      <c r="G114" s="323">
        <v>0.099</v>
      </c>
    </row>
    <row r="115" spans="1:7">
      <c r="A115" s="332" t="s">
        <v>267</v>
      </c>
      <c r="B115" s="321" t="s">
        <v>2603</v>
      </c>
      <c r="C115" s="322">
        <v>0.1</v>
      </c>
      <c r="D115" s="322">
        <v>0.1</v>
      </c>
      <c r="E115" s="333"/>
      <c r="F115" s="333"/>
      <c r="G115" s="323">
        <v>0.1</v>
      </c>
    </row>
    <row r="116" spans="1:7">
      <c r="A116" s="332" t="s">
        <v>267</v>
      </c>
      <c r="B116" s="321" t="s">
        <v>2610</v>
      </c>
      <c r="C116" s="322">
        <v>0.1</v>
      </c>
      <c r="D116" s="322">
        <v>0.1</v>
      </c>
      <c r="E116" s="333"/>
      <c r="F116" s="333"/>
      <c r="G116" s="323">
        <v>0.1</v>
      </c>
    </row>
    <row r="117" spans="1:7">
      <c r="A117" s="332" t="s">
        <v>267</v>
      </c>
      <c r="B117" s="321" t="s">
        <v>2617</v>
      </c>
      <c r="C117" s="322">
        <v>0.097</v>
      </c>
      <c r="D117" s="322">
        <v>0.097</v>
      </c>
      <c r="E117" s="333"/>
      <c r="F117" s="333"/>
      <c r="G117" s="323">
        <v>0.097</v>
      </c>
    </row>
    <row r="118" spans="1:7">
      <c r="A118" s="332" t="s">
        <v>267</v>
      </c>
      <c r="B118" s="321" t="s">
        <v>2624</v>
      </c>
      <c r="C118" s="322">
        <v>0.1</v>
      </c>
      <c r="D118" s="322">
        <v>0.1</v>
      </c>
      <c r="E118" s="333"/>
      <c r="F118" s="333"/>
      <c r="G118" s="323">
        <v>0.1</v>
      </c>
    </row>
    <row r="119" spans="1:7">
      <c r="A119" s="332" t="s">
        <v>267</v>
      </c>
      <c r="B119" s="321" t="s">
        <v>2629</v>
      </c>
      <c r="C119" s="322">
        <v>0.051</v>
      </c>
      <c r="D119" s="322">
        <v>0.052</v>
      </c>
      <c r="E119" s="333"/>
      <c r="F119" s="338"/>
      <c r="G119" s="323">
        <v>0.06</v>
      </c>
    </row>
    <row r="120" spans="1:7">
      <c r="A120" s="332" t="s">
        <v>267</v>
      </c>
      <c r="B120" s="321" t="s">
        <v>2634</v>
      </c>
      <c r="C120" s="333"/>
      <c r="D120" s="333"/>
      <c r="E120" s="333"/>
      <c r="F120" s="322">
        <v>0.1</v>
      </c>
      <c r="G120" s="339"/>
    </row>
    <row r="121" spans="1:7">
      <c r="A121" s="332" t="s">
        <v>267</v>
      </c>
      <c r="B121" s="321" t="s">
        <v>2639</v>
      </c>
      <c r="C121" s="333"/>
      <c r="D121" s="333"/>
      <c r="E121" s="333"/>
      <c r="F121" s="322">
        <v>0.1</v>
      </c>
      <c r="G121" s="339"/>
    </row>
    <row r="122" spans="1:7">
      <c r="A122" s="332" t="s">
        <v>267</v>
      </c>
      <c r="B122" s="321" t="s">
        <v>2644</v>
      </c>
      <c r="C122" s="322">
        <v>0.1</v>
      </c>
      <c r="D122" s="322">
        <v>0.1</v>
      </c>
      <c r="E122" s="322">
        <v>0.098</v>
      </c>
      <c r="F122" s="322">
        <v>0.1</v>
      </c>
      <c r="G122" s="323">
        <v>0.1</v>
      </c>
    </row>
    <row r="123" spans="1:7">
      <c r="A123" s="332" t="s">
        <v>267</v>
      </c>
      <c r="B123" s="321" t="s">
        <v>2649</v>
      </c>
      <c r="C123" s="322">
        <v>0.1</v>
      </c>
      <c r="D123" s="322">
        <v>0.1</v>
      </c>
      <c r="E123" s="322">
        <v>0.098</v>
      </c>
      <c r="F123" s="322">
        <v>0.1</v>
      </c>
      <c r="G123" s="323">
        <v>0.1</v>
      </c>
    </row>
    <row r="124" spans="1:7">
      <c r="A124" s="332" t="s">
        <v>267</v>
      </c>
      <c r="B124" s="321" t="s">
        <v>2654</v>
      </c>
      <c r="C124" s="322">
        <v>0.1</v>
      </c>
      <c r="D124" s="322">
        <v>0.1</v>
      </c>
      <c r="E124" s="322">
        <v>0.098</v>
      </c>
      <c r="F124" s="338"/>
      <c r="G124" s="323">
        <v>0.1</v>
      </c>
    </row>
    <row r="125" spans="1:7">
      <c r="A125" s="332" t="s">
        <v>267</v>
      </c>
      <c r="B125" s="321" t="s">
        <v>2659</v>
      </c>
      <c r="C125" s="322">
        <v>0.098</v>
      </c>
      <c r="D125" s="322">
        <v>0.098</v>
      </c>
      <c r="E125" s="322">
        <v>0.096</v>
      </c>
      <c r="F125" s="338"/>
      <c r="G125" s="323">
        <v>0.1</v>
      </c>
    </row>
    <row r="126" ht="14.25" spans="1:7">
      <c r="A126" s="335" t="s">
        <v>267</v>
      </c>
      <c r="B126" s="325" t="s">
        <v>2664</v>
      </c>
      <c r="C126" s="326">
        <v>0.1</v>
      </c>
      <c r="D126" s="326">
        <v>0.1</v>
      </c>
      <c r="E126" s="326">
        <v>0.098</v>
      </c>
      <c r="F126" s="326">
        <v>0.1</v>
      </c>
      <c r="G126" s="328">
        <v>0.1</v>
      </c>
    </row>
    <row r="127" spans="1:7">
      <c r="A127" s="331" t="s">
        <v>273</v>
      </c>
      <c r="B127" s="317" t="s">
        <v>2332</v>
      </c>
      <c r="C127" s="318">
        <v>0.121</v>
      </c>
      <c r="D127" s="318">
        <v>0.121</v>
      </c>
      <c r="E127" s="318">
        <v>0.107</v>
      </c>
      <c r="F127" s="318">
        <v>0.13</v>
      </c>
      <c r="G127" s="319">
        <v>0.122</v>
      </c>
    </row>
    <row r="128" spans="1:7">
      <c r="A128" s="332" t="s">
        <v>273</v>
      </c>
      <c r="B128" s="321" t="s">
        <v>2345</v>
      </c>
      <c r="C128" s="322">
        <v>0.116</v>
      </c>
      <c r="D128" s="322">
        <v>0.117</v>
      </c>
      <c r="E128" s="322">
        <v>0.104</v>
      </c>
      <c r="F128" s="322">
        <v>0.13</v>
      </c>
      <c r="G128" s="323">
        <v>0.117</v>
      </c>
    </row>
    <row r="129" spans="1:7">
      <c r="A129" s="332" t="s">
        <v>273</v>
      </c>
      <c r="B129" s="321" t="s">
        <v>2359</v>
      </c>
      <c r="C129" s="322">
        <v>0.107</v>
      </c>
      <c r="D129" s="322">
        <v>0.108</v>
      </c>
      <c r="E129" s="322">
        <v>0.1</v>
      </c>
      <c r="F129" s="322">
        <v>0.13</v>
      </c>
      <c r="G129" s="323">
        <v>0.117</v>
      </c>
    </row>
    <row r="130" spans="1:7">
      <c r="A130" s="332" t="s">
        <v>273</v>
      </c>
      <c r="B130" s="321" t="s">
        <v>2371</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2394</v>
      </c>
      <c r="C132" s="322">
        <v>0.13</v>
      </c>
      <c r="D132" s="322">
        <v>0.13</v>
      </c>
      <c r="E132" s="322">
        <v>0.126</v>
      </c>
      <c r="F132" s="322">
        <v>0.13</v>
      </c>
      <c r="G132" s="323">
        <v>0.13</v>
      </c>
    </row>
    <row r="133" spans="1:7">
      <c r="A133" s="332" t="s">
        <v>273</v>
      </c>
      <c r="B133" s="321" t="s">
        <v>2405</v>
      </c>
      <c r="C133" s="322">
        <v>0.111</v>
      </c>
      <c r="D133" s="322">
        <v>0.111</v>
      </c>
      <c r="E133" s="322">
        <v>0.102</v>
      </c>
      <c r="F133" s="322">
        <v>0.13</v>
      </c>
      <c r="G133" s="323">
        <v>0.121</v>
      </c>
    </row>
    <row r="134" spans="1:7">
      <c r="A134" s="332" t="s">
        <v>273</v>
      </c>
      <c r="B134" s="321" t="s">
        <v>2416</v>
      </c>
      <c r="C134" s="322">
        <v>0.121</v>
      </c>
      <c r="D134" s="322">
        <v>0.121</v>
      </c>
      <c r="E134" s="322">
        <v>0.1</v>
      </c>
      <c r="F134" s="322">
        <v>0.13</v>
      </c>
      <c r="G134" s="323">
        <v>0.123</v>
      </c>
    </row>
    <row r="135" spans="1:7">
      <c r="A135" s="332" t="s">
        <v>273</v>
      </c>
      <c r="B135" s="321" t="s">
        <v>2426</v>
      </c>
      <c r="C135" s="322">
        <v>0.105</v>
      </c>
      <c r="D135" s="322">
        <v>0.106</v>
      </c>
      <c r="E135" s="322">
        <v>0.1</v>
      </c>
      <c r="F135" s="322">
        <v>0.13</v>
      </c>
      <c r="G135" s="323">
        <v>0.115</v>
      </c>
    </row>
    <row r="136" spans="1:7">
      <c r="A136" s="332" t="s">
        <v>273</v>
      </c>
      <c r="B136" s="321" t="s">
        <v>2436</v>
      </c>
      <c r="C136" s="322">
        <v>0.127</v>
      </c>
      <c r="D136" s="322">
        <v>0.127</v>
      </c>
      <c r="E136" s="322">
        <v>0.121</v>
      </c>
      <c r="F136" s="322">
        <v>0.123</v>
      </c>
      <c r="G136" s="323">
        <v>0.129</v>
      </c>
    </row>
    <row r="137" spans="1:7">
      <c r="A137" s="332" t="s">
        <v>273</v>
      </c>
      <c r="B137" s="321" t="s">
        <v>2446</v>
      </c>
      <c r="C137" s="322">
        <v>0.13</v>
      </c>
      <c r="D137" s="322">
        <v>0.13</v>
      </c>
      <c r="E137" s="322">
        <v>0.129</v>
      </c>
      <c r="F137" s="322">
        <v>0.13</v>
      </c>
      <c r="G137" s="323">
        <v>0.13</v>
      </c>
    </row>
    <row r="138" spans="1:7">
      <c r="A138" s="332" t="s">
        <v>273</v>
      </c>
      <c r="B138" s="321" t="s">
        <v>2455</v>
      </c>
      <c r="C138" s="322">
        <v>0.13</v>
      </c>
      <c r="D138" s="322">
        <v>0.13</v>
      </c>
      <c r="E138" s="322">
        <v>0.125</v>
      </c>
      <c r="F138" s="322">
        <v>0.13</v>
      </c>
      <c r="G138" s="323">
        <v>0.13</v>
      </c>
    </row>
    <row r="139" spans="1:7">
      <c r="A139" s="332" t="s">
        <v>273</v>
      </c>
      <c r="B139" s="321" t="s">
        <v>2465</v>
      </c>
      <c r="C139" s="322">
        <v>0.13</v>
      </c>
      <c r="D139" s="322">
        <v>0.13</v>
      </c>
      <c r="E139" s="322">
        <v>0.126</v>
      </c>
      <c r="F139" s="322">
        <v>0.13</v>
      </c>
      <c r="G139" s="323">
        <v>0.13</v>
      </c>
    </row>
    <row r="140" spans="1:7">
      <c r="A140" s="332" t="s">
        <v>273</v>
      </c>
      <c r="B140" s="321" t="s">
        <v>2475</v>
      </c>
      <c r="C140" s="322">
        <v>0.1</v>
      </c>
      <c r="D140" s="322">
        <v>0.1</v>
      </c>
      <c r="E140" s="322">
        <v>0.1</v>
      </c>
      <c r="F140" s="322">
        <v>0.123</v>
      </c>
      <c r="G140" s="323">
        <v>0.107</v>
      </c>
    </row>
    <row r="141" spans="1:7">
      <c r="A141" s="332" t="s">
        <v>273</v>
      </c>
      <c r="B141" s="321" t="s">
        <v>2485</v>
      </c>
      <c r="C141" s="322">
        <v>0.127</v>
      </c>
      <c r="D141" s="322">
        <v>0.127</v>
      </c>
      <c r="E141" s="322">
        <v>0.122</v>
      </c>
      <c r="F141" s="322">
        <v>0.1</v>
      </c>
      <c r="G141" s="323">
        <v>0.129</v>
      </c>
    </row>
    <row r="142" spans="1:7">
      <c r="A142" s="332" t="s">
        <v>273</v>
      </c>
      <c r="B142" s="321" t="s">
        <v>2495</v>
      </c>
      <c r="C142" s="322">
        <v>0.121</v>
      </c>
      <c r="D142" s="322">
        <v>0.122</v>
      </c>
      <c r="E142" s="322">
        <v>0.1</v>
      </c>
      <c r="F142" s="322">
        <v>0.123</v>
      </c>
      <c r="G142" s="323">
        <v>0.123</v>
      </c>
    </row>
    <row r="143" spans="1:7">
      <c r="A143" s="332" t="s">
        <v>273</v>
      </c>
      <c r="B143" s="321" t="s">
        <v>2505</v>
      </c>
      <c r="C143" s="322">
        <v>0.1</v>
      </c>
      <c r="D143" s="322">
        <v>0.1</v>
      </c>
      <c r="E143" s="322">
        <v>0.1</v>
      </c>
      <c r="F143" s="322">
        <v>0.13</v>
      </c>
      <c r="G143" s="323">
        <v>0.1</v>
      </c>
    </row>
    <row r="144" spans="1:7">
      <c r="A144" s="332" t="s">
        <v>273</v>
      </c>
      <c r="B144" s="321" t="s">
        <v>2515</v>
      </c>
      <c r="C144" s="322">
        <v>0.106</v>
      </c>
      <c r="D144" s="322">
        <v>0.105</v>
      </c>
      <c r="E144" s="322">
        <v>0.1</v>
      </c>
      <c r="F144" s="322">
        <v>0.13</v>
      </c>
      <c r="G144" s="323">
        <v>0.118</v>
      </c>
    </row>
    <row r="145" spans="1:7">
      <c r="A145" s="332" t="s">
        <v>273</v>
      </c>
      <c r="B145" s="321" t="s">
        <v>2525</v>
      </c>
      <c r="C145" s="322">
        <v>0.123</v>
      </c>
      <c r="D145" s="322">
        <v>0.123</v>
      </c>
      <c r="E145" s="322">
        <v>0.117</v>
      </c>
      <c r="F145" s="322">
        <v>0.13</v>
      </c>
      <c r="G145" s="323">
        <v>0.126</v>
      </c>
    </row>
    <row r="146" spans="1:7">
      <c r="A146" s="332" t="s">
        <v>273</v>
      </c>
      <c r="B146" s="321" t="s">
        <v>2535</v>
      </c>
      <c r="C146" s="322">
        <v>0.127</v>
      </c>
      <c r="D146" s="322">
        <v>0.127</v>
      </c>
      <c r="E146" s="322">
        <v>0.12</v>
      </c>
      <c r="F146" s="333"/>
      <c r="G146" s="323">
        <v>0.129</v>
      </c>
    </row>
    <row r="147" spans="1:7">
      <c r="A147" s="332" t="s">
        <v>273</v>
      </c>
      <c r="B147" s="321" t="s">
        <v>2544</v>
      </c>
      <c r="C147" s="322">
        <v>0.13</v>
      </c>
      <c r="D147" s="322">
        <v>0.13</v>
      </c>
      <c r="E147" s="322">
        <v>0.126</v>
      </c>
      <c r="F147" s="333"/>
      <c r="G147" s="323">
        <v>0.13</v>
      </c>
    </row>
    <row r="148" spans="1:7">
      <c r="A148" s="332" t="s">
        <v>273</v>
      </c>
      <c r="B148" s="321" t="s">
        <v>2552</v>
      </c>
      <c r="C148" s="322">
        <v>0.13</v>
      </c>
      <c r="D148" s="322">
        <v>0.13</v>
      </c>
      <c r="E148" s="322">
        <v>0.13</v>
      </c>
      <c r="F148" s="333"/>
      <c r="G148" s="323">
        <v>0.13</v>
      </c>
    </row>
    <row r="149" spans="1:7">
      <c r="A149" s="332" t="s">
        <v>273</v>
      </c>
      <c r="B149" s="321" t="s">
        <v>2560</v>
      </c>
      <c r="C149" s="322">
        <v>0.13</v>
      </c>
      <c r="D149" s="322">
        <v>0.13</v>
      </c>
      <c r="E149" s="322">
        <v>0.13</v>
      </c>
      <c r="F149" s="322">
        <v>0.13</v>
      </c>
      <c r="G149" s="323">
        <v>0.13</v>
      </c>
    </row>
    <row r="150" spans="1:7">
      <c r="A150" s="332" t="s">
        <v>273</v>
      </c>
      <c r="B150" s="321" t="s">
        <v>2568</v>
      </c>
      <c r="C150" s="322">
        <v>0.13</v>
      </c>
      <c r="D150" s="322">
        <v>0.13</v>
      </c>
      <c r="E150" s="322">
        <v>0.127</v>
      </c>
      <c r="F150" s="322">
        <v>0.13</v>
      </c>
      <c r="G150" s="323">
        <v>0.13</v>
      </c>
    </row>
    <row r="151" spans="1:7">
      <c r="A151" s="332" t="s">
        <v>273</v>
      </c>
      <c r="B151" s="321" t="s">
        <v>2576</v>
      </c>
      <c r="C151" s="322">
        <v>0.13</v>
      </c>
      <c r="D151" s="322">
        <v>0.13</v>
      </c>
      <c r="E151" s="322">
        <v>0.13</v>
      </c>
      <c r="F151" s="322">
        <v>0.13</v>
      </c>
      <c r="G151" s="323">
        <v>0.13</v>
      </c>
    </row>
    <row r="152" spans="1:7">
      <c r="A152" s="332" t="s">
        <v>273</v>
      </c>
      <c r="B152" s="321" t="s">
        <v>2583</v>
      </c>
      <c r="C152" s="322">
        <v>0.13</v>
      </c>
      <c r="D152" s="322">
        <v>0.13</v>
      </c>
      <c r="E152" s="322">
        <v>0.13</v>
      </c>
      <c r="F152" s="322">
        <v>0.13</v>
      </c>
      <c r="G152" s="323">
        <v>0.13</v>
      </c>
    </row>
    <row r="153" spans="1:7">
      <c r="A153" s="332" t="s">
        <v>273</v>
      </c>
      <c r="B153" s="321" t="s">
        <v>2590</v>
      </c>
      <c r="C153" s="322">
        <v>0.13</v>
      </c>
      <c r="D153" s="322">
        <v>0.13</v>
      </c>
      <c r="E153" s="322">
        <v>0.13</v>
      </c>
      <c r="F153" s="322">
        <v>0.13</v>
      </c>
      <c r="G153" s="323">
        <v>0.13</v>
      </c>
    </row>
    <row r="154" spans="1:7">
      <c r="A154" s="332" t="s">
        <v>273</v>
      </c>
      <c r="B154" s="321" t="s">
        <v>2597</v>
      </c>
      <c r="C154" s="322">
        <v>0.121</v>
      </c>
      <c r="D154" s="322">
        <v>0.121</v>
      </c>
      <c r="E154" s="322">
        <v>0.105</v>
      </c>
      <c r="F154" s="322">
        <v>0.121</v>
      </c>
      <c r="G154" s="323">
        <v>0.123</v>
      </c>
    </row>
    <row r="155" spans="1:7">
      <c r="A155" s="332" t="s">
        <v>273</v>
      </c>
      <c r="B155" s="321" t="s">
        <v>2604</v>
      </c>
      <c r="C155" s="322">
        <v>0.1</v>
      </c>
      <c r="D155" s="322">
        <v>0.1</v>
      </c>
      <c r="E155" s="322">
        <v>0.1</v>
      </c>
      <c r="F155" s="322">
        <v>0.1</v>
      </c>
      <c r="G155" s="323">
        <v>0.1</v>
      </c>
    </row>
    <row r="156" spans="1:7">
      <c r="A156" s="332" t="s">
        <v>273</v>
      </c>
      <c r="B156" s="321" t="s">
        <v>2611</v>
      </c>
      <c r="C156" s="322">
        <v>0.13</v>
      </c>
      <c r="D156" s="322">
        <v>0.13</v>
      </c>
      <c r="E156" s="322">
        <v>0.13</v>
      </c>
      <c r="F156" s="322">
        <v>0.13</v>
      </c>
      <c r="G156" s="323">
        <v>0.13</v>
      </c>
    </row>
    <row r="157" spans="1:7">
      <c r="A157" s="332" t="s">
        <v>273</v>
      </c>
      <c r="B157" s="321" t="s">
        <v>2618</v>
      </c>
      <c r="C157" s="322">
        <v>0.13</v>
      </c>
      <c r="D157" s="322">
        <v>0.13</v>
      </c>
      <c r="E157" s="322">
        <v>0.125</v>
      </c>
      <c r="F157" s="322">
        <v>0.13</v>
      </c>
      <c r="G157" s="323">
        <v>0.13</v>
      </c>
    </row>
    <row r="158" spans="1:7">
      <c r="A158" s="332" t="s">
        <v>273</v>
      </c>
      <c r="B158" s="321" t="s">
        <v>2625</v>
      </c>
      <c r="C158" s="322">
        <v>0.124</v>
      </c>
      <c r="D158" s="322">
        <v>0.124</v>
      </c>
      <c r="E158" s="322">
        <v>0.117</v>
      </c>
      <c r="F158" s="322">
        <v>0.121</v>
      </c>
      <c r="G158" s="323">
        <v>0.124</v>
      </c>
    </row>
    <row r="159" spans="1:7">
      <c r="A159" s="332" t="s">
        <v>273</v>
      </c>
      <c r="B159" s="321" t="s">
        <v>2630</v>
      </c>
      <c r="C159" s="322">
        <v>0.127</v>
      </c>
      <c r="D159" s="322">
        <v>0.127</v>
      </c>
      <c r="E159" s="322">
        <v>0.122</v>
      </c>
      <c r="F159" s="322">
        <v>0.13</v>
      </c>
      <c r="G159" s="323">
        <v>0.129</v>
      </c>
    </row>
    <row r="160" spans="1:7">
      <c r="A160" s="332" t="s">
        <v>273</v>
      </c>
      <c r="B160" s="321" t="s">
        <v>2635</v>
      </c>
      <c r="C160" s="322">
        <v>0.13</v>
      </c>
      <c r="D160" s="322">
        <v>0.13</v>
      </c>
      <c r="E160" s="322">
        <v>0.124</v>
      </c>
      <c r="F160" s="322">
        <v>0.126</v>
      </c>
      <c r="G160" s="323">
        <v>0.13</v>
      </c>
    </row>
    <row r="161" spans="1:7">
      <c r="A161" s="332" t="s">
        <v>273</v>
      </c>
      <c r="B161" s="321" t="s">
        <v>2640</v>
      </c>
      <c r="C161" s="322">
        <v>0.13</v>
      </c>
      <c r="D161" s="322">
        <v>0.13</v>
      </c>
      <c r="E161" s="322">
        <v>0.124</v>
      </c>
      <c r="F161" s="322">
        <v>0.127</v>
      </c>
      <c r="G161" s="323">
        <v>0.13</v>
      </c>
    </row>
    <row r="162" spans="1:7">
      <c r="A162" s="332" t="s">
        <v>273</v>
      </c>
      <c r="B162" s="321" t="s">
        <v>2645</v>
      </c>
      <c r="C162" s="322">
        <v>0.1</v>
      </c>
      <c r="D162" s="322">
        <v>0.1</v>
      </c>
      <c r="E162" s="322">
        <v>0.1</v>
      </c>
      <c r="F162" s="322">
        <v>0.121</v>
      </c>
      <c r="G162" s="323">
        <v>0.105</v>
      </c>
    </row>
    <row r="163" spans="1:7">
      <c r="A163" s="332" t="s">
        <v>273</v>
      </c>
      <c r="B163" s="321" t="s">
        <v>2650</v>
      </c>
      <c r="C163" s="322">
        <v>0.1</v>
      </c>
      <c r="D163" s="322">
        <v>0.1</v>
      </c>
      <c r="E163" s="322">
        <v>0.1</v>
      </c>
      <c r="F163" s="322">
        <v>0.1</v>
      </c>
      <c r="G163" s="323">
        <v>0.1</v>
      </c>
    </row>
    <row r="164" spans="1:7">
      <c r="A164" s="332" t="s">
        <v>273</v>
      </c>
      <c r="B164" s="321" t="s">
        <v>2655</v>
      </c>
      <c r="C164" s="338"/>
      <c r="D164" s="338"/>
      <c r="E164" s="338"/>
      <c r="F164" s="322">
        <v>0.1</v>
      </c>
      <c r="G164" s="334"/>
    </row>
    <row r="165" spans="1:7">
      <c r="A165" s="332" t="s">
        <v>273</v>
      </c>
      <c r="B165" s="321" t="s">
        <v>2660</v>
      </c>
      <c r="C165" s="322">
        <v>0.126</v>
      </c>
      <c r="D165" s="322">
        <v>0.126</v>
      </c>
      <c r="E165" s="322">
        <v>0.119</v>
      </c>
      <c r="F165" s="322">
        <v>0.13</v>
      </c>
      <c r="G165" s="323">
        <v>0.128</v>
      </c>
    </row>
    <row r="166" spans="1:7">
      <c r="A166" s="332" t="s">
        <v>273</v>
      </c>
      <c r="B166" s="321" t="s">
        <v>2665</v>
      </c>
      <c r="C166" s="322">
        <v>0.129</v>
      </c>
      <c r="D166" s="322">
        <v>0.129</v>
      </c>
      <c r="E166" s="322">
        <v>0.123</v>
      </c>
      <c r="F166" s="322">
        <v>0.128</v>
      </c>
      <c r="G166" s="323">
        <v>0.13</v>
      </c>
    </row>
    <row r="167" spans="1:7">
      <c r="A167" s="332" t="s">
        <v>273</v>
      </c>
      <c r="B167" s="321" t="s">
        <v>2669</v>
      </c>
      <c r="C167" s="322">
        <v>0.125</v>
      </c>
      <c r="D167" s="322">
        <v>0.125</v>
      </c>
      <c r="E167" s="322">
        <v>0.117</v>
      </c>
      <c r="F167" s="322">
        <v>0.13</v>
      </c>
      <c r="G167" s="323">
        <v>0.126</v>
      </c>
    </row>
    <row r="168" spans="1:7">
      <c r="A168" s="332" t="s">
        <v>273</v>
      </c>
      <c r="B168" s="321" t="s">
        <v>2673</v>
      </c>
      <c r="C168" s="322">
        <v>0.128</v>
      </c>
      <c r="D168" s="322">
        <v>0.128</v>
      </c>
      <c r="E168" s="322">
        <v>0.123</v>
      </c>
      <c r="F168" s="333"/>
      <c r="G168" s="323">
        <v>0.13</v>
      </c>
    </row>
    <row r="169" spans="1:7">
      <c r="A169" s="332" t="s">
        <v>273</v>
      </c>
      <c r="B169" s="321" t="s">
        <v>2677</v>
      </c>
      <c r="C169" s="338"/>
      <c r="D169" s="338"/>
      <c r="E169" s="338"/>
      <c r="F169" s="322">
        <v>0.05</v>
      </c>
      <c r="G169" s="334"/>
    </row>
    <row r="170" spans="1:7">
      <c r="A170" s="332" t="s">
        <v>273</v>
      </c>
      <c r="B170" s="321" t="s">
        <v>2681</v>
      </c>
      <c r="C170" s="338"/>
      <c r="D170" s="338"/>
      <c r="E170" s="338"/>
      <c r="F170" s="322">
        <v>0.05</v>
      </c>
      <c r="G170" s="334"/>
    </row>
    <row r="171" spans="1:7">
      <c r="A171" s="332" t="s">
        <v>273</v>
      </c>
      <c r="B171" s="321" t="s">
        <v>2684</v>
      </c>
      <c r="C171" s="338"/>
      <c r="D171" s="338"/>
      <c r="E171" s="338"/>
      <c r="F171" s="322">
        <v>0.05</v>
      </c>
      <c r="G171" s="339"/>
    </row>
    <row r="172" spans="1:7">
      <c r="A172" s="332" t="s">
        <v>273</v>
      </c>
      <c r="B172" s="321" t="s">
        <v>2686</v>
      </c>
      <c r="C172" s="338"/>
      <c r="D172" s="338"/>
      <c r="E172" s="338"/>
      <c r="F172" s="322">
        <v>0.05</v>
      </c>
      <c r="G172" s="339"/>
    </row>
    <row r="173" spans="1:7">
      <c r="A173" s="332" t="s">
        <v>273</v>
      </c>
      <c r="B173" s="321" t="s">
        <v>2688</v>
      </c>
      <c r="C173" s="338"/>
      <c r="D173" s="338"/>
      <c r="E173" s="338"/>
      <c r="F173" s="322">
        <v>0.05</v>
      </c>
      <c r="G173" s="334"/>
    </row>
    <row r="174" spans="1:7">
      <c r="A174" s="332" t="s">
        <v>273</v>
      </c>
      <c r="B174" s="321" t="s">
        <v>2690</v>
      </c>
      <c r="C174" s="338"/>
      <c r="D174" s="338"/>
      <c r="E174" s="338"/>
      <c r="F174" s="322">
        <v>0.05</v>
      </c>
      <c r="G174" s="334"/>
    </row>
    <row r="175" spans="1:7">
      <c r="A175" s="332" t="s">
        <v>273</v>
      </c>
      <c r="B175" s="321" t="s">
        <v>2692</v>
      </c>
      <c r="C175" s="338"/>
      <c r="D175" s="338"/>
      <c r="E175" s="338"/>
      <c r="F175" s="322">
        <v>0.05</v>
      </c>
      <c r="G175" s="334"/>
    </row>
    <row r="176" spans="1:7">
      <c r="A176" s="332" t="s">
        <v>273</v>
      </c>
      <c r="B176" s="321" t="s">
        <v>2694</v>
      </c>
      <c r="C176" s="338"/>
      <c r="D176" s="338"/>
      <c r="E176" s="338"/>
      <c r="F176" s="322">
        <v>0.05</v>
      </c>
      <c r="G176" s="334"/>
    </row>
    <row r="177" spans="1:7">
      <c r="A177" s="332" t="s">
        <v>273</v>
      </c>
      <c r="B177" s="321" t="s">
        <v>2696</v>
      </c>
      <c r="C177" s="333"/>
      <c r="D177" s="333"/>
      <c r="E177" s="333"/>
      <c r="F177" s="322">
        <v>0.05</v>
      </c>
      <c r="G177" s="339"/>
    </row>
    <row r="178" spans="1:7">
      <c r="A178" s="332" t="s">
        <v>273</v>
      </c>
      <c r="B178" s="321" t="s">
        <v>2697</v>
      </c>
      <c r="C178" s="333"/>
      <c r="D178" s="333"/>
      <c r="E178" s="333"/>
      <c r="F178" s="322">
        <v>0.05</v>
      </c>
      <c r="G178" s="339"/>
    </row>
    <row r="179" spans="1:7">
      <c r="A179" s="332" t="s">
        <v>273</v>
      </c>
      <c r="B179" s="321" t="s">
        <v>2698</v>
      </c>
      <c r="C179" s="333"/>
      <c r="D179" s="333"/>
      <c r="E179" s="333"/>
      <c r="F179" s="322">
        <v>0.05</v>
      </c>
      <c r="G179" s="339"/>
    </row>
    <row r="180" spans="1:7">
      <c r="A180" s="332" t="s">
        <v>273</v>
      </c>
      <c r="B180" s="321" t="s">
        <v>2699</v>
      </c>
      <c r="C180" s="333"/>
      <c r="D180" s="333"/>
      <c r="E180" s="333"/>
      <c r="F180" s="322">
        <v>0.05</v>
      </c>
      <c r="G180" s="339"/>
    </row>
    <row r="181" spans="1:7">
      <c r="A181" s="332" t="s">
        <v>273</v>
      </c>
      <c r="B181" s="321" t="s">
        <v>2700</v>
      </c>
      <c r="C181" s="333"/>
      <c r="D181" s="333"/>
      <c r="E181" s="333"/>
      <c r="F181" s="322">
        <v>0.05</v>
      </c>
      <c r="G181" s="339"/>
    </row>
    <row r="182" spans="1:7">
      <c r="A182" s="332" t="s">
        <v>273</v>
      </c>
      <c r="B182" s="321" t="s">
        <v>2701</v>
      </c>
      <c r="C182" s="333"/>
      <c r="D182" s="333"/>
      <c r="E182" s="333"/>
      <c r="F182" s="322">
        <v>0.05</v>
      </c>
      <c r="G182" s="339"/>
    </row>
    <row r="183" spans="1:7">
      <c r="A183" s="332" t="s">
        <v>273</v>
      </c>
      <c r="B183" s="321" t="s">
        <v>2702</v>
      </c>
      <c r="C183" s="333"/>
      <c r="D183" s="333"/>
      <c r="E183" s="333"/>
      <c r="F183" s="322">
        <v>0.05</v>
      </c>
      <c r="G183" s="339"/>
    </row>
    <row r="184" spans="1:7">
      <c r="A184" s="332" t="s">
        <v>273</v>
      </c>
      <c r="B184" s="321" t="s">
        <v>2703</v>
      </c>
      <c r="C184" s="333"/>
      <c r="D184" s="333"/>
      <c r="E184" s="333"/>
      <c r="F184" s="322">
        <v>0.05</v>
      </c>
      <c r="G184" s="339"/>
    </row>
    <row r="185" spans="1:7">
      <c r="A185" s="332" t="s">
        <v>273</v>
      </c>
      <c r="B185" s="321" t="s">
        <v>2704</v>
      </c>
      <c r="C185" s="333"/>
      <c r="D185" s="333"/>
      <c r="E185" s="333"/>
      <c r="F185" s="322">
        <v>0.05</v>
      </c>
      <c r="G185" s="339"/>
    </row>
    <row r="186" spans="1:7">
      <c r="A186" s="332" t="s">
        <v>273</v>
      </c>
      <c r="B186" s="321" t="s">
        <v>2705</v>
      </c>
      <c r="C186" s="333"/>
      <c r="D186" s="333"/>
      <c r="E186" s="333"/>
      <c r="F186" s="322">
        <v>0.05</v>
      </c>
      <c r="G186" s="339"/>
    </row>
    <row r="187" spans="1:7">
      <c r="A187" s="332" t="s">
        <v>273</v>
      </c>
      <c r="B187" s="321" t="s">
        <v>2706</v>
      </c>
      <c r="C187" s="333"/>
      <c r="D187" s="333"/>
      <c r="E187" s="333"/>
      <c r="F187" s="322">
        <v>0.05</v>
      </c>
      <c r="G187" s="339"/>
    </row>
    <row r="188" spans="1:7">
      <c r="A188" s="332" t="s">
        <v>273</v>
      </c>
      <c r="B188" s="321" t="s">
        <v>2707</v>
      </c>
      <c r="C188" s="333"/>
      <c r="D188" s="333"/>
      <c r="E188" s="333"/>
      <c r="F188" s="322">
        <v>0.05</v>
      </c>
      <c r="G188" s="339"/>
    </row>
    <row r="189" ht="14.25" spans="1:7">
      <c r="A189" s="335" t="s">
        <v>273</v>
      </c>
      <c r="B189" s="325" t="s">
        <v>2708</v>
      </c>
      <c r="C189" s="327"/>
      <c r="D189" s="327"/>
      <c r="E189" s="327"/>
      <c r="F189" s="326">
        <v>0.05</v>
      </c>
      <c r="G189" s="340"/>
    </row>
    <row r="190" spans="1:7">
      <c r="A190" s="331" t="s">
        <v>278</v>
      </c>
      <c r="B190" s="317" t="s">
        <v>2333</v>
      </c>
      <c r="C190" s="318">
        <v>0.124</v>
      </c>
      <c r="D190" s="318">
        <v>0.124</v>
      </c>
      <c r="E190" s="318">
        <v>0.129</v>
      </c>
      <c r="F190" s="318">
        <v>0.13</v>
      </c>
      <c r="G190" s="319">
        <v>0.127</v>
      </c>
    </row>
    <row r="191" spans="1:7">
      <c r="A191" s="332" t="s">
        <v>278</v>
      </c>
      <c r="B191" s="321" t="s">
        <v>2346</v>
      </c>
      <c r="C191" s="322">
        <v>0.13</v>
      </c>
      <c r="D191" s="322">
        <v>0.13</v>
      </c>
      <c r="E191" s="322">
        <v>0.13</v>
      </c>
      <c r="F191" s="322">
        <v>0.13</v>
      </c>
      <c r="G191" s="323">
        <v>0.13</v>
      </c>
    </row>
    <row r="192" spans="1:7">
      <c r="A192" s="332" t="s">
        <v>278</v>
      </c>
      <c r="B192" s="321" t="s">
        <v>2360</v>
      </c>
      <c r="C192" s="322">
        <v>0.13</v>
      </c>
      <c r="D192" s="322">
        <v>0.13</v>
      </c>
      <c r="E192" s="322">
        <v>0.13</v>
      </c>
      <c r="F192" s="322">
        <v>0.13</v>
      </c>
      <c r="G192" s="323">
        <v>0.13</v>
      </c>
    </row>
    <row r="193" spans="1:7">
      <c r="A193" s="332" t="s">
        <v>278</v>
      </c>
      <c r="B193" s="321" t="s">
        <v>2372</v>
      </c>
      <c r="C193" s="322">
        <v>0.13</v>
      </c>
      <c r="D193" s="322">
        <v>0.13</v>
      </c>
      <c r="E193" s="322">
        <v>0.13</v>
      </c>
      <c r="F193" s="322">
        <v>0.13</v>
      </c>
      <c r="G193" s="323">
        <v>0.13</v>
      </c>
    </row>
    <row r="194" spans="1:7">
      <c r="A194" s="332" t="s">
        <v>278</v>
      </c>
      <c r="B194" s="321" t="s">
        <v>2384</v>
      </c>
      <c r="C194" s="322">
        <v>0.123</v>
      </c>
      <c r="D194" s="322">
        <v>0.123</v>
      </c>
      <c r="E194" s="322">
        <v>0.128</v>
      </c>
      <c r="F194" s="322">
        <v>0.13</v>
      </c>
      <c r="G194" s="323">
        <v>0.126</v>
      </c>
    </row>
    <row r="195" spans="1:7">
      <c r="A195" s="332" t="s">
        <v>278</v>
      </c>
      <c r="B195" s="321" t="s">
        <v>2395</v>
      </c>
      <c r="C195" s="322">
        <v>0.127</v>
      </c>
      <c r="D195" s="322">
        <v>0.127</v>
      </c>
      <c r="E195" s="322">
        <v>0.121</v>
      </c>
      <c r="F195" s="322">
        <v>0.129</v>
      </c>
      <c r="G195" s="323">
        <v>0.129</v>
      </c>
    </row>
    <row r="196" spans="1:7">
      <c r="A196" s="332" t="s">
        <v>278</v>
      </c>
      <c r="B196" s="321" t="s">
        <v>2406</v>
      </c>
      <c r="C196" s="322">
        <v>0.127</v>
      </c>
      <c r="D196" s="322">
        <v>0.128</v>
      </c>
      <c r="E196" s="322">
        <v>0.122</v>
      </c>
      <c r="F196" s="322">
        <v>0.13</v>
      </c>
      <c r="G196" s="323">
        <v>0.129</v>
      </c>
    </row>
    <row r="197" spans="1:7">
      <c r="A197" s="332" t="s">
        <v>278</v>
      </c>
      <c r="B197" s="321" t="s">
        <v>2417</v>
      </c>
      <c r="C197" s="322">
        <v>0.126</v>
      </c>
      <c r="D197" s="322">
        <v>0.126</v>
      </c>
      <c r="E197" s="322">
        <v>0.119</v>
      </c>
      <c r="F197" s="322">
        <v>0.13</v>
      </c>
      <c r="G197" s="323">
        <v>0.128</v>
      </c>
    </row>
    <row r="198" spans="1:7">
      <c r="A198" s="332" t="s">
        <v>278</v>
      </c>
      <c r="B198" s="321" t="s">
        <v>2427</v>
      </c>
      <c r="C198" s="322">
        <v>0.13</v>
      </c>
      <c r="D198" s="322">
        <v>0.13</v>
      </c>
      <c r="E198" s="322">
        <v>0.126</v>
      </c>
      <c r="F198" s="338"/>
      <c r="G198" s="323">
        <v>0.13</v>
      </c>
    </row>
    <row r="199" spans="1:7">
      <c r="A199" s="332" t="s">
        <v>278</v>
      </c>
      <c r="B199" s="321" t="s">
        <v>2437</v>
      </c>
      <c r="C199" s="322">
        <v>0.13</v>
      </c>
      <c r="D199" s="322">
        <v>0.13</v>
      </c>
      <c r="E199" s="322">
        <v>0.13</v>
      </c>
      <c r="F199" s="322">
        <v>0.13</v>
      </c>
      <c r="G199" s="323">
        <v>0.13</v>
      </c>
    </row>
    <row r="200" spans="1:7">
      <c r="A200" s="332" t="s">
        <v>278</v>
      </c>
      <c r="B200" s="321" t="s">
        <v>2447</v>
      </c>
      <c r="C200" s="338"/>
      <c r="D200" s="338"/>
      <c r="E200" s="338"/>
      <c r="F200" s="322">
        <v>0.13</v>
      </c>
      <c r="G200" s="334"/>
    </row>
    <row r="201" spans="1:7">
      <c r="A201" s="332" t="s">
        <v>278</v>
      </c>
      <c r="B201" s="321" t="s">
        <v>2456</v>
      </c>
      <c r="C201" s="322">
        <v>0.13</v>
      </c>
      <c r="D201" s="322">
        <v>0.13</v>
      </c>
      <c r="E201" s="322">
        <v>0.13</v>
      </c>
      <c r="F201" s="322">
        <v>0.129</v>
      </c>
      <c r="G201" s="323">
        <v>0.13</v>
      </c>
    </row>
    <row r="202" spans="1:7">
      <c r="A202" s="332" t="s">
        <v>278</v>
      </c>
      <c r="B202" s="321" t="s">
        <v>2466</v>
      </c>
      <c r="C202" s="322">
        <v>0.13</v>
      </c>
      <c r="D202" s="322">
        <v>0.13</v>
      </c>
      <c r="E202" s="322">
        <v>0.13</v>
      </c>
      <c r="F202" s="322">
        <v>0.13</v>
      </c>
      <c r="G202" s="323">
        <v>0.13</v>
      </c>
    </row>
    <row r="203" spans="1:7">
      <c r="A203" s="332" t="s">
        <v>278</v>
      </c>
      <c r="B203" s="321" t="s">
        <v>2476</v>
      </c>
      <c r="C203" s="322">
        <v>0.129</v>
      </c>
      <c r="D203" s="322">
        <v>0.129</v>
      </c>
      <c r="E203" s="322">
        <v>0.13</v>
      </c>
      <c r="F203" s="322">
        <v>0.13</v>
      </c>
      <c r="G203" s="323">
        <v>0.13</v>
      </c>
    </row>
    <row r="204" spans="1:7">
      <c r="A204" s="332" t="s">
        <v>278</v>
      </c>
      <c r="B204" s="321" t="s">
        <v>2486</v>
      </c>
      <c r="C204" s="322">
        <v>0.129</v>
      </c>
      <c r="D204" s="322">
        <v>0.129</v>
      </c>
      <c r="E204" s="322">
        <v>0.123</v>
      </c>
      <c r="F204" s="322">
        <v>0.13</v>
      </c>
      <c r="G204" s="323">
        <v>0.13</v>
      </c>
    </row>
    <row r="205" spans="1:7">
      <c r="A205" s="332" t="s">
        <v>278</v>
      </c>
      <c r="B205" s="321" t="s">
        <v>2496</v>
      </c>
      <c r="C205" s="322">
        <v>0.13</v>
      </c>
      <c r="D205" s="322">
        <v>0.13</v>
      </c>
      <c r="E205" s="322">
        <v>0.13</v>
      </c>
      <c r="F205" s="322">
        <v>0.13</v>
      </c>
      <c r="G205" s="323">
        <v>0.13</v>
      </c>
    </row>
    <row r="206" spans="1:7">
      <c r="A206" s="332" t="s">
        <v>278</v>
      </c>
      <c r="B206" s="321" t="s">
        <v>2506</v>
      </c>
      <c r="C206" s="322">
        <v>0.13</v>
      </c>
      <c r="D206" s="322">
        <v>0.13</v>
      </c>
      <c r="E206" s="322">
        <v>0.13</v>
      </c>
      <c r="F206" s="322">
        <v>0.128</v>
      </c>
      <c r="G206" s="323">
        <v>0.13</v>
      </c>
    </row>
    <row r="207" spans="1:7">
      <c r="A207" s="332" t="s">
        <v>278</v>
      </c>
      <c r="B207" s="321" t="s">
        <v>2516</v>
      </c>
      <c r="C207" s="322">
        <v>0.13</v>
      </c>
      <c r="D207" s="322">
        <v>0.13</v>
      </c>
      <c r="E207" s="322">
        <v>0.13</v>
      </c>
      <c r="F207" s="322">
        <v>0.13</v>
      </c>
      <c r="G207" s="323">
        <v>0.13</v>
      </c>
    </row>
    <row r="208" spans="1:7">
      <c r="A208" s="332" t="s">
        <v>278</v>
      </c>
      <c r="B208" s="321" t="s">
        <v>2526</v>
      </c>
      <c r="C208" s="322">
        <v>0.13</v>
      </c>
      <c r="D208" s="322">
        <v>0.13</v>
      </c>
      <c r="E208" s="322">
        <v>0.13</v>
      </c>
      <c r="F208" s="322">
        <v>0.13</v>
      </c>
      <c r="G208" s="323">
        <v>0.13</v>
      </c>
    </row>
    <row r="209" spans="1:7">
      <c r="A209" s="332" t="s">
        <v>278</v>
      </c>
      <c r="B209" s="321" t="s">
        <v>2536</v>
      </c>
      <c r="C209" s="322">
        <v>0.13</v>
      </c>
      <c r="D209" s="322">
        <v>0.13</v>
      </c>
      <c r="E209" s="322">
        <v>0.13</v>
      </c>
      <c r="F209" s="322">
        <v>0.13</v>
      </c>
      <c r="G209" s="323">
        <v>0.13</v>
      </c>
    </row>
    <row r="210" spans="1:7">
      <c r="A210" s="332" t="s">
        <v>278</v>
      </c>
      <c r="B210" s="321" t="s">
        <v>2545</v>
      </c>
      <c r="C210" s="322">
        <v>0.121</v>
      </c>
      <c r="D210" s="322">
        <v>0.121</v>
      </c>
      <c r="E210" s="322">
        <v>0.125</v>
      </c>
      <c r="F210" s="322">
        <v>0.13</v>
      </c>
      <c r="G210" s="323">
        <v>0.123</v>
      </c>
    </row>
    <row r="211" spans="1:7">
      <c r="A211" s="332" t="s">
        <v>278</v>
      </c>
      <c r="B211" s="321" t="s">
        <v>2553</v>
      </c>
      <c r="C211" s="322">
        <v>0.123</v>
      </c>
      <c r="D211" s="322">
        <v>0.123</v>
      </c>
      <c r="E211" s="322">
        <v>0.127</v>
      </c>
      <c r="F211" s="322">
        <v>0.115</v>
      </c>
      <c r="G211" s="323">
        <v>0.126</v>
      </c>
    </row>
    <row r="212" spans="1:7">
      <c r="A212" s="332" t="s">
        <v>278</v>
      </c>
      <c r="B212" s="321" t="s">
        <v>2561</v>
      </c>
      <c r="C212" s="322">
        <v>0.126</v>
      </c>
      <c r="D212" s="322">
        <v>0.126</v>
      </c>
      <c r="E212" s="322">
        <v>0.13</v>
      </c>
      <c r="F212" s="322">
        <v>0.13</v>
      </c>
      <c r="G212" s="323">
        <v>0.129</v>
      </c>
    </row>
    <row r="213" spans="1:7">
      <c r="A213" s="332" t="s">
        <v>278</v>
      </c>
      <c r="B213" s="321" t="s">
        <v>2569</v>
      </c>
      <c r="C213" s="322">
        <v>0.129</v>
      </c>
      <c r="D213" s="322">
        <v>0.13</v>
      </c>
      <c r="E213" s="322">
        <v>0.127</v>
      </c>
      <c r="F213" s="322">
        <v>0.13</v>
      </c>
      <c r="G213" s="323">
        <v>0.13</v>
      </c>
    </row>
    <row r="214" spans="1:7">
      <c r="A214" s="332" t="s">
        <v>278</v>
      </c>
      <c r="B214" s="321" t="s">
        <v>2577</v>
      </c>
      <c r="C214" s="322">
        <v>0.128</v>
      </c>
      <c r="D214" s="322">
        <v>0.128</v>
      </c>
      <c r="E214" s="322">
        <v>0.13</v>
      </c>
      <c r="F214" s="322">
        <v>0.13</v>
      </c>
      <c r="G214" s="323">
        <v>0.13</v>
      </c>
    </row>
    <row r="215" spans="1:7">
      <c r="A215" s="332" t="s">
        <v>278</v>
      </c>
      <c r="B215" s="321" t="s">
        <v>2584</v>
      </c>
      <c r="C215" s="322">
        <v>0.13</v>
      </c>
      <c r="D215" s="322">
        <v>0.13</v>
      </c>
      <c r="E215" s="322">
        <v>0.13</v>
      </c>
      <c r="F215" s="322">
        <v>0.129</v>
      </c>
      <c r="G215" s="323">
        <v>0.13</v>
      </c>
    </row>
    <row r="216" spans="1:7">
      <c r="A216" s="332" t="s">
        <v>278</v>
      </c>
      <c r="B216" s="321" t="s">
        <v>2591</v>
      </c>
      <c r="C216" s="322">
        <v>0.13</v>
      </c>
      <c r="D216" s="322">
        <v>0.13</v>
      </c>
      <c r="E216" s="322">
        <v>0.13</v>
      </c>
      <c r="F216" s="322">
        <v>0.13</v>
      </c>
      <c r="G216" s="323">
        <v>0.13</v>
      </c>
    </row>
    <row r="217" spans="1:7">
      <c r="A217" s="332" t="s">
        <v>278</v>
      </c>
      <c r="B217" s="321" t="s">
        <v>2598</v>
      </c>
      <c r="C217" s="322">
        <v>0.129</v>
      </c>
      <c r="D217" s="322">
        <v>0.129</v>
      </c>
      <c r="E217" s="322">
        <v>0.13</v>
      </c>
      <c r="F217" s="322">
        <v>0.13</v>
      </c>
      <c r="G217" s="323">
        <v>0.13</v>
      </c>
    </row>
    <row r="218" spans="1:7">
      <c r="A218" s="332" t="s">
        <v>278</v>
      </c>
      <c r="B218" s="321" t="s">
        <v>2605</v>
      </c>
      <c r="C218" s="333"/>
      <c r="D218" s="333"/>
      <c r="E218" s="333"/>
      <c r="F218" s="322">
        <v>0.05</v>
      </c>
      <c r="G218" s="339"/>
    </row>
    <row r="219" spans="1:7">
      <c r="A219" s="332" t="s">
        <v>278</v>
      </c>
      <c r="B219" s="321" t="s">
        <v>2612</v>
      </c>
      <c r="C219" s="333"/>
      <c r="D219" s="333"/>
      <c r="E219" s="333"/>
      <c r="F219" s="322">
        <v>0.05</v>
      </c>
      <c r="G219" s="339"/>
    </row>
    <row r="220" spans="1:7">
      <c r="A220" s="332" t="s">
        <v>278</v>
      </c>
      <c r="B220" s="321" t="s">
        <v>2619</v>
      </c>
      <c r="C220" s="333"/>
      <c r="D220" s="333"/>
      <c r="E220" s="333"/>
      <c r="F220" s="322">
        <v>0.05</v>
      </c>
      <c r="G220" s="339"/>
    </row>
    <row r="221" spans="1:7">
      <c r="A221" s="332" t="s">
        <v>278</v>
      </c>
      <c r="B221" s="321" t="s">
        <v>2626</v>
      </c>
      <c r="C221" s="333"/>
      <c r="D221" s="333"/>
      <c r="E221" s="333"/>
      <c r="F221" s="322">
        <v>0.05</v>
      </c>
      <c r="G221" s="339"/>
    </row>
    <row r="222" spans="1:7">
      <c r="A222" s="332" t="s">
        <v>278</v>
      </c>
      <c r="B222" s="321" t="s">
        <v>2631</v>
      </c>
      <c r="C222" s="333"/>
      <c r="D222" s="333"/>
      <c r="E222" s="333"/>
      <c r="F222" s="322">
        <v>0.05</v>
      </c>
      <c r="G222" s="339"/>
    </row>
    <row r="223" spans="1:7">
      <c r="A223" s="332" t="s">
        <v>278</v>
      </c>
      <c r="B223" s="321" t="s">
        <v>2636</v>
      </c>
      <c r="C223" s="333"/>
      <c r="D223" s="333"/>
      <c r="E223" s="333"/>
      <c r="F223" s="322">
        <v>0.05</v>
      </c>
      <c r="G223" s="339"/>
    </row>
    <row r="224" spans="1:7">
      <c r="A224" s="332" t="s">
        <v>278</v>
      </c>
      <c r="B224" s="321" t="s">
        <v>2641</v>
      </c>
      <c r="C224" s="333"/>
      <c r="D224" s="333"/>
      <c r="E224" s="333"/>
      <c r="F224" s="322">
        <v>0.05</v>
      </c>
      <c r="G224" s="339"/>
    </row>
    <row r="225" spans="1:7">
      <c r="A225" s="332" t="s">
        <v>278</v>
      </c>
      <c r="B225" s="321" t="s">
        <v>2646</v>
      </c>
      <c r="C225" s="333"/>
      <c r="D225" s="333"/>
      <c r="E225" s="333"/>
      <c r="F225" s="322">
        <v>0.05</v>
      </c>
      <c r="G225" s="339"/>
    </row>
    <row r="226" spans="1:7">
      <c r="A226" s="332" t="s">
        <v>278</v>
      </c>
      <c r="B226" s="321" t="s">
        <v>2651</v>
      </c>
      <c r="C226" s="333"/>
      <c r="D226" s="333"/>
      <c r="E226" s="333"/>
      <c r="F226" s="322">
        <v>0.05</v>
      </c>
      <c r="G226" s="339"/>
    </row>
    <row r="227" spans="1:7">
      <c r="A227" s="332" t="s">
        <v>278</v>
      </c>
      <c r="B227" s="321" t="s">
        <v>2710</v>
      </c>
      <c r="C227" s="333"/>
      <c r="D227" s="333"/>
      <c r="E227" s="333"/>
      <c r="F227" s="322">
        <v>0.05</v>
      </c>
      <c r="G227" s="339"/>
    </row>
    <row r="228" spans="1:7">
      <c r="A228" s="332" t="s">
        <v>278</v>
      </c>
      <c r="B228" s="321" t="s">
        <v>2711</v>
      </c>
      <c r="C228" s="333"/>
      <c r="D228" s="333"/>
      <c r="E228" s="333"/>
      <c r="F228" s="322">
        <v>0.05</v>
      </c>
      <c r="G228" s="339"/>
    </row>
    <row r="229" spans="1:7">
      <c r="A229" s="332" t="s">
        <v>278</v>
      </c>
      <c r="B229" s="321" t="s">
        <v>2712</v>
      </c>
      <c r="C229" s="333"/>
      <c r="D229" s="333"/>
      <c r="E229" s="333"/>
      <c r="F229" s="322">
        <v>0.05</v>
      </c>
      <c r="G229" s="339"/>
    </row>
    <row r="230" spans="1:7">
      <c r="A230" s="332" t="s">
        <v>278</v>
      </c>
      <c r="B230" s="321" t="s">
        <v>2670</v>
      </c>
      <c r="C230" s="333"/>
      <c r="D230" s="333"/>
      <c r="E230" s="333"/>
      <c r="F230" s="322">
        <v>0.05</v>
      </c>
      <c r="G230" s="339"/>
    </row>
    <row r="231" spans="1:7">
      <c r="A231" s="332" t="s">
        <v>278</v>
      </c>
      <c r="B231" s="321" t="s">
        <v>2674</v>
      </c>
      <c r="C231" s="333"/>
      <c r="D231" s="333"/>
      <c r="E231" s="333"/>
      <c r="F231" s="322">
        <v>0.05</v>
      </c>
      <c r="G231" s="339"/>
    </row>
    <row r="232" spans="1:7">
      <c r="A232" s="332" t="s">
        <v>278</v>
      </c>
      <c r="B232" s="321" t="s">
        <v>2713</v>
      </c>
      <c r="C232" s="333"/>
      <c r="D232" s="333"/>
      <c r="E232" s="333"/>
      <c r="F232" s="322">
        <v>0.05</v>
      </c>
      <c r="G232" s="339"/>
    </row>
    <row r="233" ht="14.25" spans="1:7">
      <c r="A233" s="335" t="s">
        <v>278</v>
      </c>
      <c r="B233" s="325" t="s">
        <v>2682</v>
      </c>
      <c r="C233" s="327"/>
      <c r="D233" s="327"/>
      <c r="E233" s="327"/>
      <c r="F233" s="326">
        <v>0.05</v>
      </c>
      <c r="G233" s="340"/>
    </row>
    <row r="234" spans="1:7">
      <c r="A234" s="331" t="s">
        <v>284</v>
      </c>
      <c r="B234" s="317" t="s">
        <v>2334</v>
      </c>
      <c r="C234" s="318">
        <v>0.13</v>
      </c>
      <c r="D234" s="318">
        <v>0.128</v>
      </c>
      <c r="E234" s="318">
        <v>0.142</v>
      </c>
      <c r="F234" s="318">
        <v>0.147</v>
      </c>
      <c r="G234" s="319">
        <v>0.14</v>
      </c>
    </row>
    <row r="235" spans="1:7">
      <c r="A235" s="332" t="s">
        <v>284</v>
      </c>
      <c r="B235" s="321" t="s">
        <v>2347</v>
      </c>
      <c r="C235" s="322">
        <v>0.136</v>
      </c>
      <c r="D235" s="322">
        <v>0.138</v>
      </c>
      <c r="E235" s="322">
        <v>0.145</v>
      </c>
      <c r="F235" s="322">
        <v>0.143</v>
      </c>
      <c r="G235" s="323">
        <v>0.141</v>
      </c>
    </row>
    <row r="236" spans="1:7">
      <c r="A236" s="332" t="s">
        <v>284</v>
      </c>
      <c r="B236" s="321" t="s">
        <v>2361</v>
      </c>
      <c r="C236" s="322">
        <v>0.15</v>
      </c>
      <c r="D236" s="322">
        <v>0.15</v>
      </c>
      <c r="E236" s="322">
        <v>0.15</v>
      </c>
      <c r="F236" s="322">
        <v>0.15</v>
      </c>
      <c r="G236" s="323">
        <v>0.15</v>
      </c>
    </row>
    <row r="237" spans="1:7">
      <c r="A237" s="332" t="s">
        <v>284</v>
      </c>
      <c r="B237" s="321" t="s">
        <v>2373</v>
      </c>
      <c r="C237" s="322">
        <v>0.15</v>
      </c>
      <c r="D237" s="322">
        <v>0.15</v>
      </c>
      <c r="E237" s="322">
        <v>0.15</v>
      </c>
      <c r="F237" s="322">
        <v>0.15</v>
      </c>
      <c r="G237" s="323">
        <v>0.15</v>
      </c>
    </row>
    <row r="238" spans="1:7">
      <c r="A238" s="332" t="s">
        <v>284</v>
      </c>
      <c r="B238" s="321" t="s">
        <v>2385</v>
      </c>
      <c r="C238" s="322">
        <v>0.149</v>
      </c>
      <c r="D238" s="322">
        <v>0.149</v>
      </c>
      <c r="E238" s="322">
        <v>0.15</v>
      </c>
      <c r="F238" s="322">
        <v>0.15</v>
      </c>
      <c r="G238" s="323">
        <v>0.15</v>
      </c>
    </row>
    <row r="239" spans="1:7">
      <c r="A239" s="332" t="s">
        <v>284</v>
      </c>
      <c r="B239" s="321" t="s">
        <v>2396</v>
      </c>
      <c r="C239" s="322">
        <v>0.15</v>
      </c>
      <c r="D239" s="322">
        <v>0.15</v>
      </c>
      <c r="E239" s="322">
        <v>0.15</v>
      </c>
      <c r="F239" s="322">
        <v>0.15</v>
      </c>
      <c r="G239" s="323">
        <v>0.15</v>
      </c>
    </row>
    <row r="240" spans="1:7">
      <c r="A240" s="332" t="s">
        <v>284</v>
      </c>
      <c r="B240" s="321" t="s">
        <v>2407</v>
      </c>
      <c r="C240" s="322">
        <v>0.15</v>
      </c>
      <c r="D240" s="322">
        <v>0.15</v>
      </c>
      <c r="E240" s="322">
        <v>0.15</v>
      </c>
      <c r="F240" s="322">
        <v>0.15</v>
      </c>
      <c r="G240" s="323">
        <v>0.15</v>
      </c>
    </row>
    <row r="241" spans="1:7">
      <c r="A241" s="332" t="s">
        <v>284</v>
      </c>
      <c r="B241" s="321" t="s">
        <v>2418</v>
      </c>
      <c r="C241" s="322">
        <v>0.141</v>
      </c>
      <c r="D241" s="322">
        <v>0.142</v>
      </c>
      <c r="E241" s="322">
        <v>0.149</v>
      </c>
      <c r="F241" s="322">
        <v>0.15</v>
      </c>
      <c r="G241" s="323">
        <v>0.144</v>
      </c>
    </row>
    <row r="242" spans="1:7">
      <c r="A242" s="332" t="s">
        <v>284</v>
      </c>
      <c r="B242" s="321" t="s">
        <v>2428</v>
      </c>
      <c r="C242" s="322">
        <v>0.141</v>
      </c>
      <c r="D242" s="322">
        <v>0.142</v>
      </c>
      <c r="E242" s="322">
        <v>0.148</v>
      </c>
      <c r="F242" s="322">
        <v>0.127</v>
      </c>
      <c r="G242" s="323">
        <v>0.144</v>
      </c>
    </row>
    <row r="243" spans="1:7">
      <c r="A243" s="332" t="s">
        <v>284</v>
      </c>
      <c r="B243" s="321" t="s">
        <v>2438</v>
      </c>
      <c r="C243" s="322">
        <v>0.147</v>
      </c>
      <c r="D243" s="322">
        <v>0.147</v>
      </c>
      <c r="E243" s="322">
        <v>0.15</v>
      </c>
      <c r="F243" s="322">
        <v>0.15</v>
      </c>
      <c r="G243" s="323">
        <v>0.149</v>
      </c>
    </row>
    <row r="244" spans="1:7">
      <c r="A244" s="332" t="s">
        <v>284</v>
      </c>
      <c r="B244" s="321" t="s">
        <v>2448</v>
      </c>
      <c r="C244" s="322">
        <v>0.15</v>
      </c>
      <c r="D244" s="322">
        <v>0.15</v>
      </c>
      <c r="E244" s="322">
        <v>0.15</v>
      </c>
      <c r="F244" s="322">
        <v>0.15</v>
      </c>
      <c r="G244" s="323">
        <v>0.15</v>
      </c>
    </row>
    <row r="245" spans="1:7">
      <c r="A245" s="332" t="s">
        <v>284</v>
      </c>
      <c r="B245" s="321" t="s">
        <v>2457</v>
      </c>
      <c r="C245" s="322">
        <v>0.142</v>
      </c>
      <c r="D245" s="322">
        <v>0.142</v>
      </c>
      <c r="E245" s="322">
        <v>0.15</v>
      </c>
      <c r="F245" s="322">
        <v>0.15</v>
      </c>
      <c r="G245" s="323">
        <v>0.145</v>
      </c>
    </row>
    <row r="246" spans="1:7">
      <c r="A246" s="332" t="s">
        <v>284</v>
      </c>
      <c r="B246" s="321" t="s">
        <v>2467</v>
      </c>
      <c r="C246" s="322">
        <v>0.142</v>
      </c>
      <c r="D246" s="322">
        <v>0.143</v>
      </c>
      <c r="E246" s="322">
        <v>0.15</v>
      </c>
      <c r="F246" s="322">
        <v>0.142</v>
      </c>
      <c r="G246" s="323">
        <v>0.144</v>
      </c>
    </row>
    <row r="247" spans="1:7">
      <c r="A247" s="332" t="s">
        <v>284</v>
      </c>
      <c r="B247" s="321" t="s">
        <v>2477</v>
      </c>
      <c r="C247" s="322">
        <v>0.149</v>
      </c>
      <c r="D247" s="322">
        <v>0.149</v>
      </c>
      <c r="E247" s="322">
        <v>0.15</v>
      </c>
      <c r="F247" s="322">
        <v>0.15</v>
      </c>
      <c r="G247" s="323">
        <v>0.15</v>
      </c>
    </row>
    <row r="248" spans="1:7">
      <c r="A248" s="332" t="s">
        <v>284</v>
      </c>
      <c r="B248" s="321" t="s">
        <v>2487</v>
      </c>
      <c r="C248" s="322">
        <v>0.144</v>
      </c>
      <c r="D248" s="322">
        <v>0.144</v>
      </c>
      <c r="E248" s="322">
        <v>0.149</v>
      </c>
      <c r="F248" s="322">
        <v>0.148</v>
      </c>
      <c r="G248" s="323">
        <v>0.146</v>
      </c>
    </row>
    <row r="249" spans="1:7">
      <c r="A249" s="332" t="s">
        <v>284</v>
      </c>
      <c r="B249" s="321" t="s">
        <v>2497</v>
      </c>
      <c r="C249" s="322">
        <v>0.14</v>
      </c>
      <c r="D249" s="322">
        <v>0.14</v>
      </c>
      <c r="E249" s="322">
        <v>0.147</v>
      </c>
      <c r="F249" s="322">
        <v>0.149</v>
      </c>
      <c r="G249" s="323">
        <v>0.142</v>
      </c>
    </row>
    <row r="250" spans="1:7">
      <c r="A250" s="332" t="s">
        <v>284</v>
      </c>
      <c r="B250" s="321" t="s">
        <v>2507</v>
      </c>
      <c r="C250" s="322">
        <v>0.144</v>
      </c>
      <c r="D250" s="322">
        <v>0.143</v>
      </c>
      <c r="E250" s="322">
        <v>0.149</v>
      </c>
      <c r="F250" s="322">
        <v>0.15</v>
      </c>
      <c r="G250" s="323">
        <v>0.146</v>
      </c>
    </row>
    <row r="251" spans="1:7">
      <c r="A251" s="332" t="s">
        <v>284</v>
      </c>
      <c r="B251" s="321" t="s">
        <v>2517</v>
      </c>
      <c r="C251" s="338"/>
      <c r="D251" s="333"/>
      <c r="E251" s="333"/>
      <c r="F251" s="322">
        <v>0.1</v>
      </c>
      <c r="G251" s="339"/>
    </row>
    <row r="252" spans="1:7">
      <c r="A252" s="332" t="s">
        <v>284</v>
      </c>
      <c r="B252" s="321" t="s">
        <v>2527</v>
      </c>
      <c r="C252" s="322">
        <v>0.144</v>
      </c>
      <c r="D252" s="322">
        <v>0.144</v>
      </c>
      <c r="E252" s="322">
        <v>0.15</v>
      </c>
      <c r="F252" s="322">
        <v>0.149</v>
      </c>
      <c r="G252" s="323">
        <v>0.146</v>
      </c>
    </row>
    <row r="253" spans="1:7">
      <c r="A253" s="332" t="s">
        <v>284</v>
      </c>
      <c r="B253" s="321" t="s">
        <v>2537</v>
      </c>
      <c r="C253" s="322">
        <v>0.142</v>
      </c>
      <c r="D253" s="322">
        <v>0.142</v>
      </c>
      <c r="E253" s="322">
        <v>0.146</v>
      </c>
      <c r="F253" s="322">
        <v>0.148</v>
      </c>
      <c r="G253" s="323">
        <v>0.145</v>
      </c>
    </row>
    <row r="254" spans="1:7">
      <c r="A254" s="332" t="s">
        <v>284</v>
      </c>
      <c r="B254" s="321" t="s">
        <v>2546</v>
      </c>
      <c r="C254" s="322">
        <v>0.15</v>
      </c>
      <c r="D254" s="322">
        <v>0.15</v>
      </c>
      <c r="E254" s="322">
        <v>0.15</v>
      </c>
      <c r="F254" s="322">
        <v>0.15</v>
      </c>
      <c r="G254" s="323">
        <v>0.15</v>
      </c>
    </row>
    <row r="255" spans="1:7">
      <c r="A255" s="332" t="s">
        <v>284</v>
      </c>
      <c r="B255" s="321" t="s">
        <v>2554</v>
      </c>
      <c r="C255" s="322">
        <v>0.143</v>
      </c>
      <c r="D255" s="322">
        <v>0.143</v>
      </c>
      <c r="E255" s="322">
        <v>0.15</v>
      </c>
      <c r="F255" s="322">
        <v>0.15</v>
      </c>
      <c r="G255" s="323">
        <v>0.145</v>
      </c>
    </row>
    <row r="256" spans="1:7">
      <c r="A256" s="332" t="s">
        <v>284</v>
      </c>
      <c r="B256" s="321" t="s">
        <v>2562</v>
      </c>
      <c r="C256" s="322">
        <v>0.15</v>
      </c>
      <c r="D256" s="322">
        <v>0.15</v>
      </c>
      <c r="E256" s="322">
        <v>0.15</v>
      </c>
      <c r="F256" s="322">
        <v>0.146</v>
      </c>
      <c r="G256" s="323">
        <v>0.15</v>
      </c>
    </row>
    <row r="257" spans="1:7">
      <c r="A257" s="332" t="s">
        <v>284</v>
      </c>
      <c r="B257" s="321" t="s">
        <v>2570</v>
      </c>
      <c r="C257" s="322">
        <v>0.142</v>
      </c>
      <c r="D257" s="322">
        <v>0.143</v>
      </c>
      <c r="E257" s="322">
        <v>0.148</v>
      </c>
      <c r="F257" s="322">
        <v>0.15</v>
      </c>
      <c r="G257" s="323">
        <v>0.145</v>
      </c>
    </row>
    <row r="258" spans="1:7">
      <c r="A258" s="332" t="s">
        <v>284</v>
      </c>
      <c r="B258" s="321" t="s">
        <v>2578</v>
      </c>
      <c r="C258" s="322">
        <v>0.143</v>
      </c>
      <c r="D258" s="322">
        <v>0.143</v>
      </c>
      <c r="E258" s="322">
        <v>0.15</v>
      </c>
      <c r="F258" s="322">
        <v>0.148</v>
      </c>
      <c r="G258" s="323">
        <v>0.146</v>
      </c>
    </row>
    <row r="259" spans="1:7">
      <c r="A259" s="332" t="s">
        <v>284</v>
      </c>
      <c r="B259" s="321" t="s">
        <v>2585</v>
      </c>
      <c r="C259" s="322">
        <v>0.144</v>
      </c>
      <c r="D259" s="322">
        <v>0.144</v>
      </c>
      <c r="E259" s="322">
        <v>0.149</v>
      </c>
      <c r="F259" s="322">
        <v>0.147</v>
      </c>
      <c r="G259" s="323">
        <v>0.146</v>
      </c>
    </row>
    <row r="260" spans="1:7">
      <c r="A260" s="332" t="s">
        <v>284</v>
      </c>
      <c r="B260" s="321" t="s">
        <v>2592</v>
      </c>
      <c r="C260" s="322">
        <v>0.109</v>
      </c>
      <c r="D260" s="322">
        <v>0.111</v>
      </c>
      <c r="E260" s="322">
        <v>0.131</v>
      </c>
      <c r="F260" s="322">
        <v>0.126</v>
      </c>
      <c r="G260" s="323">
        <v>0.119</v>
      </c>
    </row>
    <row r="261" spans="1:7">
      <c r="A261" s="332" t="s">
        <v>284</v>
      </c>
      <c r="B261" s="321" t="s">
        <v>2599</v>
      </c>
      <c r="C261" s="322">
        <v>0.1</v>
      </c>
      <c r="D261" s="322">
        <v>0.1</v>
      </c>
      <c r="E261" s="322">
        <v>0.118</v>
      </c>
      <c r="F261" s="322">
        <v>0.108</v>
      </c>
      <c r="G261" s="323">
        <v>0.107</v>
      </c>
    </row>
    <row r="262" spans="1:7">
      <c r="A262" s="332" t="s">
        <v>284</v>
      </c>
      <c r="B262" s="321" t="s">
        <v>2606</v>
      </c>
      <c r="C262" s="322">
        <v>0.1</v>
      </c>
      <c r="D262" s="322">
        <v>0.1</v>
      </c>
      <c r="E262" s="322">
        <v>0.1</v>
      </c>
      <c r="F262" s="322">
        <v>0.141</v>
      </c>
      <c r="G262" s="323">
        <v>0.1</v>
      </c>
    </row>
    <row r="263" spans="1:7">
      <c r="A263" s="332" t="s">
        <v>284</v>
      </c>
      <c r="B263" s="321" t="s">
        <v>2613</v>
      </c>
      <c r="C263" s="322">
        <v>0.148</v>
      </c>
      <c r="D263" s="322">
        <v>0.148</v>
      </c>
      <c r="E263" s="322">
        <v>0.15</v>
      </c>
      <c r="F263" s="322">
        <v>0.147</v>
      </c>
      <c r="G263" s="323">
        <v>0.15</v>
      </c>
    </row>
    <row r="264" spans="1:7">
      <c r="A264" s="332" t="s">
        <v>284</v>
      </c>
      <c r="B264" s="321" t="s">
        <v>2620</v>
      </c>
      <c r="C264" s="322">
        <v>0.143</v>
      </c>
      <c r="D264" s="322">
        <v>0.143</v>
      </c>
      <c r="E264" s="322">
        <v>0.15</v>
      </c>
      <c r="F264" s="322">
        <v>0.149</v>
      </c>
      <c r="G264" s="323">
        <v>0.146</v>
      </c>
    </row>
    <row r="265" spans="1:7">
      <c r="A265" s="332" t="s">
        <v>284</v>
      </c>
      <c r="B265" s="321" t="s">
        <v>2627</v>
      </c>
      <c r="C265" s="333"/>
      <c r="D265" s="333"/>
      <c r="E265" s="333"/>
      <c r="F265" s="322">
        <v>0.05</v>
      </c>
      <c r="G265" s="339"/>
    </row>
    <row r="266" spans="1:7">
      <c r="A266" s="332" t="s">
        <v>284</v>
      </c>
      <c r="B266" s="321" t="s">
        <v>2632</v>
      </c>
      <c r="C266" s="333"/>
      <c r="D266" s="333"/>
      <c r="E266" s="333"/>
      <c r="F266" s="322">
        <v>0.05</v>
      </c>
      <c r="G266" s="339"/>
    </row>
    <row r="267" spans="1:7">
      <c r="A267" s="332" t="s">
        <v>284</v>
      </c>
      <c r="B267" s="321" t="s">
        <v>2637</v>
      </c>
      <c r="C267" s="333"/>
      <c r="D267" s="333"/>
      <c r="E267" s="333"/>
      <c r="F267" s="322">
        <v>0.05</v>
      </c>
      <c r="G267" s="339"/>
    </row>
    <row r="268" spans="1:7">
      <c r="A268" s="332" t="s">
        <v>284</v>
      </c>
      <c r="B268" s="321" t="s">
        <v>2642</v>
      </c>
      <c r="C268" s="333"/>
      <c r="D268" s="333"/>
      <c r="E268" s="333"/>
      <c r="F268" s="322">
        <v>0.05</v>
      </c>
      <c r="G268" s="339"/>
    </row>
    <row r="269" spans="1:7">
      <c r="A269" s="332" t="s">
        <v>284</v>
      </c>
      <c r="B269" s="321" t="s">
        <v>2647</v>
      </c>
      <c r="C269" s="333"/>
      <c r="D269" s="333"/>
      <c r="E269" s="333"/>
      <c r="F269" s="322">
        <v>0.05</v>
      </c>
      <c r="G269" s="339"/>
    </row>
    <row r="270" spans="1:7">
      <c r="A270" s="332" t="s">
        <v>284</v>
      </c>
      <c r="B270" s="321" t="s">
        <v>2652</v>
      </c>
      <c r="C270" s="333"/>
      <c r="D270" s="333"/>
      <c r="E270" s="333"/>
      <c r="F270" s="322">
        <v>0.05</v>
      </c>
      <c r="G270" s="339"/>
    </row>
    <row r="271" spans="1:7">
      <c r="A271" s="332" t="s">
        <v>284</v>
      </c>
      <c r="B271" s="321" t="s">
        <v>2657</v>
      </c>
      <c r="C271" s="333"/>
      <c r="D271" s="333"/>
      <c r="E271" s="333"/>
      <c r="F271" s="322">
        <v>0.05</v>
      </c>
      <c r="G271" s="339"/>
    </row>
    <row r="272" spans="1:7">
      <c r="A272" s="332" t="s">
        <v>284</v>
      </c>
      <c r="B272" s="321" t="s">
        <v>2662</v>
      </c>
      <c r="C272" s="333"/>
      <c r="D272" s="333"/>
      <c r="E272" s="333"/>
      <c r="F272" s="322">
        <v>0.05</v>
      </c>
      <c r="G272" s="339"/>
    </row>
    <row r="273" spans="1:7">
      <c r="A273" s="332" t="s">
        <v>284</v>
      </c>
      <c r="B273" s="321" t="s">
        <v>2667</v>
      </c>
      <c r="C273" s="333"/>
      <c r="D273" s="333"/>
      <c r="E273" s="333"/>
      <c r="F273" s="322">
        <v>0.05</v>
      </c>
      <c r="G273" s="339"/>
    </row>
    <row r="274" spans="1:7">
      <c r="A274" s="332" t="s">
        <v>284</v>
      </c>
      <c r="B274" s="321" t="s">
        <v>2671</v>
      </c>
      <c r="C274" s="333"/>
      <c r="D274" s="333"/>
      <c r="E274" s="333"/>
      <c r="F274" s="322">
        <v>0.05</v>
      </c>
      <c r="G274" s="339"/>
    </row>
    <row r="275" spans="1:7">
      <c r="A275" s="332" t="s">
        <v>284</v>
      </c>
      <c r="B275" s="321" t="s">
        <v>2675</v>
      </c>
      <c r="C275" s="333"/>
      <c r="D275" s="333"/>
      <c r="E275" s="333"/>
      <c r="F275" s="322">
        <v>0.05</v>
      </c>
      <c r="G275" s="339"/>
    </row>
    <row r="276" ht="14.25" spans="1:7">
      <c r="A276" s="335" t="s">
        <v>284</v>
      </c>
      <c r="B276" s="325" t="s">
        <v>2679</v>
      </c>
      <c r="C276" s="327"/>
      <c r="D276" s="327"/>
      <c r="E276" s="327"/>
      <c r="F276" s="326">
        <v>0.05</v>
      </c>
      <c r="G276" s="340"/>
    </row>
    <row r="277" spans="1:7">
      <c r="A277" s="331" t="s">
        <v>288</v>
      </c>
      <c r="B277" s="317" t="s">
        <v>2335</v>
      </c>
      <c r="C277" s="318">
        <v>0.15</v>
      </c>
      <c r="D277" s="318">
        <v>0.15</v>
      </c>
      <c r="E277" s="318">
        <v>0.15</v>
      </c>
      <c r="F277" s="318">
        <v>0.15</v>
      </c>
      <c r="G277" s="319">
        <v>0.15</v>
      </c>
    </row>
    <row r="278" spans="1:7">
      <c r="A278" s="332" t="s">
        <v>288</v>
      </c>
      <c r="B278" s="321" t="s">
        <v>2348</v>
      </c>
      <c r="C278" s="322">
        <v>0.15</v>
      </c>
      <c r="D278" s="322">
        <v>0.15</v>
      </c>
      <c r="E278" s="322">
        <v>0.15</v>
      </c>
      <c r="F278" s="322">
        <v>0.15</v>
      </c>
      <c r="G278" s="323">
        <v>0.15</v>
      </c>
    </row>
    <row r="279" spans="1:7">
      <c r="A279" s="332" t="s">
        <v>288</v>
      </c>
      <c r="B279" s="321" t="s">
        <v>2362</v>
      </c>
      <c r="C279" s="322">
        <v>0.15</v>
      </c>
      <c r="D279" s="322">
        <v>0.15</v>
      </c>
      <c r="E279" s="322">
        <v>0.15</v>
      </c>
      <c r="F279" s="322">
        <v>0.15</v>
      </c>
      <c r="G279" s="323">
        <v>0.15</v>
      </c>
    </row>
    <row r="280" spans="1:7">
      <c r="A280" s="332" t="s">
        <v>288</v>
      </c>
      <c r="B280" s="321" t="s">
        <v>2374</v>
      </c>
      <c r="C280" s="322">
        <v>0.15</v>
      </c>
      <c r="D280" s="322">
        <v>0.15</v>
      </c>
      <c r="E280" s="322">
        <v>0.15</v>
      </c>
      <c r="F280" s="322">
        <v>0.15</v>
      </c>
      <c r="G280" s="323">
        <v>0.15</v>
      </c>
    </row>
    <row r="281" spans="1:7">
      <c r="A281" s="332" t="s">
        <v>288</v>
      </c>
      <c r="B281" s="321" t="s">
        <v>2386</v>
      </c>
      <c r="C281" s="322">
        <v>0.15</v>
      </c>
      <c r="D281" s="322">
        <v>0.15</v>
      </c>
      <c r="E281" s="322">
        <v>0.15</v>
      </c>
      <c r="F281" s="322">
        <v>0.15</v>
      </c>
      <c r="G281" s="323">
        <v>0.15</v>
      </c>
    </row>
    <row r="282" spans="1:7">
      <c r="A282" s="332" t="s">
        <v>288</v>
      </c>
      <c r="B282" s="321" t="s">
        <v>2397</v>
      </c>
      <c r="C282" s="322">
        <v>0.15</v>
      </c>
      <c r="D282" s="322">
        <v>0.15</v>
      </c>
      <c r="E282" s="322">
        <v>0.15</v>
      </c>
      <c r="F282" s="322">
        <v>0.145</v>
      </c>
      <c r="G282" s="323">
        <v>0.15</v>
      </c>
    </row>
    <row r="283" spans="1:7">
      <c r="A283" s="332" t="s">
        <v>288</v>
      </c>
      <c r="B283" s="321" t="s">
        <v>2408</v>
      </c>
      <c r="C283" s="322">
        <v>0.15</v>
      </c>
      <c r="D283" s="322">
        <v>0.15</v>
      </c>
      <c r="E283" s="322">
        <v>0.15</v>
      </c>
      <c r="F283" s="322">
        <v>0.142</v>
      </c>
      <c r="G283" s="323">
        <v>0.15</v>
      </c>
    </row>
    <row r="284" spans="1:7">
      <c r="A284" s="332" t="s">
        <v>288</v>
      </c>
      <c r="B284" s="321" t="s">
        <v>2419</v>
      </c>
      <c r="C284" s="322">
        <v>0.15</v>
      </c>
      <c r="D284" s="322">
        <v>0.15</v>
      </c>
      <c r="E284" s="322">
        <v>0.15</v>
      </c>
      <c r="F284" s="322">
        <v>0.15</v>
      </c>
      <c r="G284" s="323">
        <v>0.15</v>
      </c>
    </row>
    <row r="285" spans="1:7">
      <c r="A285" s="332" t="s">
        <v>288</v>
      </c>
      <c r="B285" s="321" t="s">
        <v>2429</v>
      </c>
      <c r="C285" s="322">
        <v>0.15</v>
      </c>
      <c r="D285" s="322">
        <v>0.15</v>
      </c>
      <c r="E285" s="322">
        <v>0.15</v>
      </c>
      <c r="F285" s="322">
        <v>0.15</v>
      </c>
      <c r="G285" s="323">
        <v>0.15</v>
      </c>
    </row>
    <row r="286" spans="1:7">
      <c r="A286" s="332" t="s">
        <v>288</v>
      </c>
      <c r="B286" s="321" t="s">
        <v>2439</v>
      </c>
      <c r="C286" s="322">
        <v>0.145</v>
      </c>
      <c r="D286" s="322">
        <v>0.145</v>
      </c>
      <c r="E286" s="322">
        <v>0.15</v>
      </c>
      <c r="F286" s="322">
        <v>0.141</v>
      </c>
      <c r="G286" s="323">
        <v>0.145</v>
      </c>
    </row>
    <row r="287" spans="1:7">
      <c r="A287" s="332" t="s">
        <v>288</v>
      </c>
      <c r="B287" s="321" t="s">
        <v>2449</v>
      </c>
      <c r="C287" s="322">
        <v>0.11</v>
      </c>
      <c r="D287" s="322">
        <v>0.111</v>
      </c>
      <c r="E287" s="322">
        <v>0.141</v>
      </c>
      <c r="F287" s="322">
        <v>0.11</v>
      </c>
      <c r="G287" s="323">
        <v>0.12</v>
      </c>
    </row>
    <row r="288" spans="1:7">
      <c r="A288" s="332" t="s">
        <v>288</v>
      </c>
      <c r="B288" s="321" t="s">
        <v>2458</v>
      </c>
      <c r="C288" s="322">
        <v>0.142</v>
      </c>
      <c r="D288" s="322">
        <v>0.143</v>
      </c>
      <c r="E288" s="322">
        <v>0.15</v>
      </c>
      <c r="F288" s="322">
        <v>0.142</v>
      </c>
      <c r="G288" s="323">
        <v>0.144</v>
      </c>
    </row>
    <row r="289" spans="1:7">
      <c r="A289" s="332" t="s">
        <v>288</v>
      </c>
      <c r="B289" s="321" t="s">
        <v>2468</v>
      </c>
      <c r="C289" s="322">
        <v>0.143</v>
      </c>
      <c r="D289" s="322">
        <v>0.143</v>
      </c>
      <c r="E289" s="322">
        <v>0.148</v>
      </c>
      <c r="F289" s="322">
        <v>0.144</v>
      </c>
      <c r="G289" s="323">
        <v>0.144</v>
      </c>
    </row>
    <row r="290" spans="1:7">
      <c r="A290" s="332" t="s">
        <v>288</v>
      </c>
      <c r="B290" s="321" t="s">
        <v>2478</v>
      </c>
      <c r="C290" s="322">
        <v>0.148</v>
      </c>
      <c r="D290" s="322">
        <v>0.149</v>
      </c>
      <c r="E290" s="322">
        <v>0.15</v>
      </c>
      <c r="F290" s="322">
        <v>0.127</v>
      </c>
      <c r="G290" s="323">
        <v>0.15</v>
      </c>
    </row>
    <row r="291" spans="1:7">
      <c r="A291" s="332" t="s">
        <v>288</v>
      </c>
      <c r="B291" s="321" t="s">
        <v>2488</v>
      </c>
      <c r="C291" s="322">
        <v>0.15</v>
      </c>
      <c r="D291" s="322">
        <v>0.15</v>
      </c>
      <c r="E291" s="322">
        <v>0.15</v>
      </c>
      <c r="F291" s="322">
        <v>0.149</v>
      </c>
      <c r="G291" s="323">
        <v>0.15</v>
      </c>
    </row>
    <row r="292" spans="1:7">
      <c r="A292" s="332" t="s">
        <v>288</v>
      </c>
      <c r="B292" s="321" t="s">
        <v>2498</v>
      </c>
      <c r="C292" s="322">
        <v>0.15</v>
      </c>
      <c r="D292" s="322">
        <v>0.15</v>
      </c>
      <c r="E292" s="322">
        <v>0.15</v>
      </c>
      <c r="F292" s="322">
        <v>0.144</v>
      </c>
      <c r="G292" s="323">
        <v>0.15</v>
      </c>
    </row>
    <row r="293" spans="1:7">
      <c r="A293" s="332" t="s">
        <v>288</v>
      </c>
      <c r="B293" s="321" t="s">
        <v>2508</v>
      </c>
      <c r="C293" s="322">
        <v>0.15</v>
      </c>
      <c r="D293" s="322">
        <v>0.15</v>
      </c>
      <c r="E293" s="322">
        <v>0.15</v>
      </c>
      <c r="F293" s="322">
        <v>0.145</v>
      </c>
      <c r="G293" s="323">
        <v>0.15</v>
      </c>
    </row>
    <row r="294" spans="1:7">
      <c r="A294" s="332" t="s">
        <v>288</v>
      </c>
      <c r="B294" s="321" t="s">
        <v>2518</v>
      </c>
      <c r="C294" s="322">
        <v>0.15</v>
      </c>
      <c r="D294" s="322">
        <v>0.15</v>
      </c>
      <c r="E294" s="322">
        <v>0.15</v>
      </c>
      <c r="F294" s="322">
        <v>0.149</v>
      </c>
      <c r="G294" s="323">
        <v>0.15</v>
      </c>
    </row>
    <row r="295" spans="1:7">
      <c r="A295" s="332" t="s">
        <v>288</v>
      </c>
      <c r="B295" s="321" t="s">
        <v>2528</v>
      </c>
      <c r="C295" s="322">
        <v>0.15</v>
      </c>
      <c r="D295" s="322">
        <v>0.15</v>
      </c>
      <c r="E295" s="322">
        <v>0.15</v>
      </c>
      <c r="F295" s="322">
        <v>0.148</v>
      </c>
      <c r="G295" s="323">
        <v>0.15</v>
      </c>
    </row>
    <row r="296" spans="1:7">
      <c r="A296" s="332" t="s">
        <v>288</v>
      </c>
      <c r="B296" s="321" t="s">
        <v>2538</v>
      </c>
      <c r="C296" s="322">
        <v>0.15</v>
      </c>
      <c r="D296" s="322">
        <v>0.15</v>
      </c>
      <c r="E296" s="322">
        <v>0.15</v>
      </c>
      <c r="F296" s="322">
        <v>0.144</v>
      </c>
      <c r="G296" s="323">
        <v>0.15</v>
      </c>
    </row>
    <row r="297" spans="1:7">
      <c r="A297" s="332" t="s">
        <v>288</v>
      </c>
      <c r="B297" s="321" t="s">
        <v>2547</v>
      </c>
      <c r="C297" s="322">
        <v>0.15</v>
      </c>
      <c r="D297" s="322">
        <v>0.15</v>
      </c>
      <c r="E297" s="322">
        <v>0.15</v>
      </c>
      <c r="F297" s="322">
        <v>0.145</v>
      </c>
      <c r="G297" s="323">
        <v>0.15</v>
      </c>
    </row>
    <row r="298" spans="1:7">
      <c r="A298" s="332" t="s">
        <v>288</v>
      </c>
      <c r="B298" s="321" t="s">
        <v>2555</v>
      </c>
      <c r="C298" s="322">
        <v>0.15</v>
      </c>
      <c r="D298" s="322">
        <v>0.15</v>
      </c>
      <c r="E298" s="322">
        <v>0.15</v>
      </c>
      <c r="F298" s="322">
        <v>0.15</v>
      </c>
      <c r="G298" s="323">
        <v>0.15</v>
      </c>
    </row>
    <row r="299" spans="1:7">
      <c r="A299" s="332" t="s">
        <v>288</v>
      </c>
      <c r="B299" s="341" t="s">
        <v>2563</v>
      </c>
      <c r="C299" s="322">
        <v>0.15</v>
      </c>
      <c r="D299" s="322">
        <v>0.15</v>
      </c>
      <c r="E299" s="322">
        <v>0.15</v>
      </c>
      <c r="F299" s="322">
        <v>0.145</v>
      </c>
      <c r="G299" s="323">
        <v>0.15</v>
      </c>
    </row>
    <row r="300" spans="1:7">
      <c r="A300" s="332" t="s">
        <v>288</v>
      </c>
      <c r="B300" s="341" t="s">
        <v>2571</v>
      </c>
      <c r="C300" s="322">
        <v>0.15</v>
      </c>
      <c r="D300" s="322">
        <v>0.15</v>
      </c>
      <c r="E300" s="322">
        <v>0.15</v>
      </c>
      <c r="F300" s="322">
        <v>0.146</v>
      </c>
      <c r="G300" s="323">
        <v>0.15</v>
      </c>
    </row>
    <row r="301" spans="1:7">
      <c r="A301" s="332" t="s">
        <v>288</v>
      </c>
      <c r="B301" s="341" t="s">
        <v>2579</v>
      </c>
      <c r="C301" s="322">
        <v>0.126</v>
      </c>
      <c r="D301" s="322">
        <v>0.124</v>
      </c>
      <c r="E301" s="322">
        <v>0.141</v>
      </c>
      <c r="F301" s="322">
        <v>0.144</v>
      </c>
      <c r="G301" s="323">
        <v>0.13</v>
      </c>
    </row>
    <row r="302" spans="1:7">
      <c r="A302" s="332" t="s">
        <v>288</v>
      </c>
      <c r="B302" s="321" t="s">
        <v>2586</v>
      </c>
      <c r="C302" s="322">
        <v>0.15</v>
      </c>
      <c r="D302" s="322">
        <v>0.15</v>
      </c>
      <c r="E302" s="322">
        <v>0.15</v>
      </c>
      <c r="F302" s="322">
        <v>0.147</v>
      </c>
      <c r="G302" s="323">
        <v>0.15</v>
      </c>
    </row>
    <row r="303" spans="1:7">
      <c r="A303" s="332" t="s">
        <v>288</v>
      </c>
      <c r="B303" s="321" t="s">
        <v>2593</v>
      </c>
      <c r="C303" s="322">
        <v>0.15</v>
      </c>
      <c r="D303" s="322">
        <v>0.15</v>
      </c>
      <c r="E303" s="322">
        <v>0.15</v>
      </c>
      <c r="F303" s="322">
        <v>0.142</v>
      </c>
      <c r="G303" s="323">
        <v>0.15</v>
      </c>
    </row>
    <row r="304" spans="1:7">
      <c r="A304" s="332" t="s">
        <v>288</v>
      </c>
      <c r="B304" s="321" t="s">
        <v>2600</v>
      </c>
      <c r="C304" s="322">
        <v>0.15</v>
      </c>
      <c r="D304" s="322">
        <v>0.15</v>
      </c>
      <c r="E304" s="322">
        <v>0.15</v>
      </c>
      <c r="F304" s="322">
        <v>0.145</v>
      </c>
      <c r="G304" s="323">
        <v>0.15</v>
      </c>
    </row>
    <row r="305" spans="1:7">
      <c r="A305" s="332" t="s">
        <v>288</v>
      </c>
      <c r="B305" s="321" t="s">
        <v>2607</v>
      </c>
      <c r="C305" s="322">
        <v>0.15</v>
      </c>
      <c r="D305" s="322">
        <v>0.15</v>
      </c>
      <c r="E305" s="322">
        <v>0.15</v>
      </c>
      <c r="F305" s="322">
        <v>0.111</v>
      </c>
      <c r="G305" s="323">
        <v>0.15</v>
      </c>
    </row>
    <row r="306" spans="1:7">
      <c r="A306" s="332" t="s">
        <v>288</v>
      </c>
      <c r="B306" s="321" t="s">
        <v>2614</v>
      </c>
      <c r="C306" s="322">
        <v>0.15</v>
      </c>
      <c r="D306" s="322">
        <v>0.15</v>
      </c>
      <c r="E306" s="322">
        <v>0.15</v>
      </c>
      <c r="F306" s="322">
        <v>0.126</v>
      </c>
      <c r="G306" s="323">
        <v>0.15</v>
      </c>
    </row>
    <row r="307" spans="1:7">
      <c r="A307" s="332" t="s">
        <v>288</v>
      </c>
      <c r="B307" s="321" t="s">
        <v>2621</v>
      </c>
      <c r="C307" s="322">
        <v>0.15</v>
      </c>
      <c r="D307" s="322">
        <v>0.15</v>
      </c>
      <c r="E307" s="322">
        <v>0.15</v>
      </c>
      <c r="F307" s="322">
        <v>0.12</v>
      </c>
      <c r="G307" s="323">
        <v>0.15</v>
      </c>
    </row>
    <row r="308" spans="1:7">
      <c r="A308" s="332" t="s">
        <v>288</v>
      </c>
      <c r="B308" s="321" t="s">
        <v>2628</v>
      </c>
      <c r="C308" s="322">
        <v>0.15</v>
      </c>
      <c r="D308" s="322">
        <v>0.15</v>
      </c>
      <c r="E308" s="322">
        <v>0.15</v>
      </c>
      <c r="F308" s="322">
        <v>0.13</v>
      </c>
      <c r="G308" s="323">
        <v>0.15</v>
      </c>
    </row>
    <row r="309" spans="1:7">
      <c r="A309" s="332" t="s">
        <v>288</v>
      </c>
      <c r="B309" s="321" t="s">
        <v>2633</v>
      </c>
      <c r="C309" s="322">
        <v>0.15</v>
      </c>
      <c r="D309" s="322">
        <v>0.15</v>
      </c>
      <c r="E309" s="322">
        <v>0.15</v>
      </c>
      <c r="F309" s="322">
        <v>0.141</v>
      </c>
      <c r="G309" s="323">
        <v>0.15</v>
      </c>
    </row>
    <row r="310" spans="1:7">
      <c r="A310" s="332" t="s">
        <v>288</v>
      </c>
      <c r="B310" s="321" t="s">
        <v>2638</v>
      </c>
      <c r="C310" s="322">
        <v>0.15</v>
      </c>
      <c r="D310" s="322">
        <v>0.15</v>
      </c>
      <c r="E310" s="322">
        <v>0.15</v>
      </c>
      <c r="F310" s="322">
        <v>0.15</v>
      </c>
      <c r="G310" s="323">
        <v>0.15</v>
      </c>
    </row>
    <row r="311" spans="1:7">
      <c r="A311" s="332" t="s">
        <v>288</v>
      </c>
      <c r="B311" s="321" t="s">
        <v>2643</v>
      </c>
      <c r="C311" s="322">
        <v>0.132</v>
      </c>
      <c r="D311" s="322">
        <v>0.133</v>
      </c>
      <c r="E311" s="322">
        <v>0.145</v>
      </c>
      <c r="F311" s="322">
        <v>0.142</v>
      </c>
      <c r="G311" s="323">
        <v>0.14</v>
      </c>
    </row>
    <row r="312" spans="1:7">
      <c r="A312" s="332" t="s">
        <v>288</v>
      </c>
      <c r="B312" s="321" t="s">
        <v>2648</v>
      </c>
      <c r="C312" s="322">
        <v>0.138</v>
      </c>
      <c r="D312" s="322">
        <v>0.14</v>
      </c>
      <c r="E312" s="322">
        <v>0.146</v>
      </c>
      <c r="F312" s="322">
        <v>0.149</v>
      </c>
      <c r="G312" s="323">
        <v>0.142</v>
      </c>
    </row>
    <row r="313" spans="1:7">
      <c r="A313" s="332" t="s">
        <v>288</v>
      </c>
      <c r="B313" s="321" t="s">
        <v>2653</v>
      </c>
      <c r="C313" s="322">
        <v>0.125</v>
      </c>
      <c r="D313" s="322">
        <v>0.127</v>
      </c>
      <c r="E313" s="322">
        <v>0.144</v>
      </c>
      <c r="F313" s="322">
        <v>0.115</v>
      </c>
      <c r="G313" s="323">
        <v>0.136</v>
      </c>
    </row>
    <row r="314" spans="1:7">
      <c r="A314" s="332" t="s">
        <v>288</v>
      </c>
      <c r="B314" s="321" t="s">
        <v>2658</v>
      </c>
      <c r="C314" s="338"/>
      <c r="D314" s="338"/>
      <c r="E314" s="338"/>
      <c r="F314" s="322">
        <v>0.05</v>
      </c>
      <c r="G314" s="339"/>
    </row>
    <row r="315" spans="1:7">
      <c r="A315" s="332" t="s">
        <v>288</v>
      </c>
      <c r="B315" s="321" t="s">
        <v>2663</v>
      </c>
      <c r="C315" s="338"/>
      <c r="D315" s="338"/>
      <c r="E315" s="338"/>
      <c r="F315" s="322">
        <v>0.05</v>
      </c>
      <c r="G315" s="339"/>
    </row>
    <row r="316" spans="1:7">
      <c r="A316" s="332" t="s">
        <v>288</v>
      </c>
      <c r="B316" s="321" t="s">
        <v>2668</v>
      </c>
      <c r="C316" s="333"/>
      <c r="D316" s="333"/>
      <c r="E316" s="333"/>
      <c r="F316" s="322">
        <v>0.05</v>
      </c>
      <c r="G316" s="339"/>
    </row>
    <row r="317" spans="1:7">
      <c r="A317" s="332" t="s">
        <v>288</v>
      </c>
      <c r="B317" s="321" t="s">
        <v>2672</v>
      </c>
      <c r="C317" s="333"/>
      <c r="D317" s="333"/>
      <c r="E317" s="333"/>
      <c r="F317" s="322">
        <v>0.05</v>
      </c>
      <c r="G317" s="339"/>
    </row>
    <row r="318" spans="1:7">
      <c r="A318" s="332" t="s">
        <v>288</v>
      </c>
      <c r="B318" s="321" t="s">
        <v>2676</v>
      </c>
      <c r="C318" s="333"/>
      <c r="D318" s="333"/>
      <c r="E318" s="333"/>
      <c r="F318" s="322">
        <v>0.05</v>
      </c>
      <c r="G318" s="339"/>
    </row>
    <row r="319" spans="1:7">
      <c r="A319" s="332" t="s">
        <v>288</v>
      </c>
      <c r="B319" s="321" t="s">
        <v>2680</v>
      </c>
      <c r="C319" s="333"/>
      <c r="D319" s="333"/>
      <c r="E319" s="333"/>
      <c r="F319" s="322">
        <v>0.05</v>
      </c>
      <c r="G319" s="339"/>
    </row>
    <row r="320" spans="1:7">
      <c r="A320" s="332" t="s">
        <v>288</v>
      </c>
      <c r="B320" s="321" t="s">
        <v>2683</v>
      </c>
      <c r="C320" s="333"/>
      <c r="D320" s="333"/>
      <c r="E320" s="333"/>
      <c r="F320" s="322">
        <v>0.05</v>
      </c>
      <c r="G320" s="339"/>
    </row>
    <row r="321" spans="1:7">
      <c r="A321" s="332" t="s">
        <v>288</v>
      </c>
      <c r="B321" s="321" t="s">
        <v>2685</v>
      </c>
      <c r="C321" s="333"/>
      <c r="D321" s="333"/>
      <c r="E321" s="333"/>
      <c r="F321" s="322">
        <v>0.05</v>
      </c>
      <c r="G321" s="339"/>
    </row>
    <row r="322" spans="1:7">
      <c r="A322" s="332" t="s">
        <v>288</v>
      </c>
      <c r="B322" s="321" t="s">
        <v>2687</v>
      </c>
      <c r="C322" s="333"/>
      <c r="D322" s="333"/>
      <c r="E322" s="333"/>
      <c r="F322" s="322">
        <v>0.05</v>
      </c>
      <c r="G322" s="339"/>
    </row>
    <row r="323" spans="1:7">
      <c r="A323" s="332" t="s">
        <v>288</v>
      </c>
      <c r="B323" s="321" t="s">
        <v>2689</v>
      </c>
      <c r="C323" s="333"/>
      <c r="D323" s="333"/>
      <c r="E323" s="333"/>
      <c r="F323" s="322">
        <v>0.05</v>
      </c>
      <c r="G323" s="339"/>
    </row>
    <row r="324" spans="1:7">
      <c r="A324" s="332" t="s">
        <v>288</v>
      </c>
      <c r="B324" s="321" t="s">
        <v>2691</v>
      </c>
      <c r="C324" s="333"/>
      <c r="D324" s="333"/>
      <c r="E324" s="333"/>
      <c r="F324" s="322">
        <v>0.05</v>
      </c>
      <c r="G324" s="339"/>
    </row>
    <row r="325" spans="1:7">
      <c r="A325" s="332" t="s">
        <v>288</v>
      </c>
      <c r="B325" s="321" t="s">
        <v>2693</v>
      </c>
      <c r="C325" s="333"/>
      <c r="D325" s="333"/>
      <c r="E325" s="333"/>
      <c r="F325" s="322">
        <v>0.05</v>
      </c>
      <c r="G325" s="339"/>
    </row>
    <row r="326" ht="14.25" spans="1:7">
      <c r="A326" s="335" t="s">
        <v>288</v>
      </c>
      <c r="B326" s="325" t="s">
        <v>2695</v>
      </c>
      <c r="C326" s="327"/>
      <c r="D326" s="327"/>
      <c r="E326" s="327"/>
      <c r="F326" s="326">
        <v>0.05</v>
      </c>
      <c r="G326" s="340"/>
    </row>
    <row r="327" spans="1:7">
      <c r="A327" s="331" t="s">
        <v>292</v>
      </c>
      <c r="B327" s="317" t="s">
        <v>2336</v>
      </c>
      <c r="C327" s="318">
        <v>0.15</v>
      </c>
      <c r="D327" s="318">
        <v>0.15</v>
      </c>
      <c r="E327" s="318">
        <v>0.15</v>
      </c>
      <c r="F327" s="318">
        <v>0.15</v>
      </c>
      <c r="G327" s="319">
        <v>0.15</v>
      </c>
    </row>
    <row r="328" spans="1:7">
      <c r="A328" s="332" t="s">
        <v>292</v>
      </c>
      <c r="B328" s="321" t="s">
        <v>2349</v>
      </c>
      <c r="C328" s="322">
        <v>0.15</v>
      </c>
      <c r="D328" s="322">
        <v>0.15</v>
      </c>
      <c r="E328" s="322">
        <v>0.15</v>
      </c>
      <c r="F328" s="322">
        <v>0.126</v>
      </c>
      <c r="G328" s="323">
        <v>0.15</v>
      </c>
    </row>
    <row r="329" spans="1:7">
      <c r="A329" s="332" t="s">
        <v>292</v>
      </c>
      <c r="B329" s="321" t="s">
        <v>2363</v>
      </c>
      <c r="C329" s="322">
        <v>0.15</v>
      </c>
      <c r="D329" s="322">
        <v>0.15</v>
      </c>
      <c r="E329" s="322">
        <v>0.15</v>
      </c>
      <c r="F329" s="322">
        <v>0.15</v>
      </c>
      <c r="G329" s="323">
        <v>0.15</v>
      </c>
    </row>
    <row r="330" spans="1:7">
      <c r="A330" s="332" t="s">
        <v>292</v>
      </c>
      <c r="B330" s="321" t="s">
        <v>2375</v>
      </c>
      <c r="C330" s="322">
        <v>0.15</v>
      </c>
      <c r="D330" s="322">
        <v>0.15</v>
      </c>
      <c r="E330" s="322">
        <v>0.15</v>
      </c>
      <c r="F330" s="322">
        <v>0.15</v>
      </c>
      <c r="G330" s="323">
        <v>0.15</v>
      </c>
    </row>
    <row r="331" spans="1:7">
      <c r="A331" s="332" t="s">
        <v>292</v>
      </c>
      <c r="B331" s="321" t="s">
        <v>2387</v>
      </c>
      <c r="C331" s="322">
        <v>0.15</v>
      </c>
      <c r="D331" s="322">
        <v>0.15</v>
      </c>
      <c r="E331" s="322">
        <v>0.15</v>
      </c>
      <c r="F331" s="322">
        <v>0.15</v>
      </c>
      <c r="G331" s="323">
        <v>0.15</v>
      </c>
    </row>
    <row r="332" spans="1:7">
      <c r="A332" s="332" t="s">
        <v>292</v>
      </c>
      <c r="B332" s="321" t="s">
        <v>2398</v>
      </c>
      <c r="C332" s="322">
        <v>0.15</v>
      </c>
      <c r="D332" s="322">
        <v>0.15</v>
      </c>
      <c r="E332" s="322">
        <v>0.15</v>
      </c>
      <c r="F332" s="322">
        <v>0.15</v>
      </c>
      <c r="G332" s="323">
        <v>0.15</v>
      </c>
    </row>
    <row r="333" spans="1:7">
      <c r="A333" s="332" t="s">
        <v>292</v>
      </c>
      <c r="B333" s="321" t="s">
        <v>2409</v>
      </c>
      <c r="C333" s="322">
        <v>0.149</v>
      </c>
      <c r="D333" s="322">
        <v>0.149</v>
      </c>
      <c r="E333" s="322">
        <v>0.15</v>
      </c>
      <c r="F333" s="322">
        <v>0.116</v>
      </c>
      <c r="G333" s="323">
        <v>0.15</v>
      </c>
    </row>
    <row r="334" spans="1:7">
      <c r="A334" s="332" t="s">
        <v>292</v>
      </c>
      <c r="B334" s="321" t="s">
        <v>2420</v>
      </c>
      <c r="C334" s="322">
        <v>0.15</v>
      </c>
      <c r="D334" s="322">
        <v>0.15</v>
      </c>
      <c r="E334" s="322">
        <v>0.15</v>
      </c>
      <c r="F334" s="322">
        <v>0.13</v>
      </c>
      <c r="G334" s="323">
        <v>0.15</v>
      </c>
    </row>
    <row r="335" spans="1:7">
      <c r="A335" s="332" t="s">
        <v>292</v>
      </c>
      <c r="B335" s="321" t="s">
        <v>2430</v>
      </c>
      <c r="C335" s="322">
        <v>0.15</v>
      </c>
      <c r="D335" s="322">
        <v>0.15</v>
      </c>
      <c r="E335" s="322">
        <v>0.15</v>
      </c>
      <c r="F335" s="322">
        <v>0.144</v>
      </c>
      <c r="G335" s="323">
        <v>0.15</v>
      </c>
    </row>
    <row r="336" spans="1:7">
      <c r="A336" s="332" t="s">
        <v>292</v>
      </c>
      <c r="B336" s="321" t="s">
        <v>2440</v>
      </c>
      <c r="C336" s="322">
        <v>0.15</v>
      </c>
      <c r="D336" s="322">
        <v>0.15</v>
      </c>
      <c r="E336" s="322">
        <v>0.15</v>
      </c>
      <c r="F336" s="322">
        <v>0.142</v>
      </c>
      <c r="G336" s="323">
        <v>0.15</v>
      </c>
    </row>
    <row r="337" spans="1:7">
      <c r="A337" s="332" t="s">
        <v>292</v>
      </c>
      <c r="B337" s="321" t="s">
        <v>2450</v>
      </c>
      <c r="C337" s="322">
        <v>0.15</v>
      </c>
      <c r="D337" s="322">
        <v>0.15</v>
      </c>
      <c r="E337" s="322">
        <v>0.15</v>
      </c>
      <c r="F337" s="322">
        <v>0.145</v>
      </c>
      <c r="G337" s="323">
        <v>0.15</v>
      </c>
    </row>
    <row r="338" spans="1:7">
      <c r="A338" s="332" t="s">
        <v>292</v>
      </c>
      <c r="B338" s="321" t="s">
        <v>2459</v>
      </c>
      <c r="C338" s="322">
        <v>0.15</v>
      </c>
      <c r="D338" s="322">
        <v>0.15</v>
      </c>
      <c r="E338" s="322">
        <v>0.15</v>
      </c>
      <c r="F338" s="322">
        <v>0.15</v>
      </c>
      <c r="G338" s="323">
        <v>0.15</v>
      </c>
    </row>
    <row r="339" spans="1:7">
      <c r="A339" s="332" t="s">
        <v>292</v>
      </c>
      <c r="B339" s="321" t="s">
        <v>2469</v>
      </c>
      <c r="C339" s="322">
        <v>0.15</v>
      </c>
      <c r="D339" s="322">
        <v>0.15</v>
      </c>
      <c r="E339" s="322">
        <v>0.15</v>
      </c>
      <c r="F339" s="322">
        <v>0.147</v>
      </c>
      <c r="G339" s="323">
        <v>0.15</v>
      </c>
    </row>
    <row r="340" spans="1:7">
      <c r="A340" s="332" t="s">
        <v>292</v>
      </c>
      <c r="B340" s="321" t="s">
        <v>2479</v>
      </c>
      <c r="C340" s="322">
        <v>0.146</v>
      </c>
      <c r="D340" s="322">
        <v>0.146</v>
      </c>
      <c r="E340" s="322">
        <v>0.15</v>
      </c>
      <c r="F340" s="322">
        <v>0.141</v>
      </c>
      <c r="G340" s="323">
        <v>0.147</v>
      </c>
    </row>
    <row r="341" spans="1:7">
      <c r="A341" s="332" t="s">
        <v>292</v>
      </c>
      <c r="B341" s="321" t="s">
        <v>2489</v>
      </c>
      <c r="C341" s="322">
        <v>0.126</v>
      </c>
      <c r="D341" s="322">
        <v>0.124</v>
      </c>
      <c r="E341" s="322">
        <v>0.141</v>
      </c>
      <c r="F341" s="322">
        <v>0.144</v>
      </c>
      <c r="G341" s="323">
        <v>0.13</v>
      </c>
    </row>
    <row r="342" spans="1:7">
      <c r="A342" s="332" t="s">
        <v>292</v>
      </c>
      <c r="B342" s="321" t="s">
        <v>2499</v>
      </c>
      <c r="C342" s="322">
        <v>0.15</v>
      </c>
      <c r="D342" s="322">
        <v>0.15</v>
      </c>
      <c r="E342" s="322">
        <v>0.15</v>
      </c>
      <c r="F342" s="322">
        <v>0.144</v>
      </c>
      <c r="G342" s="323">
        <v>0.15</v>
      </c>
    </row>
    <row r="343" spans="1:7">
      <c r="A343" s="332" t="s">
        <v>292</v>
      </c>
      <c r="B343" s="321" t="s">
        <v>2509</v>
      </c>
      <c r="C343" s="322">
        <v>0.15</v>
      </c>
      <c r="D343" s="322">
        <v>0.15</v>
      </c>
      <c r="E343" s="322">
        <v>0.15</v>
      </c>
      <c r="F343" s="322">
        <v>0.128</v>
      </c>
      <c r="G343" s="323">
        <v>0.15</v>
      </c>
    </row>
    <row r="344" spans="1:7">
      <c r="A344" s="332" t="s">
        <v>292</v>
      </c>
      <c r="B344" s="321" t="s">
        <v>2519</v>
      </c>
      <c r="C344" s="322">
        <v>0.15</v>
      </c>
      <c r="D344" s="322">
        <v>0.15</v>
      </c>
      <c r="E344" s="322">
        <v>0.15</v>
      </c>
      <c r="F344" s="322">
        <v>0.148</v>
      </c>
      <c r="G344" s="323">
        <v>0.15</v>
      </c>
    </row>
    <row r="345" spans="1:7">
      <c r="A345" s="332" t="s">
        <v>292</v>
      </c>
      <c r="B345" s="321" t="s">
        <v>2529</v>
      </c>
      <c r="C345" s="322">
        <v>0.15</v>
      </c>
      <c r="D345" s="322">
        <v>0.15</v>
      </c>
      <c r="E345" s="322">
        <v>0.15</v>
      </c>
      <c r="F345" s="322">
        <v>0.138</v>
      </c>
      <c r="G345" s="323">
        <v>0.15</v>
      </c>
    </row>
    <row r="346" spans="1:7">
      <c r="A346" s="332" t="s">
        <v>292</v>
      </c>
      <c r="B346" s="321" t="s">
        <v>2539</v>
      </c>
      <c r="C346" s="322">
        <v>0.15</v>
      </c>
      <c r="D346" s="322">
        <v>0.15</v>
      </c>
      <c r="E346" s="322">
        <v>0.15</v>
      </c>
      <c r="F346" s="322">
        <v>0.144</v>
      </c>
      <c r="G346" s="323">
        <v>0.15</v>
      </c>
    </row>
    <row r="347" spans="1:7">
      <c r="A347" s="332" t="s">
        <v>292</v>
      </c>
      <c r="B347" s="321" t="s">
        <v>2548</v>
      </c>
      <c r="C347" s="322">
        <v>0.15</v>
      </c>
      <c r="D347" s="322">
        <v>0.15</v>
      </c>
      <c r="E347" s="322">
        <v>0.15</v>
      </c>
      <c r="F347" s="322">
        <v>0.146</v>
      </c>
      <c r="G347" s="323">
        <v>0.15</v>
      </c>
    </row>
    <row r="348" spans="1:7">
      <c r="A348" s="332" t="s">
        <v>292</v>
      </c>
      <c r="B348" s="321" t="s">
        <v>2556</v>
      </c>
      <c r="C348" s="322">
        <v>0.15</v>
      </c>
      <c r="D348" s="322">
        <v>0.15</v>
      </c>
      <c r="E348" s="322">
        <v>0.15</v>
      </c>
      <c r="F348" s="322">
        <v>0.144</v>
      </c>
      <c r="G348" s="323">
        <v>0.15</v>
      </c>
    </row>
    <row r="349" spans="1:7">
      <c r="A349" s="332" t="s">
        <v>292</v>
      </c>
      <c r="B349" s="321" t="s">
        <v>2564</v>
      </c>
      <c r="C349" s="322">
        <v>0.15</v>
      </c>
      <c r="D349" s="322">
        <v>0.15</v>
      </c>
      <c r="E349" s="322">
        <v>0.15</v>
      </c>
      <c r="F349" s="322">
        <v>0.15</v>
      </c>
      <c r="G349" s="323">
        <v>0.15</v>
      </c>
    </row>
    <row r="350" spans="1:7">
      <c r="A350" s="332" t="s">
        <v>292</v>
      </c>
      <c r="B350" s="321" t="s">
        <v>2572</v>
      </c>
      <c r="C350" s="322">
        <v>0.15</v>
      </c>
      <c r="D350" s="322">
        <v>0.15</v>
      </c>
      <c r="E350" s="322">
        <v>0.15</v>
      </c>
      <c r="F350" s="322">
        <v>0.147</v>
      </c>
      <c r="G350" s="323">
        <v>0.15</v>
      </c>
    </row>
    <row r="351" spans="1:7">
      <c r="A351" s="332" t="s">
        <v>292</v>
      </c>
      <c r="B351" s="321" t="s">
        <v>2580</v>
      </c>
      <c r="C351" s="322">
        <v>0.15</v>
      </c>
      <c r="D351" s="322">
        <v>0.15</v>
      </c>
      <c r="E351" s="322">
        <v>0.15</v>
      </c>
      <c r="F351" s="322">
        <v>0.13</v>
      </c>
      <c r="G351" s="323">
        <v>0.15</v>
      </c>
    </row>
    <row r="352" spans="1:7">
      <c r="A352" s="332" t="s">
        <v>292</v>
      </c>
      <c r="B352" s="321" t="s">
        <v>2587</v>
      </c>
      <c r="C352" s="322">
        <v>0.15</v>
      </c>
      <c r="D352" s="322">
        <v>0.15</v>
      </c>
      <c r="E352" s="322">
        <v>0.15</v>
      </c>
      <c r="F352" s="322">
        <v>0.146</v>
      </c>
      <c r="G352" s="323">
        <v>0.15</v>
      </c>
    </row>
    <row r="353" spans="1:7">
      <c r="A353" s="332" t="s">
        <v>292</v>
      </c>
      <c r="B353" s="321" t="s">
        <v>2594</v>
      </c>
      <c r="C353" s="322">
        <v>0.15</v>
      </c>
      <c r="D353" s="322">
        <v>0.15</v>
      </c>
      <c r="E353" s="322">
        <v>0.15</v>
      </c>
      <c r="F353" s="322">
        <v>0.145</v>
      </c>
      <c r="G353" s="323">
        <v>0.15</v>
      </c>
    </row>
    <row r="354" spans="1:7">
      <c r="A354" s="332" t="s">
        <v>292</v>
      </c>
      <c r="B354" s="321" t="s">
        <v>2601</v>
      </c>
      <c r="C354" s="322">
        <v>0.15</v>
      </c>
      <c r="D354" s="322">
        <v>0.15</v>
      </c>
      <c r="E354" s="322">
        <v>0.15</v>
      </c>
      <c r="F354" s="322">
        <v>0.141</v>
      </c>
      <c r="G354" s="323">
        <v>0.15</v>
      </c>
    </row>
    <row r="355" spans="1:7">
      <c r="A355" s="332" t="s">
        <v>292</v>
      </c>
      <c r="B355" s="321" t="s">
        <v>2608</v>
      </c>
      <c r="C355" s="322">
        <v>0.15</v>
      </c>
      <c r="D355" s="322">
        <v>0.15</v>
      </c>
      <c r="E355" s="322">
        <v>0.15</v>
      </c>
      <c r="F355" s="322">
        <v>0.15</v>
      </c>
      <c r="G355" s="323">
        <v>0.15</v>
      </c>
    </row>
    <row r="356" spans="1:7">
      <c r="A356" s="332" t="s">
        <v>292</v>
      </c>
      <c r="B356" s="321" t="s">
        <v>2615</v>
      </c>
      <c r="C356" s="322">
        <v>0.15</v>
      </c>
      <c r="D356" s="322">
        <v>0.15</v>
      </c>
      <c r="E356" s="322">
        <v>0.15</v>
      </c>
      <c r="F356" s="322">
        <v>0.15</v>
      </c>
      <c r="G356" s="323">
        <v>0.15</v>
      </c>
    </row>
    <row r="357" ht="14.25" spans="1:7">
      <c r="A357" s="335" t="s">
        <v>292</v>
      </c>
      <c r="B357" s="325" t="s">
        <v>2622</v>
      </c>
      <c r="C357" s="326">
        <v>0.126</v>
      </c>
      <c r="D357" s="326">
        <v>0.127</v>
      </c>
      <c r="E357" s="326">
        <v>0.143</v>
      </c>
      <c r="F357" s="326">
        <v>0.125</v>
      </c>
      <c r="G357" s="328">
        <v>0.129</v>
      </c>
    </row>
    <row r="358" spans="1:7">
      <c r="A358" s="331" t="s">
        <v>296</v>
      </c>
      <c r="B358" s="317" t="s">
        <v>2337</v>
      </c>
      <c r="C358" s="318">
        <v>0.15</v>
      </c>
      <c r="D358" s="318">
        <v>0.15</v>
      </c>
      <c r="E358" s="318">
        <v>0.15</v>
      </c>
      <c r="F358" s="318">
        <v>0.15</v>
      </c>
      <c r="G358" s="319">
        <v>0.15</v>
      </c>
    </row>
    <row r="359" spans="1:7">
      <c r="A359" s="332" t="s">
        <v>296</v>
      </c>
      <c r="B359" s="321" t="s">
        <v>2350</v>
      </c>
      <c r="C359" s="322">
        <v>0.1</v>
      </c>
      <c r="D359" s="322">
        <v>0.1</v>
      </c>
      <c r="E359" s="322">
        <v>0.1</v>
      </c>
      <c r="F359" s="322">
        <v>0.1</v>
      </c>
      <c r="G359" s="323">
        <v>0.1</v>
      </c>
    </row>
    <row r="360" spans="1:7">
      <c r="A360" s="332" t="s">
        <v>296</v>
      </c>
      <c r="B360" s="321" t="s">
        <v>2364</v>
      </c>
      <c r="C360" s="322">
        <v>0.15</v>
      </c>
      <c r="D360" s="322">
        <v>0.15</v>
      </c>
      <c r="E360" s="322">
        <v>0.15</v>
      </c>
      <c r="F360" s="322">
        <v>0.149</v>
      </c>
      <c r="G360" s="323">
        <v>0.15</v>
      </c>
    </row>
    <row r="361" spans="1:7">
      <c r="A361" s="332" t="s">
        <v>296</v>
      </c>
      <c r="B361" s="321" t="s">
        <v>2376</v>
      </c>
      <c r="C361" s="322">
        <v>0.15</v>
      </c>
      <c r="D361" s="322">
        <v>0.15</v>
      </c>
      <c r="E361" s="322">
        <v>0.15</v>
      </c>
      <c r="F361" s="322">
        <v>0.115</v>
      </c>
      <c r="G361" s="323">
        <v>0.15</v>
      </c>
    </row>
    <row r="362" spans="1:7">
      <c r="A362" s="332" t="s">
        <v>296</v>
      </c>
      <c r="B362" s="321" t="s">
        <v>2388</v>
      </c>
      <c r="C362" s="322">
        <v>0.15</v>
      </c>
      <c r="D362" s="322">
        <v>0.15</v>
      </c>
      <c r="E362" s="322">
        <v>0.15</v>
      </c>
      <c r="F362" s="322">
        <v>0.106</v>
      </c>
      <c r="G362" s="323">
        <v>0.15</v>
      </c>
    </row>
    <row r="363" spans="1:7">
      <c r="A363" s="332" t="s">
        <v>296</v>
      </c>
      <c r="B363" s="321" t="s">
        <v>2399</v>
      </c>
      <c r="C363" s="322">
        <v>0.15</v>
      </c>
      <c r="D363" s="322">
        <v>0.15</v>
      </c>
      <c r="E363" s="322">
        <v>0.15</v>
      </c>
      <c r="F363" s="322">
        <v>0.147</v>
      </c>
      <c r="G363" s="323">
        <v>0.15</v>
      </c>
    </row>
    <row r="364" spans="1:7">
      <c r="A364" s="332" t="s">
        <v>296</v>
      </c>
      <c r="B364" s="321" t="s">
        <v>2410</v>
      </c>
      <c r="C364" s="322">
        <v>0.15</v>
      </c>
      <c r="D364" s="322">
        <v>0.15</v>
      </c>
      <c r="E364" s="322">
        <v>0.15</v>
      </c>
      <c r="F364" s="322">
        <v>0.148</v>
      </c>
      <c r="G364" s="323">
        <v>0.15</v>
      </c>
    </row>
    <row r="365" spans="1:7">
      <c r="A365" s="332" t="s">
        <v>296</v>
      </c>
      <c r="B365" s="321" t="s">
        <v>2421</v>
      </c>
      <c r="C365" s="322">
        <v>0.15</v>
      </c>
      <c r="D365" s="322">
        <v>0.15</v>
      </c>
      <c r="E365" s="322">
        <v>0.15</v>
      </c>
      <c r="F365" s="322">
        <v>0.15</v>
      </c>
      <c r="G365" s="323">
        <v>0.15</v>
      </c>
    </row>
    <row r="366" spans="1:7">
      <c r="A366" s="332" t="s">
        <v>296</v>
      </c>
      <c r="B366" s="321" t="s">
        <v>2431</v>
      </c>
      <c r="C366" s="322">
        <v>0.15</v>
      </c>
      <c r="D366" s="322">
        <v>0.15</v>
      </c>
      <c r="E366" s="322">
        <v>0.15</v>
      </c>
      <c r="F366" s="322">
        <v>0.15</v>
      </c>
      <c r="G366" s="323">
        <v>0.15</v>
      </c>
    </row>
    <row r="367" spans="1:7">
      <c r="A367" s="332" t="s">
        <v>296</v>
      </c>
      <c r="B367" s="321" t="s">
        <v>2441</v>
      </c>
      <c r="C367" s="322">
        <v>0.15</v>
      </c>
      <c r="D367" s="322">
        <v>0.15</v>
      </c>
      <c r="E367" s="322">
        <v>0.15</v>
      </c>
      <c r="F367" s="322">
        <v>0.147</v>
      </c>
      <c r="G367" s="323">
        <v>0.15</v>
      </c>
    </row>
    <row r="368" spans="1:7">
      <c r="A368" s="332" t="s">
        <v>296</v>
      </c>
      <c r="B368" s="321" t="s">
        <v>2451</v>
      </c>
      <c r="C368" s="322">
        <v>0.15</v>
      </c>
      <c r="D368" s="322">
        <v>0.15</v>
      </c>
      <c r="E368" s="322">
        <v>0.15</v>
      </c>
      <c r="F368" s="322">
        <v>0.136</v>
      </c>
      <c r="G368" s="323">
        <v>0.15</v>
      </c>
    </row>
    <row r="369" spans="1:7">
      <c r="A369" s="332" t="s">
        <v>296</v>
      </c>
      <c r="B369" s="321" t="s">
        <v>2460</v>
      </c>
      <c r="C369" s="322">
        <v>0.15</v>
      </c>
      <c r="D369" s="322">
        <v>0.15</v>
      </c>
      <c r="E369" s="322">
        <v>0.15</v>
      </c>
      <c r="F369" s="322">
        <v>0.144</v>
      </c>
      <c r="G369" s="323">
        <v>0.15</v>
      </c>
    </row>
    <row r="370" spans="1:7">
      <c r="A370" s="332" t="s">
        <v>296</v>
      </c>
      <c r="B370" s="321" t="s">
        <v>2470</v>
      </c>
      <c r="C370" s="322">
        <v>0.15</v>
      </c>
      <c r="D370" s="322">
        <v>0.15</v>
      </c>
      <c r="E370" s="322">
        <v>0.15</v>
      </c>
      <c r="F370" s="322">
        <v>0.146</v>
      </c>
      <c r="G370" s="323">
        <v>0.15</v>
      </c>
    </row>
    <row r="371" spans="1:7">
      <c r="A371" s="332" t="s">
        <v>296</v>
      </c>
      <c r="B371" s="321" t="s">
        <v>2480</v>
      </c>
      <c r="C371" s="322">
        <v>0.15</v>
      </c>
      <c r="D371" s="322">
        <v>0.15</v>
      </c>
      <c r="E371" s="322">
        <v>0.15</v>
      </c>
      <c r="F371" s="322">
        <v>0.12</v>
      </c>
      <c r="G371" s="323">
        <v>0.15</v>
      </c>
    </row>
    <row r="372" spans="1:7">
      <c r="A372" s="332" t="s">
        <v>296</v>
      </c>
      <c r="B372" s="321" t="s">
        <v>2490</v>
      </c>
      <c r="C372" s="322">
        <v>0.15</v>
      </c>
      <c r="D372" s="322">
        <v>0.15</v>
      </c>
      <c r="E372" s="322">
        <v>0.15</v>
      </c>
      <c r="F372" s="322">
        <v>0.143</v>
      </c>
      <c r="G372" s="323">
        <v>0.15</v>
      </c>
    </row>
    <row r="373" spans="1:7">
      <c r="A373" s="332" t="s">
        <v>296</v>
      </c>
      <c r="B373" s="321" t="s">
        <v>2500</v>
      </c>
      <c r="C373" s="322">
        <v>0.15</v>
      </c>
      <c r="D373" s="322">
        <v>0.15</v>
      </c>
      <c r="E373" s="322">
        <v>0.15</v>
      </c>
      <c r="F373" s="322">
        <v>0.146</v>
      </c>
      <c r="G373" s="323">
        <v>0.15</v>
      </c>
    </row>
    <row r="374" spans="1:7">
      <c r="A374" s="332" t="s">
        <v>296</v>
      </c>
      <c r="B374" s="321" t="s">
        <v>2510</v>
      </c>
      <c r="C374" s="322">
        <v>0.15</v>
      </c>
      <c r="D374" s="322">
        <v>0.15</v>
      </c>
      <c r="E374" s="322">
        <v>0.15</v>
      </c>
      <c r="F374" s="322">
        <v>0.144</v>
      </c>
      <c r="G374" s="323">
        <v>0.15</v>
      </c>
    </row>
    <row r="375" spans="1:7">
      <c r="A375" s="332" t="s">
        <v>296</v>
      </c>
      <c r="B375" s="321" t="s">
        <v>2520</v>
      </c>
      <c r="C375" s="322">
        <v>0.15</v>
      </c>
      <c r="D375" s="322">
        <v>0.15</v>
      </c>
      <c r="E375" s="322">
        <v>0.15</v>
      </c>
      <c r="F375" s="322">
        <v>0.13</v>
      </c>
      <c r="G375" s="323">
        <v>0.15</v>
      </c>
    </row>
    <row r="376" spans="1:7">
      <c r="A376" s="332" t="s">
        <v>296</v>
      </c>
      <c r="B376" s="321" t="s">
        <v>2530</v>
      </c>
      <c r="C376" s="322">
        <v>0.15</v>
      </c>
      <c r="D376" s="322">
        <v>0.15</v>
      </c>
      <c r="E376" s="322">
        <v>0.15</v>
      </c>
      <c r="F376" s="322">
        <v>0.142</v>
      </c>
      <c r="G376" s="323">
        <v>0.15</v>
      </c>
    </row>
    <row r="377" ht="14.25" spans="1:7">
      <c r="A377" s="335" t="s">
        <v>296</v>
      </c>
      <c r="B377" s="325" t="s">
        <v>2540</v>
      </c>
      <c r="C377" s="326">
        <v>0.15</v>
      </c>
      <c r="D377" s="326">
        <v>0.15</v>
      </c>
      <c r="E377" s="326">
        <v>0.15</v>
      </c>
      <c r="F377" s="326">
        <v>0.14</v>
      </c>
      <c r="G377" s="328">
        <v>0.15</v>
      </c>
    </row>
    <row r="378" spans="1:7">
      <c r="A378" s="331" t="s">
        <v>300</v>
      </c>
      <c r="B378" s="317" t="s">
        <v>2338</v>
      </c>
      <c r="C378" s="318">
        <v>0.15</v>
      </c>
      <c r="D378" s="318">
        <v>0.15</v>
      </c>
      <c r="E378" s="318">
        <v>0.15</v>
      </c>
      <c r="F378" s="318">
        <v>0.107</v>
      </c>
      <c r="G378" s="319">
        <v>0.15</v>
      </c>
    </row>
    <row r="379" spans="1:7">
      <c r="A379" s="332" t="s">
        <v>300</v>
      </c>
      <c r="B379" s="321" t="s">
        <v>2351</v>
      </c>
      <c r="C379" s="322">
        <v>0.15</v>
      </c>
      <c r="D379" s="322">
        <v>0.15</v>
      </c>
      <c r="E379" s="322">
        <v>0.15</v>
      </c>
      <c r="F379" s="322">
        <v>0.115</v>
      </c>
      <c r="G379" s="323">
        <v>0.149</v>
      </c>
    </row>
    <row r="380" spans="1:7">
      <c r="A380" s="332" t="s">
        <v>300</v>
      </c>
      <c r="B380" s="321" t="s">
        <v>2365</v>
      </c>
      <c r="C380" s="322">
        <v>0.15</v>
      </c>
      <c r="D380" s="322">
        <v>0.15</v>
      </c>
      <c r="E380" s="322">
        <v>0.15</v>
      </c>
      <c r="F380" s="322">
        <v>0.1</v>
      </c>
      <c r="G380" s="323">
        <v>0.148</v>
      </c>
    </row>
    <row r="381" spans="1:7">
      <c r="A381" s="332" t="s">
        <v>300</v>
      </c>
      <c r="B381" s="321" t="s">
        <v>2377</v>
      </c>
      <c r="C381" s="322">
        <v>0.15</v>
      </c>
      <c r="D381" s="322">
        <v>0.15</v>
      </c>
      <c r="E381" s="322">
        <v>0.15</v>
      </c>
      <c r="F381" s="322">
        <v>0.126</v>
      </c>
      <c r="G381" s="323">
        <v>0.15</v>
      </c>
    </row>
    <row r="382" spans="1:7">
      <c r="A382" s="332" t="s">
        <v>300</v>
      </c>
      <c r="B382" s="321" t="s">
        <v>2389</v>
      </c>
      <c r="C382" s="322">
        <v>0.15</v>
      </c>
      <c r="D382" s="322">
        <v>0.15</v>
      </c>
      <c r="E382" s="322">
        <v>0.15</v>
      </c>
      <c r="F382" s="322">
        <v>0.15</v>
      </c>
      <c r="G382" s="323">
        <v>0.15</v>
      </c>
    </row>
    <row r="383" spans="1:7">
      <c r="A383" s="332" t="s">
        <v>300</v>
      </c>
      <c r="B383" s="321" t="s">
        <v>2400</v>
      </c>
      <c r="C383" s="322">
        <v>0.15</v>
      </c>
      <c r="D383" s="322">
        <v>0.15</v>
      </c>
      <c r="E383" s="322">
        <v>0.15</v>
      </c>
      <c r="F383" s="322">
        <v>0.147</v>
      </c>
      <c r="G383" s="323">
        <v>0.15</v>
      </c>
    </row>
    <row r="384" ht="14.25" spans="1:7">
      <c r="A384" s="342" t="s">
        <v>300</v>
      </c>
      <c r="B384" s="343" t="s">
        <v>2411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2714</v>
      </c>
      <c r="B1" s="300"/>
      <c r="C1" s="300"/>
      <c r="D1" s="300"/>
      <c r="E1" s="300"/>
      <c r="F1" s="301"/>
    </row>
    <row r="2" spans="1:6">
      <c r="A2" s="302" t="s">
        <v>2715</v>
      </c>
      <c r="B2" s="303"/>
      <c r="C2" s="303"/>
      <c r="D2" s="303"/>
      <c r="E2" s="303"/>
      <c r="F2" s="303"/>
    </row>
    <row r="3" spans="1:6">
      <c r="A3" s="302" t="s">
        <v>2716</v>
      </c>
      <c r="B3" s="303"/>
      <c r="C3" s="303"/>
      <c r="D3" s="303"/>
      <c r="E3" s="303"/>
      <c r="F3" s="304" t="s">
        <v>2717</v>
      </c>
    </row>
    <row r="4" spans="1:6">
      <c r="A4" s="305" t="s">
        <v>408</v>
      </c>
      <c r="B4" s="305" t="s">
        <v>2004</v>
      </c>
      <c r="C4" s="305" t="s">
        <v>552</v>
      </c>
      <c r="D4" s="305" t="s">
        <v>2718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2719</v>
      </c>
      <c r="C1" s="227"/>
      <c r="D1" s="227"/>
      <c r="E1" s="227"/>
      <c r="F1" s="227"/>
      <c r="G1" s="227"/>
      <c r="H1" s="227"/>
      <c r="I1" s="227"/>
      <c r="J1" s="253"/>
      <c r="K1" s="227" t="s">
        <v>2720</v>
      </c>
      <c r="L1" s="227"/>
      <c r="M1" s="227"/>
      <c r="N1" s="227"/>
      <c r="O1" s="227"/>
      <c r="P1" s="227"/>
      <c r="Q1" s="253"/>
      <c r="R1" s="273" t="s">
        <v>2721</v>
      </c>
      <c r="S1" s="224"/>
      <c r="T1" s="224"/>
      <c r="U1" s="224"/>
      <c r="V1" s="224"/>
      <c r="W1" s="224"/>
      <c r="X1" s="253"/>
      <c r="Y1" s="273" t="s">
        <v>2722</v>
      </c>
      <c r="Z1" s="224"/>
      <c r="AA1" s="224"/>
      <c r="AB1" s="224"/>
      <c r="AC1" s="224"/>
      <c r="AD1" s="224"/>
    </row>
    <row r="2" s="217" customFormat="1" ht="14.25" spans="2:30">
      <c r="B2" s="228"/>
      <c r="C2" s="229"/>
      <c r="D2" s="230" t="s">
        <v>2723</v>
      </c>
      <c r="E2" s="231" t="s">
        <v>2004</v>
      </c>
      <c r="F2" s="231" t="s">
        <v>552</v>
      </c>
      <c r="G2" s="231" t="s">
        <v>416</v>
      </c>
      <c r="H2" s="231" t="s">
        <v>412</v>
      </c>
      <c r="I2" s="231" t="s">
        <v>280</v>
      </c>
      <c r="J2" s="254"/>
      <c r="K2" s="230" t="s">
        <v>2723</v>
      </c>
      <c r="L2" s="231" t="s">
        <v>2004</v>
      </c>
      <c r="M2" s="231" t="s">
        <v>552</v>
      </c>
      <c r="N2" s="231" t="s">
        <v>416</v>
      </c>
      <c r="O2" s="231" t="s">
        <v>412</v>
      </c>
      <c r="P2" s="231" t="s">
        <v>280</v>
      </c>
      <c r="Q2" s="254"/>
      <c r="R2" s="230" t="s">
        <v>2723</v>
      </c>
      <c r="S2" s="231" t="s">
        <v>2004</v>
      </c>
      <c r="T2" s="231" t="s">
        <v>552</v>
      </c>
      <c r="U2" s="231" t="s">
        <v>416</v>
      </c>
      <c r="V2" s="231" t="s">
        <v>412</v>
      </c>
      <c r="W2" s="231" t="s">
        <v>280</v>
      </c>
      <c r="X2" s="254"/>
      <c r="Y2" s="230" t="s">
        <v>2723</v>
      </c>
      <c r="Z2" s="231" t="s">
        <v>2004</v>
      </c>
      <c r="AA2" s="231" t="s">
        <v>552</v>
      </c>
      <c r="AB2" s="231" t="s">
        <v>416</v>
      </c>
      <c r="AC2" s="231" t="s">
        <v>412</v>
      </c>
      <c r="AD2" s="231" t="s">
        <v>280</v>
      </c>
    </row>
    <row r="3" s="218" customFormat="1" ht="12.75" spans="1:30">
      <c r="A3" s="232" t="s">
        <v>2724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2739</v>
      </c>
    </row>
    <row r="21" s="223" customFormat="1" spans="9:9">
      <c r="I21" s="272" t="s">
        <v>1748</v>
      </c>
    </row>
    <row r="22" s="223" customFormat="1"/>
    <row r="23" s="224" customFormat="1" ht="12.75" spans="2:25">
      <c r="B23" s="226" t="s">
        <v>2740</v>
      </c>
      <c r="C23" s="227"/>
      <c r="D23" s="227"/>
      <c r="E23" s="227"/>
      <c r="F23" s="227"/>
      <c r="G23" s="227"/>
      <c r="H23" s="227"/>
      <c r="I23" s="227"/>
      <c r="J23" s="253"/>
      <c r="K23" s="227" t="s">
        <v>2720</v>
      </c>
      <c r="L23" s="227"/>
      <c r="M23" s="227"/>
      <c r="N23" s="227"/>
      <c r="O23" s="227"/>
      <c r="P23" s="227"/>
      <c r="Q23" s="253"/>
      <c r="R23" s="273" t="s">
        <v>2721</v>
      </c>
      <c r="X23" s="253"/>
      <c r="Y23" s="273" t="s">
        <v>2722</v>
      </c>
    </row>
    <row r="24" s="217" customFormat="1" ht="14.25" spans="2:30">
      <c r="B24" s="228"/>
      <c r="C24" s="229"/>
      <c r="D24" s="230" t="s">
        <v>2723</v>
      </c>
      <c r="E24" s="231" t="s">
        <v>2004</v>
      </c>
      <c r="F24" s="231" t="s">
        <v>552</v>
      </c>
      <c r="G24" s="231" t="s">
        <v>416</v>
      </c>
      <c r="H24" s="231"/>
      <c r="I24" s="231" t="s">
        <v>280</v>
      </c>
      <c r="J24" s="254"/>
      <c r="K24" s="230" t="s">
        <v>2723</v>
      </c>
      <c r="L24" s="231" t="s">
        <v>2004</v>
      </c>
      <c r="M24" s="231" t="s">
        <v>552</v>
      </c>
      <c r="N24" s="231" t="s">
        <v>416</v>
      </c>
      <c r="O24" s="231"/>
      <c r="P24" s="231" t="s">
        <v>280</v>
      </c>
      <c r="Q24" s="254"/>
      <c r="R24" s="230" t="s">
        <v>2723</v>
      </c>
      <c r="S24" s="231" t="s">
        <v>2004</v>
      </c>
      <c r="T24" s="231" t="s">
        <v>552</v>
      </c>
      <c r="U24" s="231" t="s">
        <v>416</v>
      </c>
      <c r="V24" s="231"/>
      <c r="W24" s="231" t="s">
        <v>280</v>
      </c>
      <c r="X24" s="254"/>
      <c r="Y24" s="230" t="s">
        <v>2723</v>
      </c>
      <c r="Z24" s="231" t="s">
        <v>2004</v>
      </c>
      <c r="AA24" s="231" t="s">
        <v>552</v>
      </c>
      <c r="AB24" s="231" t="s">
        <v>416</v>
      </c>
      <c r="AC24" s="231"/>
      <c r="AD24" s="231" t="s">
        <v>280</v>
      </c>
    </row>
    <row r="25" s="218" customFormat="1" ht="12.75" spans="1:30">
      <c r="A25" s="232" t="s">
        <v>2724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43.5" spans="1:9">
      <c r="A4" s="3662" t="str">
        <f>项目基本情况!S2</f>
        <v>北京市东城区（原崇文区）光明西街3号、甲3号3号楼房地产</v>
      </c>
      <c r="B4" s="3661">
        <f>项目基本情况!C17</f>
        <v>695.5</v>
      </c>
      <c r="C4" s="3661">
        <f>项目基本情况!C18</f>
        <v>0</v>
      </c>
      <c r="D4" s="3661">
        <f ca="1">结果表!D118</f>
        <v>2418</v>
      </c>
      <c r="E4" s="3661">
        <f ca="1">结果表!E118</f>
        <v>34766</v>
      </c>
      <c r="F4" s="3661">
        <f ca="1">结果表!F118</f>
        <v>130</v>
      </c>
      <c r="G4" s="3661">
        <f ca="1">结果表!G118</f>
        <v>1869</v>
      </c>
      <c r="H4" s="3661">
        <f ca="1">结果表!H118</f>
        <v>2548</v>
      </c>
      <c r="I4" s="3661">
        <f ca="1">结果表!I118</f>
        <v>36636</v>
      </c>
    </row>
    <row r="5" ht="30" customHeight="1" spans="1:9">
      <c r="A5" s="3661" t="s">
        <v>112</v>
      </c>
      <c r="B5" s="3661"/>
      <c r="C5" s="3661"/>
      <c r="D5" s="3661" t="str">
        <f ca="1">结果表!D119</f>
        <v>贰仟肆佰壹拾捌万元整</v>
      </c>
      <c r="E5" s="3661"/>
      <c r="F5" s="3661" t="str">
        <f ca="1">结果表!F119</f>
        <v>壹佰叁拾万元整</v>
      </c>
      <c r="G5" s="3661"/>
      <c r="H5" s="3661" t="str">
        <f ca="1">结果表!H119</f>
        <v>贰仟伍佰肆拾捌万元整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2548</v>
      </c>
      <c r="E8" s="3663"/>
      <c r="F8" s="3663"/>
      <c r="G8" s="3663"/>
      <c r="H8" s="3663"/>
      <c r="I8" s="3663"/>
    </row>
    <row r="9" ht="15" spans="1:9">
      <c r="A9" s="3661" t="s">
        <v>112</v>
      </c>
      <c r="B9" s="3661"/>
      <c r="C9" s="3661"/>
      <c r="D9" s="3661" t="str">
        <f ca="1">结果表!D123</f>
        <v>贰仟伍佰肆拾捌万元整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2742</v>
      </c>
      <c r="C1" s="85"/>
      <c r="D1" s="85"/>
      <c r="E1" s="85"/>
      <c r="F1" s="85"/>
      <c r="G1" s="74" t="s">
        <v>2743</v>
      </c>
      <c r="N1" s="74" t="s">
        <v>2720</v>
      </c>
      <c r="S1" s="74" t="s">
        <v>2744</v>
      </c>
      <c r="X1" s="158" t="s">
        <v>2721</v>
      </c>
      <c r="AD1" s="158" t="s">
        <v>2722</v>
      </c>
    </row>
    <row r="2" s="75" customFormat="1" ht="14.25" spans="2:34">
      <c r="B2" s="86" t="s">
        <v>2745</v>
      </c>
      <c r="C2" s="86" t="s">
        <v>2746</v>
      </c>
      <c r="D2" s="87" t="s">
        <v>552</v>
      </c>
      <c r="E2" s="87" t="s">
        <v>416</v>
      </c>
      <c r="F2" s="86" t="s">
        <v>2747</v>
      </c>
      <c r="G2" s="88"/>
      <c r="I2" s="86" t="s">
        <v>2745</v>
      </c>
      <c r="J2" s="87" t="s">
        <v>2012</v>
      </c>
      <c r="K2" s="87" t="s">
        <v>416</v>
      </c>
      <c r="L2" s="86" t="s">
        <v>2747</v>
      </c>
      <c r="N2" s="86" t="s">
        <v>2745</v>
      </c>
      <c r="O2" s="87" t="s">
        <v>2012</v>
      </c>
      <c r="P2" s="87" t="s">
        <v>416</v>
      </c>
      <c r="Q2" s="86" t="s">
        <v>2747</v>
      </c>
      <c r="S2" s="86" t="s">
        <v>2745</v>
      </c>
      <c r="T2" s="87" t="s">
        <v>2012</v>
      </c>
      <c r="U2" s="87" t="s">
        <v>416</v>
      </c>
      <c r="V2" s="86" t="s">
        <v>2747</v>
      </c>
      <c r="X2" s="86" t="s">
        <v>2745</v>
      </c>
      <c r="Y2" s="86" t="s">
        <v>2746</v>
      </c>
      <c r="Z2" s="87" t="s">
        <v>552</v>
      </c>
      <c r="AA2" s="87" t="s">
        <v>416</v>
      </c>
      <c r="AB2" s="86" t="s">
        <v>2747</v>
      </c>
      <c r="AD2" s="86" t="s">
        <v>2745</v>
      </c>
      <c r="AE2" s="86" t="s">
        <v>2746</v>
      </c>
      <c r="AF2" s="87" t="s">
        <v>552</v>
      </c>
      <c r="AG2" s="87" t="s">
        <v>416</v>
      </c>
      <c r="AH2" s="86" t="s">
        <v>2747</v>
      </c>
    </row>
    <row r="3" s="76" customFormat="1" ht="14.25" spans="1:34">
      <c r="A3" s="89" t="s">
        <v>2724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2826</v>
      </c>
      <c r="G91" s="192"/>
      <c r="N91" s="192"/>
      <c r="S91" s="192"/>
    </row>
    <row r="92" s="82" customFormat="1" spans="1:19">
      <c r="A92" s="82" t="s">
        <v>2827</v>
      </c>
      <c r="G92" s="192"/>
      <c r="N92" s="192"/>
      <c r="S92" s="192"/>
    </row>
    <row r="93" s="82" customFormat="1" spans="1:22">
      <c r="A93" s="82" t="s">
        <v>2828</v>
      </c>
      <c r="G93" s="192"/>
      <c r="I93" s="204"/>
      <c r="J93" s="204"/>
      <c r="K93" s="204"/>
      <c r="L93" s="204"/>
      <c r="N93" s="205"/>
      <c r="O93" s="204"/>
      <c r="P93" s="204"/>
      <c r="Q93" s="204"/>
      <c r="S93" s="205"/>
      <c r="T93" s="204"/>
      <c r="U93" s="204"/>
      <c r="V93" s="204"/>
    </row>
    <row r="94" s="82" customFormat="1" spans="1:19">
      <c r="A94" s="82" t="s">
        <v>2829</v>
      </c>
      <c r="G94" s="192"/>
      <c r="N94" s="192"/>
      <c r="S94" s="192"/>
    </row>
    <row r="101" ht="13.5"/>
    <row r="102" spans="7:22">
      <c r="G102" s="83"/>
      <c r="S102" s="209" t="s">
        <v>2830</v>
      </c>
      <c r="T102" s="210" t="s">
        <v>2831</v>
      </c>
      <c r="U102" s="210" t="s">
        <v>2832</v>
      </c>
      <c r="V102" s="210" t="s">
        <v>2833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2834</v>
      </c>
      <c r="E1" s="9">
        <f>'数据-取费表'!B22</f>
        <v>1</v>
      </c>
      <c r="F1" s="7" t="s">
        <v>2835</v>
      </c>
      <c r="G1" s="10">
        <f ca="1">INDIRECT("d"&amp;$K$1)/100</f>
        <v>0.0345</v>
      </c>
      <c r="H1" s="7" t="s">
        <v>2836</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2860</v>
      </c>
      <c r="C13" s="49">
        <v>45159</v>
      </c>
      <c r="D13" s="50">
        <v>3.45</v>
      </c>
      <c r="E13" s="50">
        <f>D13</f>
        <v>3.45</v>
      </c>
      <c r="F13" s="50">
        <f>D13</f>
        <v>3.45</v>
      </c>
      <c r="G13" s="50">
        <f>D13</f>
        <v>3.45</v>
      </c>
      <c r="H13" s="50">
        <v>4.2</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2862</v>
      </c>
      <c r="J66" s="52" t="s">
        <v>2862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郑燚</v>
      </c>
      <c r="B4" s="3643">
        <f ca="1">项目基本情况!C4</f>
        <v>1120070131</v>
      </c>
      <c r="C4" s="3644"/>
      <c r="D4" s="3645" t="s">
        <v>120</v>
      </c>
    </row>
    <row r="5" ht="56.25" customHeight="1" spans="1:4">
      <c r="A5" s="3642" t="str">
        <f>项目基本情况!D4</f>
        <v>崔锴</v>
      </c>
      <c r="B5" s="3643">
        <f ca="1">项目基本情况!E4</f>
        <v>1120100036</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958"/>
      <c r="C23" s="1958"/>
      <c r="D23" s="1958"/>
    </row>
    <row r="24" spans="1:4">
      <c r="A24" s="3655"/>
      <c r="B24" s="1958"/>
      <c r="C24" s="1958"/>
      <c r="D24" s="1958"/>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45399</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2024-04-17T07:08:27Z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