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<sst xmlns="http://schemas.openxmlformats.org/spreadsheetml/2006/main" count="8913" uniqueCount="2863">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</sst>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1"/>
      <name val="楷体_GB2312"/>
      <charset val="134"/>
    </font>
    <font>
      <sz val="14"/>
      <name val="楷体_GB2312"/>
      <charset val="134"/>
    </font>
    <font>
      <sz val="16"/>
      <name val="宋体"/>
      <charset val="134"/>
    </font>
    <font>
      <sz val="12"/>
      <name val="宋体"/>
      <charset val="0"/>
      <scheme val="minor"/>
    </font>
    <font>
      <sz val="12"/>
      <name val="楷体_GB2312"/>
      <charset val="134"/>
    </font>
    <font>
      <sz val="9"/>
      <name val="宋体"/>
      <charset val="134"/>
    </font>
    <font>
      <sz val="12"/>
      <name val="仿宋_GB2312"/>
      <charset val="134"/>
    </font>
    <font>
      <sz val="11"/>
      <name val="宋体"/>
      <charset val="134"/>
    </font>
    <font>
      <sz val="12"/>
      <name val="宋体"/>
      <charset val="134"/>
    </font>
    <font>
      <b/>
      <sz val="8"/>
      <name val="宋体"/>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0" fontId="29" fillId="10"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北京市东城区（原崇文区）光明西街3号、甲3号3号楼房地产抵押价值预评估</v>
      </c>
    </row>
    <row r="3" s="3718" customFormat="1" spans="1:2">
      <c r="A3" s="3726" t="s">
        <v>3</v>
      </c>
      <c r="B3" s="3727">
        <f>'预评函-封皮'!B40</f>
        <v>0</v>
      </c>
    </row>
    <row r="4" s="3718" customFormat="1" spans="1:2">
      <c r="A4" s="3726" t="s">
        <v>4</v>
      </c>
      <c r="B4" s="3727" t="str">
        <f ca="1">'预评函-封皮'!B46</f>
        <v>郑燚（注册号：1120070131)、崔锴（注册号：1120100036)</v>
      </c>
    </row>
    <row r="5" s="3716" customFormat="1" ht="15" spans="1:2">
      <c r="A5" s="3728" t="s">
        <v>5</v>
      </c>
      <c r="B5" s="3729" t="str">
        <f>'预评函-封皮'!B49</f>
        <v>康正预评字号</v>
      </c>
    </row>
    <row r="6" s="3717" customFormat="1" ht="15" spans="1:2">
      <c r="A6" s="3724" t="s">
        <v>6</v>
      </c>
      <c r="B6" s="3725" t="str">
        <f>'预评函-1'!A4</f>
        <v>受贵公司委托，我公司对北京市东城区（原崇文区）光明西街3号、甲3号3号楼房地产抵押价值进行了预评估。</v>
      </c>
    </row>
    <row r="7" s="3718" customFormat="1" spans="1:2">
      <c r="A7" s="3726" t="s">
        <v>7</v>
      </c>
      <c r="B7" s="3727" t="str">
        <f>'预评函-1'!A7</f>
        <v>估价对象为北京市东城区（原崇文区）光明西街3号、甲3号3号楼房地产，为所有。根据《国有土地使用证》[]，估价对象（分摊）出让国有建设用地使用权面积为0平方米，建筑面积为695.5平方米。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2024年4月12日（评估专业人员实地查勘之日）</v>
      </c>
    </row>
    <row r="13" s="3718" customFormat="1" spans="1:2">
      <c r="A13" s="3726" t="s">
        <v>13</v>
      </c>
      <c r="B13" s="372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2549</v>
      </c>
    </row>
    <row r="21" s="3718" customFormat="1" spans="1:2">
      <c r="A21" s="3726" t="s">
        <v>21</v>
      </c>
      <c r="B21" s="3727">
        <f ca="1">'预评函-2'!D7</f>
        <v>36650</v>
      </c>
    </row>
    <row r="22" s="3718" customFormat="1" spans="1:2">
      <c r="A22" s="3726" t="s">
        <v>22</v>
      </c>
      <c r="B22" s="3727" t="str">
        <f ca="1">'预评函-2'!D6</f>
        <v>贰仟伍佰肆拾玖万元整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2549</v>
      </c>
    </row>
    <row r="31" s="3718" customFormat="1" spans="1:2">
      <c r="A31" s="3726" t="s">
        <v>31</v>
      </c>
      <c r="B31" s="3727">
        <f ca="1">'预评函-2'!D15</f>
        <v>36650</v>
      </c>
    </row>
    <row r="32" s="3718" customFormat="1" spans="1:2">
      <c r="A32" s="3726" t="s">
        <v>32</v>
      </c>
      <c r="B32" s="3727" t="str">
        <f ca="1">'预评函-2'!D14</f>
        <v>贰仟伍佰肆拾玖万元整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北京市东城区（原崇文区）光明西街3号、甲3号3号楼房地产</v>
      </c>
    </row>
    <row r="42" s="3718" customFormat="1" spans="1:2">
      <c r="A42" s="3726" t="s">
        <v>42</v>
      </c>
      <c r="B42" s="3727" t="str">
        <f>'预评函-3'!B2</f>
        <v>建筑面积</v>
      </c>
    </row>
    <row r="43" s="3718" customFormat="1" spans="1:2">
      <c r="A43" s="3726" t="s">
        <v>43</v>
      </c>
      <c r="B43" s="3727">
        <f>'预评函-3'!B4</f>
        <v>695.5</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2419</v>
      </c>
    </row>
    <row r="48" s="3718" customFormat="1" spans="1:2">
      <c r="A48" s="3726" t="s">
        <v>48</v>
      </c>
      <c r="B48" s="3727">
        <f ca="1">'预评函-3'!E4</f>
        <v>34781</v>
      </c>
    </row>
    <row r="49" s="3718" customFormat="1" spans="1:2">
      <c r="A49" s="3726" t="s">
        <v>49</v>
      </c>
      <c r="B49" s="3727" t="str">
        <f ca="1">'预评函-3'!D5</f>
        <v>贰仟肆佰壹拾玖万元整</v>
      </c>
    </row>
    <row r="50" s="3718" customFormat="1" spans="1:2">
      <c r="A50" s="3726" t="s">
        <v>50</v>
      </c>
      <c r="B50" s="3727" t="str">
        <f>'预评函-3'!F2</f>
        <v>在建建筑物价值</v>
      </c>
    </row>
    <row r="51" s="3718" customFormat="1" spans="1:2">
      <c r="A51" s="3726" t="s">
        <v>51</v>
      </c>
      <c r="B51" s="3727">
        <f ca="1">'预评函-3'!F4</f>
        <v>130</v>
      </c>
    </row>
    <row r="52" s="3718" customFormat="1" spans="1:2">
      <c r="A52" s="3726" t="s">
        <v>52</v>
      </c>
      <c r="B52" s="3727">
        <f ca="1">'预评函-3'!G4</f>
        <v>1869</v>
      </c>
    </row>
    <row r="53" s="3718" customFormat="1" spans="1:2">
      <c r="A53" s="3726" t="s">
        <v>53</v>
      </c>
      <c r="B53" s="3727" t="str">
        <f ca="1">'预评函-3'!F5</f>
        <v>壹佰叁拾万元整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郑燚</v>
      </c>
    </row>
    <row r="71" spans="1:2">
      <c r="A71" s="3726" t="s">
        <v>71</v>
      </c>
      <c r="B71" s="3727">
        <f ca="1">'预评函-4'!B4</f>
        <v>1120070131</v>
      </c>
    </row>
    <row r="72" spans="1:2">
      <c r="A72" s="3726" t="s">
        <v>72</v>
      </c>
      <c r="B72" s="3733" t="str">
        <f>'预评函-4'!A5</f>
        <v>崔锴</v>
      </c>
    </row>
    <row r="73" s="3716" customFormat="1" ht="15" spans="1:2">
      <c r="A73" s="3728" t="s">
        <v>73</v>
      </c>
      <c r="B73" s="3729">
        <f ca="1">'预评函-4'!B5</f>
        <v>1120100036</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320</v>
      </c>
      <c r="C22" s="3569"/>
    </row>
    <row r="23" spans="1:3">
      <c r="A23" s="3568" t="s">
        <v>321</v>
      </c>
      <c r="B23" s="3568" t="s">
        <v>322</v>
      </c>
      <c r="C23" s="3569"/>
    </row>
    <row r="24" spans="1:3">
      <c r="A24" s="3568" t="s">
        <v>323</v>
      </c>
      <c r="B24" s="3568" t="s">
        <v>322</v>
      </c>
      <c r="C24" s="3569"/>
    </row>
    <row r="25" spans="1:3">
      <c r="A25" s="3568" t="s">
        <v>324</v>
      </c>
      <c r="B25" s="3568" t="s">
        <v>322</v>
      </c>
      <c r="C25" s="3569"/>
    </row>
    <row r="26" spans="1:3">
      <c r="A26" s="3568" t="s">
        <v>325</v>
      </c>
      <c r="B26" s="3568" t="s">
        <v>322</v>
      </c>
      <c r="C26" s="3569"/>
    </row>
    <row r="27" spans="1:3">
      <c r="A27" s="3568" t="s">
        <v>322</v>
      </c>
      <c r="B27" s="3568" t="s">
        <v>322</v>
      </c>
      <c r="C27" s="3569"/>
    </row>
    <row r="28" spans="1:3">
      <c r="A28" s="3568" t="s">
        <v>322</v>
      </c>
      <c r="B28" s="3568" t="s">
        <v>322</v>
      </c>
      <c r="C28" s="3569"/>
    </row>
    <row r="29" spans="1:3">
      <c r="A29" s="3568" t="s">
        <v>322</v>
      </c>
      <c r="B29" s="3568" t="s">
        <v>322</v>
      </c>
      <c r="C29" s="3569"/>
    </row>
    <row r="30" spans="1:3">
      <c r="A30" s="3568" t="s">
        <v>322</v>
      </c>
      <c r="B30" s="3568" t="s">
        <v>322</v>
      </c>
      <c r="C30" s="3569"/>
    </row>
    <row r="31" spans="1:3">
      <c r="A31" s="3568" t="s">
        <v>322</v>
      </c>
      <c r="B31" s="3568" t="s">
        <v>322</v>
      </c>
      <c r="C31" s="3569"/>
    </row>
    <row r="32" spans="1:3">
      <c r="A32" s="3568" t="s">
        <v>322</v>
      </c>
      <c r="B32" s="3568" t="s">
        <v>322</v>
      </c>
      <c r="C32" s="3569"/>
    </row>
    <row r="33" spans="1:3">
      <c r="A33" s="3568" t="s">
        <v>322</v>
      </c>
      <c r="B33" s="3568" t="s">
        <v>322</v>
      </c>
      <c r="C33" s="3569"/>
    </row>
    <row r="34" spans="1:3">
      <c r="A34" s="3568" t="s">
        <v>322</v>
      </c>
      <c r="B34" s="3568" t="s">
        <v>322</v>
      </c>
      <c r="C34" s="3569"/>
    </row>
    <row r="35" spans="1:3">
      <c r="A35" s="3568" t="s">
        <v>322</v>
      </c>
      <c r="B35" s="3568" t="s">
        <v>322</v>
      </c>
      <c r="C35" s="3569"/>
    </row>
    <row r="36" spans="1:3">
      <c r="A36" s="3568" t="s">
        <v>322</v>
      </c>
      <c r="B36" s="3568" t="s">
        <v>322</v>
      </c>
      <c r="C36" s="3569"/>
    </row>
    <row r="37" spans="1:3">
      <c r="A37" s="3568" t="s">
        <v>322</v>
      </c>
      <c r="B37" s="3568" t="s">
        <v>322</v>
      </c>
      <c r="C37" s="3569"/>
    </row>
    <row r="38" spans="1:3">
      <c r="A38" s="3568" t="s">
        <v>322</v>
      </c>
      <c r="B38" s="3568" t="s">
        <v>322</v>
      </c>
      <c r="C38" s="3569"/>
    </row>
    <row r="39" spans="1:3">
      <c r="A39" s="3568" t="s">
        <v>322</v>
      </c>
      <c r="B39" s="3568" t="s">
        <v>322</v>
      </c>
      <c r="C39" s="3569"/>
    </row>
    <row r="40" spans="1:3">
      <c r="A40" s="3568" t="s">
        <v>322</v>
      </c>
      <c r="B40" s="3568" t="s">
        <v>322</v>
      </c>
      <c r="C40" s="3569"/>
    </row>
    <row r="41" spans="1:3">
      <c r="A41" s="3568" t="s">
        <v>322</v>
      </c>
      <c r="B41" s="3568" t="s">
        <v>322</v>
      </c>
      <c r="C41" s="3569"/>
    </row>
    <row r="42" spans="1:3">
      <c r="A42" s="3568" t="s">
        <v>322</v>
      </c>
      <c r="B42" s="3568" t="s">
        <v>322</v>
      </c>
      <c r="C42" s="3569"/>
    </row>
    <row r="43" spans="1:3">
      <c r="A43" s="3568" t="s">
        <v>322</v>
      </c>
      <c r="B43" s="3568" t="s">
        <v>322</v>
      </c>
      <c r="C43" s="3569"/>
    </row>
    <row r="44" spans="1:3">
      <c r="A44" s="3568" t="s">
        <v>322</v>
      </c>
      <c r="B44" s="3568" t="s">
        <v>322</v>
      </c>
      <c r="C44" s="3569"/>
    </row>
    <row r="45" spans="1:3">
      <c r="A45" s="3568" t="s">
        <v>322</v>
      </c>
      <c r="B45" s="3568" t="s">
        <v>322</v>
      </c>
      <c r="C45" s="3569"/>
    </row>
    <row r="46" spans="1:3">
      <c r="A46" s="3568" t="s">
        <v>322</v>
      </c>
      <c r="B46" s="3568" t="s">
        <v>322</v>
      </c>
      <c r="C46" s="3569"/>
    </row>
    <row r="47" spans="1:3">
      <c r="A47" s="3568" t="s">
        <v>322</v>
      </c>
      <c r="B47" s="3568" t="s">
        <v>322</v>
      </c>
      <c r="C47" s="3569"/>
    </row>
    <row r="48" spans="1:3">
      <c r="A48" s="3568" t="s">
        <v>322</v>
      </c>
      <c r="B48" s="3568" t="s">
        <v>322</v>
      </c>
      <c r="C48" s="3569"/>
    </row>
    <row r="49" spans="1:3">
      <c r="A49" s="3568" t="s">
        <v>322</v>
      </c>
      <c r="B49" s="3568" t="s">
        <v>322</v>
      </c>
      <c r="C49" s="3569"/>
    </row>
    <row r="50" spans="1:3">
      <c r="A50" s="3568" t="s">
        <v>322</v>
      </c>
      <c r="B50" s="3568" t="s">
        <v>322</v>
      </c>
      <c r="C50" s="3569"/>
    </row>
    <row r="51" spans="1:4">
      <c r="A51" s="3573" t="s">
        <v>326</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4" t="s">
        <v>327</v>
      </c>
    </row>
    <row r="52" spans="1:4">
      <c r="A52" s="3573" t="s">
        <v>328</v>
      </c>
      <c r="B52" s="3573" t="s">
        <v>329</v>
      </c>
      <c r="C52" s="3561" t="s">
        <v>330</v>
      </c>
      <c r="D52" s="3561" t="s">
        <v>331</v>
      </c>
    </row>
    <row r="53" spans="1:3">
      <c r="A53" s="3565" t="s">
        <v>332</v>
      </c>
      <c r="B53" s="3574" t="s">
        <v>333</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334</v>
      </c>
      <c r="C54" s="3561" t="s">
        <v>335</v>
      </c>
    </row>
    <row r="55" spans="1:3">
      <c r="A55" s="3565"/>
      <c r="B55" s="3574" t="s">
        <v>336</v>
      </c>
      <c r="C55" s="3561" t="s">
        <v>337</v>
      </c>
    </row>
    <row r="56" spans="1:3">
      <c r="A56" s="3565"/>
      <c r="B56" s="3574" t="s">
        <v>338</v>
      </c>
      <c r="C56" s="3561" t="s">
        <v>339</v>
      </c>
    </row>
    <row r="57" spans="1:3">
      <c r="A57" s="3565"/>
      <c r="B57" s="3574" t="s">
        <v>340</v>
      </c>
      <c r="C57" s="3561" t="s">
        <v>341</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342</v>
      </c>
      <c r="B1" s="3510"/>
      <c r="C1" s="3510"/>
      <c r="D1" s="3510"/>
      <c r="E1" s="3510"/>
      <c r="F1" s="3511"/>
      <c r="I1" s="3552" t="s">
        <v>343</v>
      </c>
      <c r="J1" s="348"/>
      <c r="K1" s="348"/>
      <c r="L1" s="348"/>
      <c r="M1" s="348"/>
      <c r="N1" s="3553"/>
      <c r="O1" s="3553"/>
      <c r="P1" s="3553"/>
      <c r="Q1" s="3553"/>
      <c r="R1" s="3553"/>
    </row>
    <row r="2" spans="1:18">
      <c r="A2" s="3512"/>
      <c r="B2" s="3513"/>
      <c r="C2" s="3513"/>
      <c r="D2" s="3513"/>
      <c r="E2" s="3513"/>
      <c r="F2" s="3514"/>
      <c r="I2" s="3554" t="s">
        <v>344</v>
      </c>
      <c r="J2" s="3554"/>
      <c r="K2" s="3554"/>
      <c r="L2" s="3554"/>
      <c r="M2" s="3554"/>
      <c r="N2" s="3554"/>
      <c r="O2" s="3554"/>
      <c r="P2" s="3554"/>
      <c r="Q2" s="3554"/>
      <c r="R2" s="3554"/>
    </row>
    <row r="3" spans="1:18">
      <c r="A3" s="503" t="s">
        <v>345</v>
      </c>
      <c r="B3" s="3515">
        <f>项目基本情况!D3</f>
        <v>45394</v>
      </c>
      <c r="C3" s="504"/>
      <c r="D3" s="504"/>
      <c r="E3" s="504"/>
      <c r="F3" s="3514"/>
      <c r="I3" s="3555"/>
      <c r="J3" s="3555" t="s">
        <v>346</v>
      </c>
      <c r="K3" s="3555" t="s">
        <v>347</v>
      </c>
      <c r="L3" s="3555" t="s">
        <v>348</v>
      </c>
      <c r="M3" s="3555" t="s">
        <v>349</v>
      </c>
      <c r="N3" s="3556" t="s">
        <v>350</v>
      </c>
      <c r="O3" s="3556" t="s">
        <v>351</v>
      </c>
      <c r="P3" s="3556" t="s">
        <v>352</v>
      </c>
      <c r="Q3" s="3556" t="s">
        <v>353</v>
      </c>
      <c r="R3" s="3556" t="s">
        <v>354</v>
      </c>
    </row>
    <row r="4" spans="1:18">
      <c r="A4" s="503" t="s">
        <v>355</v>
      </c>
      <c r="B4" s="504" t="s">
        <v>356</v>
      </c>
      <c r="C4" s="504" t="s">
        <v>357</v>
      </c>
      <c r="D4" s="504" t="s">
        <v>358</v>
      </c>
      <c r="E4" s="504" t="s">
        <v>359</v>
      </c>
      <c r="F4" s="3514"/>
      <c r="I4" s="3555" t="s">
        <v>360</v>
      </c>
      <c r="J4" s="3555">
        <v>80</v>
      </c>
      <c r="K4" s="3555">
        <v>70</v>
      </c>
      <c r="L4" s="3555">
        <v>20</v>
      </c>
      <c r="M4" s="3555">
        <v>30</v>
      </c>
      <c r="N4" s="504">
        <v>45</v>
      </c>
      <c r="O4" s="504">
        <v>60</v>
      </c>
      <c r="P4" s="504">
        <v>50</v>
      </c>
      <c r="Q4" s="504">
        <v>20</v>
      </c>
      <c r="R4" s="504">
        <v>375</v>
      </c>
    </row>
    <row r="5" spans="1:18">
      <c r="A5" s="3516">
        <v>40</v>
      </c>
      <c r="B5" s="3515">
        <v>46375</v>
      </c>
      <c r="C5" s="504">
        <f>ROUNDDOWN(MIN((B5-B3)/365,A5),2)</f>
        <v>2.68</v>
      </c>
      <c r="D5" s="3517">
        <f>IF(ISERROR(ROUND(POWER(1+E5,A5-C5)*(POWER(1+E5,C5)-1)/(POWER(1+E5,A5)-1),3)),0,ROUND(POWER(1+E5,A5-C5)*(POWER(1+E5,C5)-1)/(POWER(1+E5,A5)-1),4))</f>
        <v>0.126</v>
      </c>
      <c r="E5" s="3518">
        <v>0.04</v>
      </c>
      <c r="F5" s="3514"/>
      <c r="I5" s="3555" t="s">
        <v>361</v>
      </c>
      <c r="J5" s="3555">
        <v>70</v>
      </c>
      <c r="K5" s="3555">
        <v>60</v>
      </c>
      <c r="L5" s="3555">
        <v>15</v>
      </c>
      <c r="M5" s="3555">
        <v>25</v>
      </c>
      <c r="N5" s="504">
        <v>40</v>
      </c>
      <c r="O5" s="504">
        <v>50</v>
      </c>
      <c r="P5" s="504">
        <v>40</v>
      </c>
      <c r="Q5" s="504">
        <v>15</v>
      </c>
      <c r="R5" s="504">
        <v>315</v>
      </c>
    </row>
    <row r="6" spans="1:18">
      <c r="A6" s="3516">
        <v>50</v>
      </c>
      <c r="B6" s="3515">
        <v>50028</v>
      </c>
      <c r="C6" s="504">
        <f>ROUNDDOWN(MIN((B6-B3)/365,A6),2)</f>
        <v>12.69</v>
      </c>
      <c r="D6" s="3517">
        <f>IF(ISERROR(ROUND(POWER(1+E6,A6-C6)*(POWER(1+E6,C6)-1)/(POWER(1+E6,A6)-1),3)),0,ROUND(POWER(1+E6,A6-C6)*(POWER(1+E6,C6)-1)/(POWER(1+E6,A6)-1),4))</f>
        <v>0.4563</v>
      </c>
      <c r="E6" s="3518">
        <v>0.04</v>
      </c>
      <c r="F6" s="3514"/>
      <c r="I6" s="3555" t="s">
        <v>362</v>
      </c>
      <c r="J6" s="3555">
        <v>60</v>
      </c>
      <c r="K6" s="3555">
        <v>50</v>
      </c>
      <c r="L6" s="3555">
        <v>10</v>
      </c>
      <c r="M6" s="3555">
        <v>20</v>
      </c>
      <c r="N6" s="504">
        <v>35</v>
      </c>
      <c r="O6" s="504">
        <v>40</v>
      </c>
      <c r="P6" s="504">
        <v>30</v>
      </c>
      <c r="Q6" s="504">
        <v>10</v>
      </c>
      <c r="R6" s="504">
        <v>255</v>
      </c>
    </row>
    <row r="7" spans="1:6">
      <c r="A7" s="3516">
        <v>70</v>
      </c>
      <c r="B7" s="3515">
        <v>57333</v>
      </c>
      <c r="C7" s="504">
        <f>ROUNDDOWN(MIN((B7-B3)/365,A7),2)</f>
        <v>32.7</v>
      </c>
      <c r="D7" s="3517">
        <f>IF(ISERROR(ROUND(POWER(1+E7,A7-C7)*(POWER(1+E7,C7)-1)/(POWER(1+E7,A7)-1),3)),0,ROUND(POWER(1+E7,A7-C7)*(POWER(1+E7,C7)-1)/(POWER(1+E7,A7)-1),4))</f>
        <v>0.7723</v>
      </c>
      <c r="E7" s="3518">
        <v>0.04</v>
      </c>
      <c r="F7" s="3514"/>
    </row>
    <row r="8" spans="1:6">
      <c r="A8" s="3512"/>
      <c r="B8" s="3513"/>
      <c r="C8" s="3513"/>
      <c r="D8" s="3513"/>
      <c r="E8" s="3513"/>
      <c r="F8" s="3514"/>
    </row>
    <row r="9" spans="1:6">
      <c r="A9" s="503" t="s">
        <v>363</v>
      </c>
      <c r="B9" s="504"/>
      <c r="C9" s="504"/>
      <c r="D9" s="504"/>
      <c r="E9" s="504"/>
      <c r="F9" s="556"/>
    </row>
    <row r="10" spans="1:6">
      <c r="A10" s="503" t="s">
        <v>364</v>
      </c>
      <c r="B10" s="504"/>
      <c r="C10" s="504"/>
      <c r="D10" s="504" t="s">
        <v>359</v>
      </c>
      <c r="E10" s="504"/>
      <c r="F10" s="556" t="s">
        <v>358</v>
      </c>
    </row>
    <row r="11" spans="1:6">
      <c r="A11" s="503" t="s">
        <v>365</v>
      </c>
      <c r="B11" s="3519">
        <v>70</v>
      </c>
      <c r="C11" s="504" t="s">
        <v>366</v>
      </c>
      <c r="D11" s="3520">
        <v>0.045</v>
      </c>
      <c r="E11" s="504" t="s">
        <v>367</v>
      </c>
      <c r="F11" s="3521">
        <f>ROUND(1-(1/(POWER(1+D11,B11))),4)</f>
        <v>0.9541</v>
      </c>
    </row>
    <row r="12" spans="1:6">
      <c r="A12" s="503" t="s">
        <v>368</v>
      </c>
      <c r="B12" s="3519">
        <v>40</v>
      </c>
      <c r="C12" s="504" t="s">
        <v>369</v>
      </c>
      <c r="D12" s="3520">
        <v>0.045</v>
      </c>
      <c r="E12" s="504" t="s">
        <v>370</v>
      </c>
      <c r="F12" s="3521">
        <f>ROUND(1-(1/(POWER(1+D12,B12))),4)</f>
        <v>0.8281</v>
      </c>
    </row>
    <row r="13" spans="1:6">
      <c r="A13" s="503" t="s">
        <v>371</v>
      </c>
      <c r="B13" s="504"/>
      <c r="C13" s="504"/>
      <c r="D13" s="3513"/>
      <c r="E13" s="3513"/>
      <c r="F13" s="3514"/>
    </row>
    <row r="14" spans="1:6">
      <c r="A14" s="503" t="s">
        <v>372</v>
      </c>
      <c r="B14" s="3519">
        <v>5000</v>
      </c>
      <c r="C14" s="3522"/>
      <c r="D14" s="3513"/>
      <c r="E14" s="3513"/>
      <c r="F14" s="3514"/>
    </row>
    <row r="15" spans="1:6">
      <c r="A15" s="503" t="s">
        <v>373</v>
      </c>
      <c r="B15" s="504">
        <f>ROUND(B14*F12/F11,2)</f>
        <v>4339.69</v>
      </c>
      <c r="C15" s="504">
        <f>ROUND(F12/F11,4)</f>
        <v>0.8679</v>
      </c>
      <c r="D15" s="3513"/>
      <c r="E15" s="3513"/>
      <c r="F15" s="3514"/>
    </row>
    <row r="16" spans="1:6">
      <c r="A16" s="503" t="s">
        <v>374</v>
      </c>
      <c r="B16" s="504"/>
      <c r="C16" s="504"/>
      <c r="D16" s="3513"/>
      <c r="E16" s="3513"/>
      <c r="F16" s="3514"/>
    </row>
    <row r="17" spans="1:6">
      <c r="A17" s="503" t="s">
        <v>373</v>
      </c>
      <c r="B17" s="3520">
        <v>4810</v>
      </c>
      <c r="C17" s="3522"/>
      <c r="D17" s="3513"/>
      <c r="E17" s="3513"/>
      <c r="F17" s="3514"/>
    </row>
    <row r="18" ht="14.25" spans="1:6">
      <c r="A18" s="3523" t="s">
        <v>372</v>
      </c>
      <c r="B18" s="559">
        <f>ROUND(B17*F11/F12,2)</f>
        <v>5541.87</v>
      </c>
      <c r="C18" s="559">
        <f>ROUND(F11/F12,4)</f>
        <v>1.1522</v>
      </c>
      <c r="D18" s="3524"/>
      <c r="E18" s="3524"/>
      <c r="F18" s="3525"/>
    </row>
    <row r="19" ht="14.25"/>
    <row r="20" s="3506" customFormat="1" ht="14.25" spans="1:13">
      <c r="A20" s="3526" t="s">
        <v>375</v>
      </c>
      <c r="B20" s="3527"/>
      <c r="C20" s="3527"/>
      <c r="D20" s="3527"/>
      <c r="E20" s="3527"/>
      <c r="F20" s="3527"/>
      <c r="G20" s="3528"/>
      <c r="I20" s="3557" t="s">
        <v>376</v>
      </c>
      <c r="J20" s="3557" t="s">
        <v>377</v>
      </c>
      <c r="K20" s="3557"/>
      <c r="L20" s="3557"/>
      <c r="M20" s="3557"/>
    </row>
    <row r="21" spans="1:10">
      <c r="A21" s="3529"/>
      <c r="B21" s="3530" t="s">
        <v>378</v>
      </c>
      <c r="C21" s="3530" t="s">
        <v>357</v>
      </c>
      <c r="D21" s="3530" t="s">
        <v>379</v>
      </c>
      <c r="E21" s="3530" t="s">
        <v>358</v>
      </c>
      <c r="F21" s="3530" t="s">
        <v>380</v>
      </c>
      <c r="G21" s="3531" t="s">
        <v>381</v>
      </c>
      <c r="I21" s="3508">
        <v>5</v>
      </c>
      <c r="J21" s="3508">
        <v>54.2</v>
      </c>
    </row>
    <row r="22" spans="1:11">
      <c r="A22" s="3529" t="s">
        <v>382</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383</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384</v>
      </c>
      <c r="M23" s="3508" t="s">
        <v>385</v>
      </c>
    </row>
    <row r="24" spans="1:13">
      <c r="A24" s="3529" t="s">
        <v>386</v>
      </c>
      <c r="B24" s="3532">
        <v>70</v>
      </c>
      <c r="C24" s="3532">
        <v>50</v>
      </c>
      <c r="D24" s="3533">
        <v>0.04</v>
      </c>
      <c r="E24" s="3530">
        <f t="shared" si="0"/>
        <v>0.918</v>
      </c>
      <c r="F24" s="3533">
        <f>F23</f>
        <v>0.7</v>
      </c>
      <c r="G24" s="3531">
        <f t="shared" si="1"/>
        <v>94.3</v>
      </c>
      <c r="I24" s="3508">
        <v>20</v>
      </c>
      <c r="J24" s="3508">
        <v>81</v>
      </c>
      <c r="K24" s="3508">
        <f t="shared" si="2"/>
        <v>6.90000000000001</v>
      </c>
      <c r="L24" s="3508" t="s">
        <v>387</v>
      </c>
      <c r="M24" s="3508">
        <v>10</v>
      </c>
    </row>
    <row r="25" spans="1:13">
      <c r="A25" s="3529" t="s">
        <v>388</v>
      </c>
      <c r="B25" s="3532">
        <v>70</v>
      </c>
      <c r="C25" s="3532">
        <v>60</v>
      </c>
      <c r="D25" s="3533">
        <v>0.04</v>
      </c>
      <c r="E25" s="3530">
        <f t="shared" si="0"/>
        <v>0.967</v>
      </c>
      <c r="F25" s="3533">
        <f>F24</f>
        <v>0.7</v>
      </c>
      <c r="G25" s="3531">
        <f t="shared" si="1"/>
        <v>97.7</v>
      </c>
      <c r="I25" s="3508">
        <v>25</v>
      </c>
      <c r="J25" s="3508">
        <v>86.3</v>
      </c>
      <c r="K25" s="3508">
        <f t="shared" si="2"/>
        <v>5.3</v>
      </c>
      <c r="L25" s="3508" t="s">
        <v>389</v>
      </c>
      <c r="M25" s="3508">
        <v>8</v>
      </c>
    </row>
    <row r="26" spans="1:13">
      <c r="A26" s="3534"/>
      <c r="B26" s="3535"/>
      <c r="C26" s="3535"/>
      <c r="D26" s="3535"/>
      <c r="E26" s="3535"/>
      <c r="F26" s="3535"/>
      <c r="G26" s="3536"/>
      <c r="I26" s="3508">
        <v>30</v>
      </c>
      <c r="J26" s="3508">
        <v>90.5</v>
      </c>
      <c r="K26" s="3508">
        <f t="shared" si="2"/>
        <v>4.2</v>
      </c>
      <c r="L26" s="3508" t="s">
        <v>390</v>
      </c>
      <c r="M26" s="3508">
        <v>5</v>
      </c>
    </row>
    <row r="27" spans="1:13">
      <c r="A27" s="3534" t="s">
        <v>391</v>
      </c>
      <c r="B27" s="3535"/>
      <c r="C27" s="3535"/>
      <c r="D27" s="3535"/>
      <c r="E27" s="3535"/>
      <c r="F27" s="3535"/>
      <c r="G27" s="3536"/>
      <c r="I27" s="3508">
        <v>35</v>
      </c>
      <c r="J27" s="3508">
        <v>93.8</v>
      </c>
      <c r="K27" s="3508">
        <f t="shared" si="2"/>
        <v>3.3</v>
      </c>
      <c r="L27" s="3508" t="s">
        <v>392</v>
      </c>
      <c r="M27" s="3508">
        <v>3</v>
      </c>
    </row>
    <row r="28" spans="1:13">
      <c r="A28" s="3534" t="s">
        <v>393</v>
      </c>
      <c r="B28" s="3535"/>
      <c r="C28" s="3535"/>
      <c r="D28" s="3535"/>
      <c r="E28" s="3535"/>
      <c r="F28" s="3535"/>
      <c r="G28" s="3536"/>
      <c r="I28" s="3508">
        <v>40</v>
      </c>
      <c r="J28" s="3508">
        <v>96.4</v>
      </c>
      <c r="K28" s="3508">
        <f t="shared" si="2"/>
        <v>2.60000000000001</v>
      </c>
      <c r="L28" s="3508" t="s">
        <v>394</v>
      </c>
      <c r="M28" s="3508">
        <v>2</v>
      </c>
    </row>
    <row r="29" spans="1:11">
      <c r="A29" s="3534" t="s">
        <v>395</v>
      </c>
      <c r="B29" s="3535"/>
      <c r="C29" s="3535"/>
      <c r="D29" s="3535"/>
      <c r="E29" s="3535"/>
      <c r="F29" s="3535"/>
      <c r="G29" s="3536"/>
      <c r="I29" s="3508">
        <v>45</v>
      </c>
      <c r="J29" s="3508">
        <v>98.4</v>
      </c>
      <c r="K29" s="3508">
        <f t="shared" si="2"/>
        <v>2</v>
      </c>
    </row>
    <row r="30" spans="1:11">
      <c r="A30" s="3534" t="s">
        <v>396</v>
      </c>
      <c r="B30" s="3535"/>
      <c r="C30" s="3535"/>
      <c r="D30" s="3535"/>
      <c r="E30" s="3535"/>
      <c r="F30" s="3535"/>
      <c r="G30" s="3536"/>
      <c r="I30" s="3508">
        <v>50</v>
      </c>
      <c r="J30" s="3508">
        <v>100</v>
      </c>
      <c r="K30" s="3508">
        <f t="shared" si="2"/>
        <v>1.59999999999999</v>
      </c>
    </row>
    <row r="31" spans="1:9">
      <c r="A31" s="3534" t="s">
        <v>397</v>
      </c>
      <c r="B31" s="3535"/>
      <c r="C31" s="3535"/>
      <c r="D31" s="3535"/>
      <c r="E31" s="3535"/>
      <c r="F31" s="3535"/>
      <c r="G31" s="3536"/>
      <c r="I31" s="3508" t="s">
        <v>398</v>
      </c>
    </row>
    <row r="32" spans="1:7">
      <c r="A32" s="3534" t="s">
        <v>399</v>
      </c>
      <c r="B32" s="3535"/>
      <c r="C32" s="3535"/>
      <c r="D32" s="3535"/>
      <c r="E32" s="3535"/>
      <c r="F32" s="3535"/>
      <c r="G32" s="3536"/>
    </row>
    <row r="33" spans="1:10">
      <c r="A33" s="3534" t="s">
        <v>400</v>
      </c>
      <c r="B33" s="3535"/>
      <c r="C33" s="3535"/>
      <c r="D33" s="3535"/>
      <c r="E33" s="3535"/>
      <c r="F33" s="3535"/>
      <c r="G33" s="3536"/>
      <c r="I33" s="3508" t="s">
        <v>376</v>
      </c>
      <c r="J33" s="3508" t="s">
        <v>401</v>
      </c>
    </row>
    <row r="34" spans="1:10">
      <c r="A34" s="3534" t="s">
        <v>402</v>
      </c>
      <c r="B34" s="3535"/>
      <c r="C34" s="3535"/>
      <c r="D34" s="3535"/>
      <c r="E34" s="3535"/>
      <c r="F34" s="3535"/>
      <c r="G34" s="3536"/>
      <c r="I34" s="3508">
        <v>5</v>
      </c>
      <c r="J34" s="3508">
        <v>55.1</v>
      </c>
    </row>
    <row r="35" spans="1:11">
      <c r="A35" s="3534" t="s">
        <v>403</v>
      </c>
      <c r="B35" s="3535"/>
      <c r="C35" s="3535"/>
      <c r="D35" s="3535"/>
      <c r="E35" s="3535"/>
      <c r="F35" s="3535"/>
      <c r="G35" s="3536"/>
      <c r="I35" s="3508">
        <v>10</v>
      </c>
      <c r="J35" s="3508">
        <v>67</v>
      </c>
      <c r="K35" s="3508">
        <f>J35-J34</f>
        <v>11.9</v>
      </c>
    </row>
    <row r="36" spans="1:13">
      <c r="A36" s="3534" t="s">
        <v>404</v>
      </c>
      <c r="B36" s="3535"/>
      <c r="C36" s="3535"/>
      <c r="D36" s="3535"/>
      <c r="E36" s="3535"/>
      <c r="F36" s="3535"/>
      <c r="G36" s="3536"/>
      <c r="I36" s="3508">
        <v>15</v>
      </c>
      <c r="J36" s="3508">
        <v>76.3</v>
      </c>
      <c r="K36" s="3508">
        <f t="shared" ref="K36:K41" si="3">J36-J35</f>
        <v>9.3</v>
      </c>
      <c r="L36" s="3508" t="s">
        <v>384</v>
      </c>
      <c r="M36" s="3508" t="s">
        <v>385</v>
      </c>
    </row>
    <row r="37" spans="1:13">
      <c r="A37" s="3534" t="s">
        <v>405</v>
      </c>
      <c r="B37" s="3535"/>
      <c r="C37" s="3535"/>
      <c r="D37" s="3535"/>
      <c r="E37" s="3535"/>
      <c r="F37" s="3535"/>
      <c r="G37" s="3536"/>
      <c r="I37" s="3508">
        <v>20</v>
      </c>
      <c r="J37" s="3508">
        <v>83.6</v>
      </c>
      <c r="K37" s="3508">
        <f t="shared" si="3"/>
        <v>7.3</v>
      </c>
      <c r="L37" s="3508" t="s">
        <v>387</v>
      </c>
      <c r="M37" s="3508">
        <v>10</v>
      </c>
    </row>
    <row r="38" spans="1:13">
      <c r="A38" s="3534" t="s">
        <v>406</v>
      </c>
      <c r="B38" s="3535"/>
      <c r="C38" s="3535"/>
      <c r="D38" s="3535"/>
      <c r="E38" s="3535"/>
      <c r="F38" s="3535"/>
      <c r="G38" s="3536"/>
      <c r="I38" s="3508">
        <v>25</v>
      </c>
      <c r="J38" s="3508">
        <v>89.3</v>
      </c>
      <c r="K38" s="3508">
        <f t="shared" si="3"/>
        <v>5.7</v>
      </c>
      <c r="L38" s="3508" t="s">
        <v>389</v>
      </c>
      <c r="M38" s="3508">
        <v>8</v>
      </c>
    </row>
    <row r="39" spans="1:13">
      <c r="A39" s="3534"/>
      <c r="B39" s="3535"/>
      <c r="C39" s="3535"/>
      <c r="D39" s="3535"/>
      <c r="E39" s="3535"/>
      <c r="F39" s="3535"/>
      <c r="G39" s="3536"/>
      <c r="I39" s="3508">
        <v>30</v>
      </c>
      <c r="J39" s="3508">
        <v>93.8</v>
      </c>
      <c r="K39" s="3508">
        <f t="shared" si="3"/>
        <v>4.5</v>
      </c>
      <c r="L39" s="3508" t="s">
        <v>390</v>
      </c>
      <c r="M39" s="3508">
        <v>6</v>
      </c>
    </row>
    <row r="40" spans="1:13">
      <c r="A40" s="3537" t="s">
        <v>407</v>
      </c>
      <c r="B40" s="3538"/>
      <c r="C40" s="3538"/>
      <c r="D40" s="3538"/>
      <c r="E40" s="3538"/>
      <c r="F40" s="3538"/>
      <c r="G40" s="3539"/>
      <c r="I40" s="3508">
        <v>35</v>
      </c>
      <c r="J40" s="3508">
        <v>97.2</v>
      </c>
      <c r="K40" s="3508">
        <f t="shared" si="3"/>
        <v>3.40000000000001</v>
      </c>
      <c r="L40" s="3508" t="s">
        <v>392</v>
      </c>
      <c r="M40" s="3508">
        <v>3</v>
      </c>
    </row>
    <row r="41" spans="1:11">
      <c r="A41" s="3540" t="s">
        <v>408</v>
      </c>
      <c r="B41" s="3541" t="s">
        <v>409</v>
      </c>
      <c r="C41" s="3542" t="s">
        <v>410</v>
      </c>
      <c r="D41" s="3542" t="s">
        <v>411</v>
      </c>
      <c r="E41" s="3543"/>
      <c r="F41" s="3544"/>
      <c r="G41" s="3545"/>
      <c r="I41" s="3508">
        <v>40</v>
      </c>
      <c r="J41" s="3508">
        <v>100</v>
      </c>
      <c r="K41" s="3508">
        <f t="shared" si="3"/>
        <v>2.8</v>
      </c>
    </row>
    <row r="42" spans="1:7">
      <c r="A42" s="3540" t="s">
        <v>412</v>
      </c>
      <c r="B42" s="3541" t="s">
        <v>413</v>
      </c>
      <c r="C42" s="3542" t="s">
        <v>413</v>
      </c>
      <c r="D42" s="3546" t="s">
        <v>414</v>
      </c>
      <c r="E42" s="3538" t="s">
        <v>415</v>
      </c>
      <c r="F42" s="3538"/>
      <c r="G42" s="3539"/>
    </row>
    <row r="43" spans="1:10">
      <c r="A43" s="3540" t="s">
        <v>416</v>
      </c>
      <c r="B43" s="3541" t="s">
        <v>417</v>
      </c>
      <c r="C43" s="3542" t="s">
        <v>418</v>
      </c>
      <c r="D43" s="3542" t="s">
        <v>419</v>
      </c>
      <c r="E43" s="3543" t="s">
        <v>420</v>
      </c>
      <c r="F43" s="3544"/>
      <c r="G43" s="3545"/>
      <c r="I43" s="3508" t="s">
        <v>376</v>
      </c>
      <c r="J43" s="3508" t="s">
        <v>421</v>
      </c>
    </row>
    <row r="44" spans="1:10">
      <c r="A44" s="3540" t="s">
        <v>422</v>
      </c>
      <c r="B44" s="3541" t="s">
        <v>423</v>
      </c>
      <c r="C44" s="3542" t="s">
        <v>424</v>
      </c>
      <c r="D44" s="3546">
        <v>0.5</v>
      </c>
      <c r="E44" s="3543" t="s">
        <v>425</v>
      </c>
      <c r="F44" s="3544"/>
      <c r="G44" s="3545"/>
      <c r="I44" s="3508">
        <v>30</v>
      </c>
      <c r="J44" s="3508">
        <v>81.7</v>
      </c>
    </row>
    <row r="45" ht="14.25" spans="1:11">
      <c r="A45" s="3547" t="s">
        <v>426</v>
      </c>
      <c r="B45" s="3548" t="s">
        <v>413</v>
      </c>
      <c r="C45" s="3549" t="s">
        <v>413</v>
      </c>
      <c r="D45" s="3549" t="s">
        <v>427</v>
      </c>
      <c r="E45" s="3550" t="s">
        <v>428</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2" customWidth="1"/>
    <col min="10" max="10" width="10" style="3154" customWidth="1"/>
    <col min="11" max="11" width="10" style="3351" customWidth="1"/>
    <col min="12" max="13" width="10" style="3352" customWidth="1"/>
    <col min="14" max="14" width="10" style="3154" customWidth="1"/>
    <col min="15" max="15" width="10" style="582" customWidth="1"/>
    <col min="16" max="17" width="10" style="3154"/>
    <col min="18" max="18" width="10" style="3154" customWidth="1"/>
    <col min="19" max="30" width="10" style="3154"/>
    <col min="31" max="16384" width="10" style="2950"/>
  </cols>
  <sheetData>
    <row r="1" ht="13.5" spans="1:28">
      <c r="A1" s="3353" t="s">
        <v>429</v>
      </c>
      <c r="B1" s="3354"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5"/>
      <c r="D1" s="3355"/>
      <c r="E1" s="3355"/>
      <c r="F1" s="3355"/>
      <c r="G1" s="3355"/>
      <c r="H1" s="3355"/>
      <c r="I1" s="3470"/>
      <c r="J1" s="2890"/>
      <c r="K1" s="3471"/>
      <c r="L1" s="3472"/>
      <c r="M1" s="3472"/>
      <c r="N1" s="3399"/>
      <c r="O1" s="3260"/>
      <c r="P1" s="3399"/>
      <c r="Q1" s="3399"/>
      <c r="R1" s="3399"/>
      <c r="S1" s="2951"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50"/>
      <c r="U1" s="2950"/>
      <c r="V1" s="2950"/>
      <c r="W1" s="2950"/>
      <c r="X1" s="2950"/>
      <c r="Y1" s="2950"/>
      <c r="Z1" s="2950"/>
      <c r="AA1" s="2950"/>
      <c r="AB1" s="2950"/>
    </row>
    <row r="2" spans="1:28">
      <c r="A2" s="3356" t="s">
        <v>430</v>
      </c>
      <c r="B2" s="3357"/>
      <c r="C2" s="3358"/>
      <c r="D2" s="3359"/>
      <c r="E2" s="3360"/>
      <c r="F2" s="3360"/>
      <c r="G2" s="3361"/>
      <c r="H2" s="3361"/>
      <c r="I2" s="3361"/>
      <c r="J2" s="2890"/>
      <c r="K2" s="3471"/>
      <c r="L2" s="3472"/>
      <c r="M2" s="3472"/>
      <c r="N2" s="3399"/>
      <c r="O2" s="3260"/>
      <c r="P2" s="3399"/>
      <c r="Q2" s="3399"/>
      <c r="R2" s="3399"/>
      <c r="S2" s="2951" t="str">
        <f>IF(B10="北京市","北京市",C10)&amp;F10&amp;IF(结果表!G1="在建","出让国有建设用地使用权及在建建筑物房地产",IF(结果表!G1="土地","出让国有建设用地使用权","房地产"))</f>
        <v>北京市东城区（原崇文区）光明西街3号、甲3号3号楼房地产</v>
      </c>
      <c r="T2" s="2950"/>
      <c r="U2" s="2950"/>
      <c r="V2" s="2950"/>
      <c r="W2" s="2950"/>
      <c r="X2" s="2950"/>
      <c r="Y2" s="2950"/>
      <c r="Z2" s="2950"/>
      <c r="AA2" s="2950"/>
      <c r="AB2" s="2950"/>
    </row>
    <row r="3" spans="1:28">
      <c r="A3" s="1402" t="s">
        <v>431</v>
      </c>
      <c r="B3" s="3362">
        <v>45394</v>
      </c>
      <c r="C3" s="3363" t="s">
        <v>432</v>
      </c>
      <c r="D3" s="3362">
        <f>B3</f>
        <v>45394</v>
      </c>
      <c r="E3" s="3361"/>
      <c r="F3" s="3361"/>
      <c r="G3" s="3361"/>
      <c r="H3" s="3361"/>
      <c r="I3" s="3361"/>
      <c r="J3" s="2890"/>
      <c r="K3" s="3471"/>
      <c r="L3" s="3472"/>
      <c r="M3" s="3472"/>
      <c r="N3" s="3399"/>
      <c r="O3" s="3260"/>
      <c r="P3" s="3399"/>
      <c r="Q3" s="3399"/>
      <c r="R3" s="3399"/>
      <c r="S3" s="2951"/>
      <c r="T3" s="2950"/>
      <c r="U3" s="2950"/>
      <c r="V3" s="2950"/>
      <c r="W3" s="2950"/>
      <c r="X3" s="2950"/>
      <c r="Y3" s="2950"/>
      <c r="Z3" s="2950"/>
      <c r="AA3" s="2950"/>
      <c r="AB3" s="2950"/>
    </row>
    <row r="4" ht="13.5" spans="1:28">
      <c r="A4" s="1426" t="s">
        <v>433</v>
      </c>
      <c r="B4" s="3364" t="s">
        <v>191</v>
      </c>
      <c r="C4" s="3365">
        <f ca="1">SUMIF(注册房地产估价师,B4,估价师及机构信息!B3:B24)</f>
        <v>1120070131</v>
      </c>
      <c r="D4" s="3364" t="s">
        <v>190</v>
      </c>
      <c r="E4" s="3366">
        <f ca="1">SUMIF(注册房地产估价师,D4,估价师及机构信息!B3:B24)</f>
        <v>1120100036</v>
      </c>
      <c r="F4" s="3364"/>
      <c r="G4" s="3366">
        <f ca="1">SUMIF(注册房地产估价师,F4,估价师及机构信息!B3:B24)</f>
        <v>0</v>
      </c>
      <c r="H4" s="3364"/>
      <c r="I4" s="3366">
        <f ca="1">SUMIF(注册房地产估价师,H4,估价师及机构信息!B3:B24)</f>
        <v>0</v>
      </c>
      <c r="J4" s="2924"/>
      <c r="K4" s="3473" t="str">
        <f ca="1">CONCATENATE(B4,"（注册号：",C4,")、",D4,"（注册号：",E4,")")</f>
        <v>郑燚（注册号：1120070131)、崔锴（注册号：1120100036)</v>
      </c>
      <c r="L4" s="3472"/>
      <c r="M4" s="3472"/>
      <c r="N4" s="3399"/>
      <c r="O4" s="3260"/>
      <c r="P4" s="3399"/>
      <c r="Q4" s="3399"/>
      <c r="R4" s="3399"/>
      <c r="S4" s="2951"/>
      <c r="T4" s="2950"/>
      <c r="U4" s="2950"/>
      <c r="V4" s="2950"/>
      <c r="W4" s="2950"/>
      <c r="X4" s="2950"/>
      <c r="Y4" s="2950"/>
      <c r="Z4" s="2950"/>
      <c r="AA4" s="2950"/>
      <c r="AB4" s="2950"/>
    </row>
    <row r="5" ht="13.5" spans="1:28">
      <c r="A5" s="3367" t="s">
        <v>434</v>
      </c>
      <c r="B5" s="3368"/>
      <c r="C5" s="3369"/>
      <c r="D5" s="3370"/>
      <c r="E5" s="3055"/>
      <c r="F5" s="3055"/>
      <c r="G5" s="3055"/>
      <c r="H5" s="3055"/>
      <c r="I5" s="3055"/>
      <c r="J5" s="2924"/>
      <c r="K5" s="3473" t="str">
        <f ca="1">IF(F4="——","",IF(H4="——",F4&amp;"（注册号："&amp;G4&amp;")",CONCATENATE(F4,"（注册号：",G4,")、",H4,"（注册号：",I4,")")))</f>
        <v>（注册号：0)、（注册号：0)</v>
      </c>
      <c r="L5" s="3472"/>
      <c r="M5" s="3472"/>
      <c r="N5" s="3399"/>
      <c r="O5" s="3260"/>
      <c r="P5" s="3399"/>
      <c r="Q5" s="3399"/>
      <c r="R5" s="3399"/>
      <c r="S5" s="2950"/>
      <c r="T5" s="2950"/>
      <c r="U5" s="2950"/>
      <c r="V5" s="2950"/>
      <c r="W5" s="2950"/>
      <c r="X5" s="2950"/>
      <c r="Y5" s="2950"/>
      <c r="Z5" s="2950"/>
      <c r="AA5" s="2950"/>
      <c r="AB5" s="2950"/>
    </row>
    <row r="6" spans="1:18">
      <c r="A6" s="3371" t="s">
        <v>435</v>
      </c>
      <c r="B6" s="3372"/>
      <c r="C6" s="3373"/>
      <c r="D6" s="3374"/>
      <c r="E6" s="3360"/>
      <c r="F6" s="3055"/>
      <c r="G6" s="3055"/>
      <c r="H6" s="3055"/>
      <c r="I6" s="3055"/>
      <c r="J6" s="2924"/>
      <c r="K6" s="3474" t="str">
        <f>IF(COUNTIF(B6,"*上海银行*"),"上海银行","")</f>
        <v/>
      </c>
      <c r="L6" s="3475"/>
      <c r="M6" s="3475"/>
      <c r="N6" s="2924"/>
      <c r="O6" s="3476"/>
      <c r="P6" s="2924"/>
      <c r="Q6" s="2924"/>
      <c r="R6" s="2924"/>
    </row>
    <row r="7" spans="1:18">
      <c r="A7" s="3371" t="s">
        <v>436</v>
      </c>
      <c r="B7" s="3375"/>
      <c r="C7" s="3373"/>
      <c r="D7" s="3374"/>
      <c r="E7" s="3360"/>
      <c r="F7" s="3055"/>
      <c r="G7" s="3055"/>
      <c r="H7" s="3055"/>
      <c r="I7" s="3055"/>
      <c r="J7" s="2924"/>
      <c r="K7" s="3477"/>
      <c r="L7" s="3475"/>
      <c r="M7" s="3475"/>
      <c r="N7" s="2924"/>
      <c r="O7" s="3476"/>
      <c r="P7" s="2924"/>
      <c r="Q7" s="2924"/>
      <c r="R7" s="2924"/>
    </row>
    <row r="8" spans="1:18">
      <c r="A8" s="3376" t="s">
        <v>437</v>
      </c>
      <c r="B8" s="3377" t="s">
        <v>329</v>
      </c>
      <c r="C8" s="3378"/>
      <c r="D8" s="3379" t="s">
        <v>438</v>
      </c>
      <c r="E8" s="3380" t="s">
        <v>334</v>
      </c>
      <c r="F8" s="3381"/>
      <c r="G8" s="3361"/>
      <c r="H8" s="3361"/>
      <c r="I8" s="3361"/>
      <c r="J8" s="2924"/>
      <c r="K8" s="3478"/>
      <c r="L8" s="3475"/>
      <c r="M8" s="3475"/>
      <c r="N8" s="2924"/>
      <c r="O8" s="3476"/>
      <c r="P8" s="2924"/>
      <c r="Q8" s="2924"/>
      <c r="R8" s="2924"/>
    </row>
    <row r="9" ht="13.5" spans="1:18">
      <c r="A9" s="3382" t="s">
        <v>439</v>
      </c>
      <c r="B9" s="3383" t="s">
        <v>334</v>
      </c>
      <c r="C9" s="3384"/>
      <c r="D9" s="3385"/>
      <c r="E9" s="3383" t="s">
        <v>124</v>
      </c>
      <c r="F9" s="3386"/>
      <c r="G9" s="3387"/>
      <c r="H9" s="3387"/>
      <c r="I9" s="3387"/>
      <c r="J9" s="2924"/>
      <c r="K9" s="3477"/>
      <c r="L9" s="3475"/>
      <c r="M9" s="3475"/>
      <c r="N9" s="2924"/>
      <c r="O9" s="3476"/>
      <c r="P9" s="2924"/>
      <c r="Q9" s="2924"/>
      <c r="R9" s="2924"/>
    </row>
    <row r="10" ht="13.5" spans="1:18">
      <c r="A10" s="3388" t="s">
        <v>440</v>
      </c>
      <c r="B10" s="3389" t="s">
        <v>441</v>
      </c>
      <c r="C10" s="3390"/>
      <c r="D10" s="3370"/>
      <c r="E10" s="3391" t="s">
        <v>442</v>
      </c>
      <c r="F10" s="3392" t="s">
        <v>443</v>
      </c>
      <c r="G10" s="3393"/>
      <c r="H10" s="3394"/>
      <c r="I10" s="3479"/>
      <c r="J10" s="2924"/>
      <c r="K10" s="3477"/>
      <c r="L10" s="3475"/>
      <c r="M10" s="3475"/>
      <c r="N10" s="2924"/>
      <c r="O10" s="3476"/>
      <c r="P10" s="2924"/>
      <c r="Q10" s="2924"/>
      <c r="R10" s="2924"/>
    </row>
    <row r="11" spans="1:18">
      <c r="A11" s="3395" t="s">
        <v>444</v>
      </c>
      <c r="B11" s="3396" t="s">
        <v>445</v>
      </c>
      <c r="C11" s="3397"/>
      <c r="D11" s="3398"/>
      <c r="E11" s="3399"/>
      <c r="F11" s="3399"/>
      <c r="G11" s="3399"/>
      <c r="H11" s="3399"/>
      <c r="I11" s="3399"/>
      <c r="J11" s="3480"/>
      <c r="K11" s="3481"/>
      <c r="L11" s="3475"/>
      <c r="M11" s="3475"/>
      <c r="N11" s="2924"/>
      <c r="O11" s="3476"/>
      <c r="P11" s="2924"/>
      <c r="Q11" s="2924"/>
      <c r="R11" s="2924"/>
    </row>
    <row r="12" spans="1:30">
      <c r="A12" s="3400" t="s">
        <v>446</v>
      </c>
      <c r="B12" s="1445" t="s">
        <v>447</v>
      </c>
      <c r="C12" s="3401" t="s">
        <v>448</v>
      </c>
      <c r="D12" s="3401" t="s">
        <v>449</v>
      </c>
      <c r="E12" s="3401" t="s">
        <v>450</v>
      </c>
      <c r="F12" s="3401" t="s">
        <v>451</v>
      </c>
      <c r="G12" s="3401" t="s">
        <v>452</v>
      </c>
      <c r="H12" s="3401" t="s">
        <v>453</v>
      </c>
      <c r="I12" s="3482" t="s">
        <v>280</v>
      </c>
      <c r="J12" s="3483"/>
      <c r="K12" s="3475"/>
      <c r="L12" s="3475"/>
      <c r="M12" s="2924"/>
      <c r="N12" s="3476"/>
      <c r="O12" s="2924"/>
      <c r="P12" s="2924"/>
      <c r="Q12" s="2924"/>
      <c r="AD12" s="2950"/>
    </row>
    <row r="13" spans="1:30">
      <c r="A13" s="3402" t="s">
        <v>454</v>
      </c>
      <c r="B13" s="3403" t="s">
        <v>455</v>
      </c>
      <c r="C13" s="3404"/>
      <c r="D13" s="3404"/>
      <c r="E13" s="3404">
        <v>63654</v>
      </c>
      <c r="F13" s="3404"/>
      <c r="G13" s="3404"/>
      <c r="H13" s="3404"/>
      <c r="I13" s="3404"/>
      <c r="J13" s="3483"/>
      <c r="K13" s="3475"/>
      <c r="L13" s="3475"/>
      <c r="M13" s="2924"/>
      <c r="N13" s="3476"/>
      <c r="O13" s="2924"/>
      <c r="P13" s="2924"/>
      <c r="Q13" s="2924"/>
      <c r="AD13" s="2950"/>
    </row>
    <row r="14" spans="1:30">
      <c r="A14" s="1431"/>
      <c r="B14" s="3403" t="s">
        <v>456</v>
      </c>
      <c r="C14" s="3405"/>
      <c r="D14" s="3405"/>
      <c r="E14" s="3405">
        <v>50</v>
      </c>
      <c r="F14" s="3405"/>
      <c r="G14" s="3405"/>
      <c r="H14" s="3405"/>
      <c r="I14" s="3405"/>
      <c r="J14" s="3484"/>
      <c r="K14" s="3475"/>
      <c r="L14" s="3475"/>
      <c r="M14" s="2924"/>
      <c r="N14" s="3476"/>
      <c r="O14" s="2924"/>
      <c r="P14" s="2924"/>
      <c r="Q14" s="2924"/>
      <c r="AD14" s="2950"/>
    </row>
    <row r="15" spans="1:30">
      <c r="A15" s="1438"/>
      <c r="B15" s="3406" t="s">
        <v>457</v>
      </c>
      <c r="C15" s="3407" t="str">
        <f>IF(A13="出让",IF(C13="","",ROUNDDOWN(MIN((C13-$D$3)/365,C14),2)),C14)</f>
        <v/>
      </c>
      <c r="D15" s="3407" t="str">
        <f>IF(A13="出让",IF(D13="","",ROUNDDOWN(MIN((D13-$D$3)/365,D14),2)),D14)</f>
        <v/>
      </c>
      <c r="E15" s="3407">
        <f>IF(A13="出让",IF(E13="","",ROUNDDOWN(MIN((E13-$D$3)/365,E14),2)),E14)</f>
        <v>50</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50"/>
    </row>
    <row r="16" spans="1:18">
      <c r="A16" s="3391" t="s">
        <v>458</v>
      </c>
      <c r="B16" s="3408"/>
      <c r="C16" s="3409"/>
      <c r="D16" s="3410"/>
      <c r="E16" s="3411" t="s">
        <v>459</v>
      </c>
      <c r="F16" s="3412"/>
      <c r="G16" s="3413"/>
      <c r="H16" s="3413"/>
      <c r="I16" s="3487"/>
      <c r="J16" s="2924"/>
      <c r="K16" s="3488"/>
      <c r="L16" s="3486"/>
      <c r="M16" s="3486"/>
      <c r="N16" s="2925"/>
      <c r="O16" s="3486"/>
      <c r="P16" s="2925"/>
      <c r="Q16" s="2924"/>
      <c r="R16" s="2924"/>
    </row>
    <row r="17" spans="1:22">
      <c r="A17" s="1415" t="s">
        <v>460</v>
      </c>
      <c r="B17" s="1402" t="s">
        <v>461</v>
      </c>
      <c r="C17" s="646">
        <f>'数据-汇总表'!E3</f>
        <v>695.5</v>
      </c>
      <c r="D17" s="1458" t="s">
        <v>462</v>
      </c>
      <c r="E17" s="3414" t="s">
        <v>463</v>
      </c>
      <c r="F17" s="3415"/>
      <c r="G17" s="3415"/>
      <c r="H17" s="3415"/>
      <c r="I17" s="3489"/>
      <c r="J17" s="2924"/>
      <c r="K17" s="3490"/>
      <c r="L17" s="3486"/>
      <c r="M17" s="3486"/>
      <c r="N17" s="2925"/>
      <c r="O17" s="3486"/>
      <c r="P17" s="2925"/>
      <c r="Q17" s="2924"/>
      <c r="R17" s="2924"/>
      <c r="S17" s="2924"/>
      <c r="T17" s="2924"/>
      <c r="U17" s="2924"/>
      <c r="V17" s="2924"/>
    </row>
    <row r="18" ht="24.75" spans="1:22">
      <c r="A18" s="3416" t="s">
        <v>464</v>
      </c>
      <c r="B18" s="1426" t="s">
        <v>465</v>
      </c>
      <c r="C18" s="3417">
        <f>'数据-汇总表'!D3</f>
        <v>0</v>
      </c>
      <c r="D18" s="1451" t="s">
        <v>462</v>
      </c>
      <c r="E18" s="3418" t="s">
        <v>466</v>
      </c>
      <c r="F18" s="3419"/>
      <c r="G18" s="3419"/>
      <c r="H18" s="3419"/>
      <c r="I18" s="3491"/>
      <c r="J18" s="2924"/>
      <c r="K18" s="3490"/>
      <c r="L18" s="3486"/>
      <c r="M18" s="3486"/>
      <c r="N18" s="2925"/>
      <c r="O18" s="3486"/>
      <c r="P18" s="2925"/>
      <c r="Q18" s="2924"/>
      <c r="R18" s="2924"/>
      <c r="S18" s="2924"/>
      <c r="T18" s="2924"/>
      <c r="U18" s="2924"/>
      <c r="V18" s="2924"/>
    </row>
    <row r="19" ht="37.5" spans="1:22">
      <c r="A19" s="1468" t="s">
        <v>467</v>
      </c>
      <c r="B19" s="1407" t="s">
        <v>468</v>
      </c>
      <c r="C19" s="3420"/>
      <c r="D19" s="3421" t="s">
        <v>469</v>
      </c>
      <c r="E19" s="3422"/>
      <c r="F19" s="3423" t="str">
        <f>IF(AND(C19="是",E19="否"),"是否提供他项权证或相关说明","")</f>
        <v/>
      </c>
      <c r="G19" s="3424"/>
      <c r="H19" s="3055"/>
      <c r="I19" s="3055"/>
      <c r="J19" s="2924"/>
      <c r="K19" s="3477"/>
      <c r="L19" s="3475"/>
      <c r="M19" s="3475"/>
      <c r="N19" s="2925"/>
      <c r="O19" s="3486"/>
      <c r="P19" s="2925"/>
      <c r="Q19" s="2924"/>
      <c r="R19" s="2924"/>
      <c r="S19" s="2924"/>
      <c r="T19" s="2924"/>
      <c r="U19" s="2924"/>
      <c r="V19" s="2924"/>
    </row>
    <row r="20" spans="1:28">
      <c r="A20" s="3425" t="s">
        <v>470</v>
      </c>
      <c r="B20" s="3426" t="s">
        <v>471</v>
      </c>
      <c r="C20" s="3427"/>
      <c r="D20" s="3428" t="s">
        <v>472</v>
      </c>
      <c r="E20" s="3429"/>
      <c r="F20" s="3430" t="s">
        <v>473</v>
      </c>
      <c r="G20" s="3055"/>
      <c r="H20" s="3055"/>
      <c r="I20" s="3055"/>
      <c r="J20" s="2924"/>
      <c r="K20" s="3271"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475</v>
      </c>
      <c r="C21" s="3432" t="s">
        <v>476</v>
      </c>
      <c r="D21" s="3433" t="s">
        <v>477</v>
      </c>
      <c r="E21" s="3434" t="s">
        <v>476</v>
      </c>
      <c r="F21" s="3435"/>
      <c r="G21" s="3055"/>
      <c r="H21" s="3055"/>
      <c r="I21" s="3055"/>
      <c r="J21" s="2924"/>
      <c r="K21" s="3271"/>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478</v>
      </c>
      <c r="C22" s="3432" t="s">
        <v>479</v>
      </c>
      <c r="D22" s="3361"/>
      <c r="E22" s="3361"/>
      <c r="F22" s="3361"/>
      <c r="G22" s="3055"/>
      <c r="H22" s="3055"/>
      <c r="I22" s="3055"/>
      <c r="J22" s="2924"/>
      <c r="K22" s="3271"/>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480</v>
      </c>
      <c r="B23" s="2915" t="s">
        <v>481</v>
      </c>
      <c r="C23" s="3438"/>
      <c r="D23" s="3439" t="s">
        <v>481</v>
      </c>
      <c r="E23" s="3440"/>
      <c r="F23" s="3361"/>
      <c r="G23" s="3055"/>
      <c r="H23" s="3055"/>
      <c r="I23" s="3055"/>
      <c r="J23" s="2924"/>
      <c r="K23" s="3494"/>
      <c r="L23" s="1569"/>
      <c r="M23" s="3475"/>
      <c r="N23" s="2925"/>
      <c r="O23" s="3486"/>
      <c r="P23" s="2925"/>
      <c r="Q23" s="2924"/>
      <c r="R23" s="2924"/>
      <c r="S23" s="2924"/>
      <c r="T23" s="2924"/>
      <c r="U23" s="2924"/>
      <c r="V23" s="2924"/>
    </row>
    <row r="24" spans="1:22">
      <c r="A24" s="3437"/>
      <c r="B24" s="2915" t="s">
        <v>482</v>
      </c>
      <c r="C24" s="3441"/>
      <c r="D24" s="3437" t="s">
        <v>482</v>
      </c>
      <c r="E24" s="3442"/>
      <c r="F24" s="3361"/>
      <c r="G24" s="3055"/>
      <c r="H24" s="3055"/>
      <c r="I24" s="3055"/>
      <c r="J24" s="2924"/>
      <c r="K24" s="3494"/>
      <c r="L24" s="1569"/>
      <c r="M24" s="3475"/>
      <c r="N24" s="2925"/>
      <c r="O24" s="3486"/>
      <c r="P24" s="2925"/>
      <c r="Q24" s="2924"/>
      <c r="R24" s="2924"/>
      <c r="S24" s="2924"/>
      <c r="T24" s="2924"/>
      <c r="U24" s="2924"/>
      <c r="V24" s="2924"/>
    </row>
    <row r="25" spans="1:22">
      <c r="A25" s="3437"/>
      <c r="B25" s="2915" t="s">
        <v>483</v>
      </c>
      <c r="C25" s="3441"/>
      <c r="D25" s="3437" t="s">
        <v>483</v>
      </c>
      <c r="E25" s="3442"/>
      <c r="F25" s="3361"/>
      <c r="G25" s="3055"/>
      <c r="H25" s="3055"/>
      <c r="I25" s="3055"/>
      <c r="J25" s="2924"/>
      <c r="K25" s="3477"/>
      <c r="L25" s="3475"/>
      <c r="M25" s="3475"/>
      <c r="N25" s="2925"/>
      <c r="O25" s="3486"/>
      <c r="P25" s="2925"/>
      <c r="Q25" s="2924"/>
      <c r="R25" s="2924"/>
      <c r="S25" s="2924"/>
      <c r="T25" s="2924"/>
      <c r="U25" s="2924"/>
      <c r="V25" s="2924"/>
    </row>
    <row r="26" ht="13.5" spans="1:22">
      <c r="A26" s="3443"/>
      <c r="B26" s="3444" t="s">
        <v>484</v>
      </c>
      <c r="C26" s="3445"/>
      <c r="D26" s="3443" t="s">
        <v>484</v>
      </c>
      <c r="E26" s="3446"/>
      <c r="F26" s="3387"/>
      <c r="G26" s="3387"/>
      <c r="H26" s="3387"/>
      <c r="I26" s="3387"/>
      <c r="J26" s="2924"/>
      <c r="K26" s="3477"/>
      <c r="L26" s="3475"/>
      <c r="M26" s="3475"/>
      <c r="N26" s="2925"/>
      <c r="O26" s="3486"/>
      <c r="P26" s="2925"/>
      <c r="Q26" s="2924"/>
      <c r="R26" s="2924"/>
      <c r="S26" s="2924"/>
      <c r="T26" s="2924"/>
      <c r="U26" s="2924"/>
      <c r="V26" s="2924"/>
    </row>
    <row r="27" ht="13.5" spans="1:22">
      <c r="A27" s="1431" t="s">
        <v>485</v>
      </c>
      <c r="B27" s="1438" t="s">
        <v>486</v>
      </c>
      <c r="C27" s="3447"/>
      <c r="D27" s="3448"/>
      <c r="E27" s="3055"/>
      <c r="F27" s="3055"/>
      <c r="G27" s="3055"/>
      <c r="H27" s="3055"/>
      <c r="I27" s="3055"/>
      <c r="J27" s="2924"/>
      <c r="K27" s="3488"/>
      <c r="L27" s="3486"/>
      <c r="M27" s="3486"/>
      <c r="N27" s="2925"/>
      <c r="O27" s="3486"/>
      <c r="P27" s="2925"/>
      <c r="Q27" s="2924"/>
      <c r="R27" s="2924"/>
      <c r="S27" s="2924"/>
      <c r="T27" s="2924"/>
      <c r="U27" s="2924"/>
      <c r="V27" s="2924"/>
    </row>
    <row r="28" spans="1:22">
      <c r="A28" s="1431"/>
      <c r="B28" s="1402" t="s">
        <v>487</v>
      </c>
      <c r="C28" s="3449"/>
      <c r="D28" s="3450"/>
      <c r="E28" s="3055"/>
      <c r="F28" s="3055"/>
      <c r="G28" s="3055"/>
      <c r="H28" s="3055"/>
      <c r="I28" s="3055"/>
      <c r="J28" s="2924"/>
      <c r="K28" s="3477"/>
      <c r="L28" s="3475"/>
      <c r="M28" s="3475"/>
      <c r="N28" s="2924"/>
      <c r="O28" s="3476"/>
      <c r="P28" s="2924"/>
      <c r="Q28" s="2924"/>
      <c r="R28" s="2924"/>
      <c r="S28" s="2924"/>
      <c r="T28" s="2924"/>
      <c r="U28" s="2924"/>
      <c r="V28" s="2924"/>
    </row>
    <row r="29" spans="1:22">
      <c r="A29" s="1431"/>
      <c r="B29" s="1402" t="s">
        <v>488</v>
      </c>
      <c r="C29" s="3451"/>
      <c r="D29" s="3452"/>
      <c r="E29" s="3055"/>
      <c r="F29" s="3055"/>
      <c r="G29" s="3055"/>
      <c r="H29" s="3055"/>
      <c r="I29" s="3055"/>
      <c r="J29" s="2924"/>
      <c r="K29" s="3477"/>
      <c r="L29" s="3475"/>
      <c r="M29" s="3475"/>
      <c r="N29" s="2924"/>
      <c r="O29" s="3476"/>
      <c r="P29" s="2924"/>
      <c r="Q29" s="2924"/>
      <c r="R29" s="2924"/>
      <c r="S29" s="2924"/>
      <c r="T29" s="2924"/>
      <c r="U29" s="2924"/>
      <c r="V29" s="2924"/>
    </row>
    <row r="30" spans="1:22">
      <c r="A30" s="1438"/>
      <c r="B30" s="1402" t="s">
        <v>489</v>
      </c>
      <c r="C30" s="3453"/>
      <c r="D30" s="3454"/>
      <c r="E30" s="3055"/>
      <c r="F30" s="3055"/>
      <c r="G30" s="3055"/>
      <c r="H30" s="3055"/>
      <c r="I30" s="3055"/>
      <c r="J30" s="2924"/>
      <c r="K30" s="3477"/>
      <c r="L30" s="3475"/>
      <c r="M30" s="3475"/>
      <c r="N30" s="2924"/>
      <c r="O30" s="3476"/>
      <c r="P30" s="2924"/>
      <c r="Q30" s="2924"/>
      <c r="R30" s="2924"/>
      <c r="S30" s="2924"/>
      <c r="T30" s="2924"/>
      <c r="U30" s="2924"/>
      <c r="V30" s="2924"/>
    </row>
    <row r="31" spans="1:22">
      <c r="A31" s="3455" t="s">
        <v>490</v>
      </c>
      <c r="B31" s="3456"/>
      <c r="C31" s="1559" t="str">
        <f>IF(B31="现房","成新及维护状况正常否",IF(B31="在建","工程状态是否正常",IF(B31="土地","是否闲置","-")))</f>
        <v>-</v>
      </c>
      <c r="D31" s="2392"/>
      <c r="E31" s="3457"/>
      <c r="F31" s="3055"/>
      <c r="G31" s="3055"/>
      <c r="H31" s="3055"/>
      <c r="I31" s="3055"/>
      <c r="J31" s="2924"/>
      <c r="K31" s="3474"/>
      <c r="L31" s="3475"/>
      <c r="M31" s="3475"/>
      <c r="N31" s="2924"/>
      <c r="O31" s="3476"/>
      <c r="P31" s="2924"/>
      <c r="Q31" s="2924"/>
      <c r="R31" s="2924"/>
      <c r="S31" s="2924"/>
      <c r="T31" s="2924"/>
      <c r="U31" s="2924"/>
      <c r="V31" s="2924"/>
    </row>
    <row r="32" spans="1:22">
      <c r="A32" s="2626"/>
      <c r="B32" s="3456"/>
      <c r="C32" s="1559" t="str">
        <f>IF(B32="现房","成新及维护状况是否正常",IF(B32="在建","工程状态是否正常",IF(B32="土地","是否闲置","-")))</f>
        <v>-</v>
      </c>
      <c r="D32" s="2392"/>
      <c r="E32" s="3457"/>
      <c r="F32" s="3055"/>
      <c r="G32" s="3055"/>
      <c r="H32" s="3055"/>
      <c r="I32" s="3055"/>
      <c r="J32" s="2924"/>
      <c r="K32" s="3477"/>
      <c r="L32" s="3475"/>
      <c r="M32" s="3475"/>
      <c r="N32" s="2924"/>
      <c r="O32" s="3476"/>
      <c r="P32" s="2924"/>
      <c r="Q32" s="2924"/>
      <c r="R32" s="2924"/>
      <c r="S32" s="2924"/>
      <c r="T32" s="2924"/>
      <c r="U32" s="2924"/>
      <c r="V32" s="2924"/>
    </row>
    <row r="33" spans="1:22">
      <c r="A33" s="2626"/>
      <c r="B33" s="3458"/>
      <c r="C33" s="2625" t="str">
        <f>IF(B33="现房","成新及维护状况是否正常",IF(B33="在建","工程状态是否正常",IF(B33="土地","是否闲置","-")))</f>
        <v>-</v>
      </c>
      <c r="D33" s="1413"/>
      <c r="E33" s="3459"/>
      <c r="F33" s="3055"/>
      <c r="G33" s="3055"/>
      <c r="H33" s="3055"/>
      <c r="I33" s="3055"/>
      <c r="J33" s="2924"/>
      <c r="K33" s="3477"/>
      <c r="L33" s="3475"/>
      <c r="M33" s="3475"/>
      <c r="N33" s="2924"/>
      <c r="O33" s="3476"/>
      <c r="P33" s="2924"/>
      <c r="Q33" s="2924"/>
      <c r="R33" s="2924"/>
      <c r="S33" s="2924"/>
      <c r="T33" s="2924"/>
      <c r="U33" s="2924"/>
      <c r="V33" s="2924"/>
    </row>
    <row r="34" spans="1:22">
      <c r="A34" s="1402" t="s">
        <v>491</v>
      </c>
      <c r="B34" s="2020"/>
      <c r="C34" s="2020"/>
      <c r="D34" s="2020"/>
      <c r="E34" s="2020"/>
      <c r="F34" s="2020"/>
      <c r="G34" s="2020"/>
      <c r="H34" s="2020"/>
      <c r="I34" s="3055"/>
      <c r="J34" s="2924"/>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4"/>
      <c r="V34" s="2924"/>
    </row>
    <row r="35" spans="1:22">
      <c r="A35" s="3460"/>
      <c r="B35" s="705" t="s">
        <v>500</v>
      </c>
      <c r="C35" s="705"/>
      <c r="D35" s="705"/>
      <c r="E35" s="705"/>
      <c r="F35" s="705">
        <f>C10</f>
        <v>0</v>
      </c>
      <c r="G35" s="3055"/>
      <c r="H35" s="3055"/>
      <c r="I35" s="3055"/>
      <c r="J35" s="2924"/>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4"/>
      <c r="V35" s="2924"/>
    </row>
    <row r="36" spans="1:22">
      <c r="A36" s="3461"/>
      <c r="B36" s="705" t="s">
        <v>449</v>
      </c>
      <c r="C36" s="705" t="s">
        <v>450</v>
      </c>
      <c r="D36" s="705" t="s">
        <v>448</v>
      </c>
      <c r="E36" s="705" t="s">
        <v>453</v>
      </c>
      <c r="F36" s="3462" t="s">
        <v>280</v>
      </c>
      <c r="G36" s="3055"/>
      <c r="H36" s="3055"/>
      <c r="I36" s="3055"/>
      <c r="J36" s="2924"/>
      <c r="K36" s="3477"/>
      <c r="L36" s="3475"/>
      <c r="M36" s="3475"/>
      <c r="N36" s="2924"/>
      <c r="O36" s="3476"/>
      <c r="P36" s="2924"/>
      <c r="Q36" s="2924"/>
      <c r="R36" s="2924"/>
      <c r="S36" s="2924"/>
      <c r="T36" s="2924"/>
      <c r="U36" s="2924"/>
      <c r="V36" s="2924"/>
    </row>
    <row r="37" spans="1:22">
      <c r="A37" s="3463" t="s">
        <v>501</v>
      </c>
      <c r="B37" s="3464"/>
      <c r="C37" s="3464" t="s">
        <v>241</v>
      </c>
      <c r="D37" s="3464"/>
      <c r="E37" s="3464"/>
      <c r="F37" s="3464"/>
      <c r="G37" s="3055"/>
      <c r="H37" s="3055"/>
      <c r="I37" s="3055"/>
      <c r="J37" s="2924"/>
      <c r="K37" s="3477"/>
      <c r="L37" s="3475"/>
      <c r="M37" s="3475"/>
      <c r="N37" s="2924"/>
      <c r="O37" s="3476"/>
      <c r="P37" s="2924"/>
      <c r="Q37" s="2924"/>
      <c r="R37" s="2924"/>
      <c r="S37" s="2924"/>
      <c r="T37" s="2924"/>
      <c r="U37" s="2924"/>
      <c r="V37" s="2924"/>
    </row>
    <row r="38" ht="13.5" spans="1:22">
      <c r="A38" s="3465" t="s">
        <v>502</v>
      </c>
      <c r="B38" s="3466"/>
      <c r="C38" s="3466" t="s">
        <v>503</v>
      </c>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25" spans="1:30">
      <c r="A39" s="3467" t="s">
        <v>504</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1"/>
      <c r="J40" s="2925"/>
      <c r="K40" s="3474"/>
      <c r="L40" s="3486"/>
      <c r="M40" s="3486"/>
      <c r="N40" s="2925"/>
      <c r="O40" s="3486"/>
      <c r="P40" s="2924"/>
      <c r="Q40" s="2924"/>
      <c r="R40" s="2924"/>
      <c r="S40" s="2924"/>
      <c r="T40" s="2924"/>
      <c r="U40" s="2924"/>
      <c r="V40" s="2924"/>
    </row>
    <row r="41" spans="1:22">
      <c r="A41" s="3469" t="s">
        <v>505</v>
      </c>
      <c r="B41" s="2515"/>
      <c r="C41" s="2392"/>
      <c r="D41" s="3399"/>
      <c r="E41" s="3399"/>
      <c r="F41" s="3399"/>
      <c r="G41" s="3399"/>
      <c r="H41" s="3399"/>
      <c r="I41" s="3260"/>
      <c r="J41" s="2924"/>
      <c r="K41" s="3477"/>
      <c r="L41" s="3475"/>
      <c r="M41" s="3475"/>
      <c r="N41" s="2924"/>
      <c r="O41" s="3476"/>
      <c r="P41" s="2924"/>
      <c r="Q41" s="2924"/>
      <c r="R41" s="2924"/>
      <c r="S41" s="2924"/>
      <c r="T41" s="2924"/>
      <c r="U41" s="2924"/>
      <c r="V41" s="2924"/>
    </row>
    <row r="42" ht="24.75" spans="1:22">
      <c r="A42" s="1445" t="s">
        <v>506</v>
      </c>
      <c r="B42" s="646" t="s">
        <v>507</v>
      </c>
      <c r="C42" s="646" t="s">
        <v>508</v>
      </c>
      <c r="D42" s="646" t="s">
        <v>509</v>
      </c>
      <c r="E42" s="646" t="s">
        <v>510</v>
      </c>
      <c r="F42" s="646" t="s">
        <v>511</v>
      </c>
      <c r="G42" s="646" t="s">
        <v>512</v>
      </c>
      <c r="H42" s="646" t="s">
        <v>513</v>
      </c>
      <c r="I42" s="646" t="s">
        <v>514</v>
      </c>
      <c r="J42" s="3498" t="s">
        <v>515</v>
      </c>
      <c r="K42" s="3499" t="s">
        <v>516</v>
      </c>
      <c r="L42" s="3499" t="s">
        <v>517</v>
      </c>
      <c r="M42" s="3499" t="s">
        <v>518</v>
      </c>
      <c r="N42" s="3500" t="s">
        <v>519</v>
      </c>
      <c r="O42" s="3500" t="s">
        <v>520</v>
      </c>
      <c r="P42" s="3500" t="s">
        <v>521</v>
      </c>
      <c r="Q42" s="3505" t="s">
        <v>522</v>
      </c>
      <c r="R42" s="3505" t="s">
        <v>523</v>
      </c>
      <c r="S42" s="2924"/>
      <c r="T42" s="2924"/>
      <c r="U42" s="2924"/>
      <c r="V42" s="2924"/>
    </row>
    <row r="43" s="3154" customFormat="1" spans="1:22">
      <c r="A43" s="3287"/>
      <c r="B43" s="3281"/>
      <c r="C43" s="3281"/>
      <c r="D43" s="3281"/>
      <c r="E43" s="3281"/>
      <c r="F43" s="3281"/>
      <c r="G43" s="3281"/>
      <c r="H43" s="3281"/>
      <c r="I43" s="3281"/>
      <c r="J43" s="3501"/>
      <c r="K43" s="3502"/>
      <c r="L43" s="3502"/>
      <c r="M43" s="3281"/>
      <c r="N43" s="3281"/>
      <c r="O43" s="3281"/>
      <c r="P43" s="3281"/>
      <c r="Q43" s="3281"/>
      <c r="R43" s="3281"/>
      <c r="S43" s="2924"/>
      <c r="T43" s="2924"/>
      <c r="U43" s="2924"/>
      <c r="V43" s="2924"/>
    </row>
    <row r="44" s="3154" customFormat="1" spans="1:22">
      <c r="A44" s="3287"/>
      <c r="B44" s="3287"/>
      <c r="C44" s="3281"/>
      <c r="D44" s="3281"/>
      <c r="E44" s="3281"/>
      <c r="F44" s="3281"/>
      <c r="G44" s="3281"/>
      <c r="H44" s="3281"/>
      <c r="I44" s="3281"/>
      <c r="J44" s="3501"/>
      <c r="K44" s="3502"/>
      <c r="L44" s="3502"/>
      <c r="M44" s="3281"/>
      <c r="N44" s="3281"/>
      <c r="O44" s="3281"/>
      <c r="P44" s="3281"/>
      <c r="Q44" s="3281"/>
      <c r="R44" s="3281"/>
      <c r="S44" s="2924"/>
      <c r="T44" s="2924"/>
      <c r="U44" s="2924"/>
      <c r="V44" s="2924"/>
    </row>
    <row r="45" s="3154" customFormat="1" spans="1:22">
      <c r="A45" s="3287"/>
      <c r="B45" s="3287"/>
      <c r="C45" s="3281"/>
      <c r="D45" s="3281"/>
      <c r="E45" s="3281"/>
      <c r="F45" s="3281"/>
      <c r="G45" s="3281"/>
      <c r="H45" s="3281"/>
      <c r="I45" s="3281"/>
      <c r="J45" s="3501"/>
      <c r="K45" s="3502"/>
      <c r="L45" s="3502"/>
      <c r="M45" s="3281"/>
      <c r="N45" s="3281"/>
      <c r="O45" s="3281"/>
      <c r="P45" s="3281"/>
      <c r="Q45" s="3281"/>
      <c r="R45" s="3281"/>
      <c r="S45" s="2924"/>
      <c r="T45" s="2924"/>
      <c r="U45" s="2924"/>
      <c r="V45" s="2924"/>
    </row>
    <row r="46" s="3154" customFormat="1" spans="1:22">
      <c r="A46" s="3287"/>
      <c r="B46" s="3287"/>
      <c r="C46" s="3281"/>
      <c r="D46" s="3281"/>
      <c r="E46" s="3281"/>
      <c r="F46" s="3281"/>
      <c r="G46" s="3281"/>
      <c r="H46" s="3281"/>
      <c r="I46" s="3281"/>
      <c r="J46" s="3501"/>
      <c r="K46" s="3502"/>
      <c r="L46" s="3502"/>
      <c r="M46" s="3281"/>
      <c r="N46" s="3281"/>
      <c r="O46" s="3281"/>
      <c r="P46" s="3281"/>
      <c r="Q46" s="3281"/>
      <c r="R46" s="3281"/>
      <c r="S46" s="2924"/>
      <c r="T46" s="2924"/>
      <c r="U46" s="2924"/>
      <c r="V46" s="2924"/>
    </row>
    <row r="47" s="3154" customFormat="1" spans="1:22">
      <c r="A47" s="3287"/>
      <c r="B47" s="3287"/>
      <c r="C47" s="3281"/>
      <c r="D47" s="3281"/>
      <c r="E47" s="3281"/>
      <c r="F47" s="3281"/>
      <c r="G47" s="3281"/>
      <c r="H47" s="3281"/>
      <c r="I47" s="3281"/>
      <c r="J47" s="3501"/>
      <c r="K47" s="3502"/>
      <c r="L47" s="3502"/>
      <c r="M47" s="3281"/>
      <c r="N47" s="3281"/>
      <c r="O47" s="3281"/>
      <c r="P47" s="3281"/>
      <c r="Q47" s="3281"/>
      <c r="R47" s="3281"/>
      <c r="S47" s="2924"/>
      <c r="T47" s="2924"/>
      <c r="U47" s="2924"/>
      <c r="V47" s="2924"/>
    </row>
    <row r="48" s="3154" customFormat="1" spans="1:22">
      <c r="A48" s="3287"/>
      <c r="B48" s="3287"/>
      <c r="C48" s="3281"/>
      <c r="D48" s="3281"/>
      <c r="E48" s="3281"/>
      <c r="F48" s="3281"/>
      <c r="G48" s="3281"/>
      <c r="H48" s="3281"/>
      <c r="I48" s="3281"/>
      <c r="J48" s="3501"/>
      <c r="K48" s="3502"/>
      <c r="L48" s="3502"/>
      <c r="M48" s="3281"/>
      <c r="N48" s="3281"/>
      <c r="O48" s="3281"/>
      <c r="P48" s="3281"/>
      <c r="Q48" s="3281"/>
      <c r="R48" s="3281"/>
      <c r="S48" s="2924"/>
      <c r="T48" s="2924"/>
      <c r="U48" s="2924"/>
      <c r="V48" s="2924"/>
    </row>
    <row r="49" s="3154" customFormat="1" spans="1:22">
      <c r="A49" s="3287"/>
      <c r="B49" s="3287"/>
      <c r="C49" s="3281"/>
      <c r="D49" s="3281"/>
      <c r="E49" s="3281"/>
      <c r="F49" s="3281"/>
      <c r="G49" s="3281"/>
      <c r="H49" s="3281"/>
      <c r="I49" s="3281"/>
      <c r="J49" s="3501"/>
      <c r="K49" s="3502"/>
      <c r="L49" s="3502"/>
      <c r="M49" s="3281"/>
      <c r="N49" s="3281"/>
      <c r="O49" s="3281"/>
      <c r="P49" s="3281"/>
      <c r="Q49" s="3281"/>
      <c r="R49" s="3281"/>
      <c r="S49" s="2924"/>
      <c r="T49" s="2924"/>
      <c r="U49" s="2924"/>
      <c r="V49" s="2924"/>
    </row>
    <row r="50" s="3154" customFormat="1" spans="1:22">
      <c r="A50" s="3287"/>
      <c r="B50" s="3287"/>
      <c r="C50" s="3281"/>
      <c r="D50" s="3281"/>
      <c r="E50" s="3281"/>
      <c r="F50" s="3281"/>
      <c r="G50" s="3281"/>
      <c r="H50" s="3281"/>
      <c r="I50" s="3281"/>
      <c r="J50" s="3501"/>
      <c r="K50" s="3502"/>
      <c r="L50" s="3502"/>
      <c r="M50" s="3281"/>
      <c r="N50" s="3281"/>
      <c r="O50" s="3281"/>
      <c r="P50" s="3281"/>
      <c r="Q50" s="3281"/>
      <c r="R50" s="3281"/>
      <c r="S50" s="2924"/>
      <c r="T50" s="2924"/>
      <c r="U50" s="2924"/>
      <c r="V50" s="2924"/>
    </row>
    <row r="51" s="3154" customFormat="1" spans="1:18">
      <c r="A51" s="3287"/>
      <c r="B51" s="3287"/>
      <c r="C51" s="3281"/>
      <c r="D51" s="3281"/>
      <c r="E51" s="3281"/>
      <c r="F51" s="3281"/>
      <c r="G51" s="3281"/>
      <c r="H51" s="3281"/>
      <c r="I51" s="3281"/>
      <c r="J51" s="3501"/>
      <c r="K51" s="3502"/>
      <c r="L51" s="3502"/>
      <c r="M51" s="3281"/>
      <c r="N51" s="3281"/>
      <c r="O51" s="3281"/>
      <c r="P51" s="3281"/>
      <c r="Q51" s="3281"/>
      <c r="R51" s="3281"/>
    </row>
    <row r="52" s="3154" customFormat="1" spans="1:18">
      <c r="A52" s="3287"/>
      <c r="B52" s="3287"/>
      <c r="C52" s="3287"/>
      <c r="D52" s="3287"/>
      <c r="E52" s="3287"/>
      <c r="F52" s="3281"/>
      <c r="G52" s="3287"/>
      <c r="H52" s="3287"/>
      <c r="I52" s="3287"/>
      <c r="J52" s="3503"/>
      <c r="K52" s="3502"/>
      <c r="L52" s="3502"/>
      <c r="M52" s="3502"/>
      <c r="N52" s="3287"/>
      <c r="O52" s="3287"/>
      <c r="P52" s="3287"/>
      <c r="Q52" s="3287"/>
      <c r="R52" s="3287"/>
    </row>
    <row r="53" s="3154" customFormat="1" spans="1:18">
      <c r="A53" s="3287"/>
      <c r="B53" s="3287"/>
      <c r="C53" s="3287"/>
      <c r="D53" s="3287"/>
      <c r="E53" s="3287"/>
      <c r="F53" s="3281"/>
      <c r="G53" s="3287"/>
      <c r="H53" s="3287"/>
      <c r="I53" s="3287"/>
      <c r="J53" s="3503"/>
      <c r="K53" s="3502"/>
      <c r="L53" s="3502"/>
      <c r="M53" s="3502"/>
      <c r="N53" s="3287"/>
      <c r="O53" s="3287"/>
      <c r="P53" s="3287"/>
      <c r="Q53" s="3287"/>
      <c r="R53" s="3287"/>
    </row>
    <row r="54" s="3154" customFormat="1" spans="1:18">
      <c r="A54" s="3287"/>
      <c r="B54" s="3287"/>
      <c r="C54" s="3287"/>
      <c r="D54" s="3287"/>
      <c r="E54" s="3287"/>
      <c r="F54" s="3281"/>
      <c r="G54" s="3287"/>
      <c r="H54" s="3287"/>
      <c r="I54" s="3287"/>
      <c r="J54" s="3503"/>
      <c r="K54" s="3502"/>
      <c r="L54" s="3502"/>
      <c r="M54" s="3502"/>
      <c r="N54" s="3287"/>
      <c r="O54" s="3287"/>
      <c r="P54" s="3287"/>
      <c r="Q54" s="3287"/>
      <c r="R54" s="3287"/>
    </row>
    <row r="55" s="3154" customFormat="1" spans="1:18">
      <c r="A55" s="3287"/>
      <c r="B55" s="3287"/>
      <c r="C55" s="3287"/>
      <c r="D55" s="3287"/>
      <c r="E55" s="3287"/>
      <c r="F55" s="3281"/>
      <c r="G55" s="3287"/>
      <c r="H55" s="3287"/>
      <c r="I55" s="3287"/>
      <c r="J55" s="3503"/>
      <c r="K55" s="3502"/>
      <c r="L55" s="3502"/>
      <c r="M55" s="3502"/>
      <c r="N55" s="3287"/>
      <c r="O55" s="3287"/>
      <c r="P55" s="3287"/>
      <c r="Q55" s="3287"/>
      <c r="R55" s="3287"/>
    </row>
    <row r="56" s="3154" customFormat="1" spans="1:18">
      <c r="A56" s="3287"/>
      <c r="B56" s="3287"/>
      <c r="C56" s="3287"/>
      <c r="D56" s="3287"/>
      <c r="E56" s="3287"/>
      <c r="F56" s="3281"/>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524</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525</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646" t="s">
        <v>465</v>
      </c>
      <c r="B2" s="646" t="s">
        <v>461</v>
      </c>
      <c r="C2" s="646" t="s">
        <v>526</v>
      </c>
      <c r="D2" s="3260"/>
      <c r="E2" s="2599"/>
      <c r="F2" s="265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527</v>
      </c>
      <c r="AZ2" s="3324" t="s">
        <v>528</v>
      </c>
      <c r="BA2" s="646" t="s">
        <v>529</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695.5</v>
      </c>
      <c r="C3" s="3263" t="s">
        <v>530</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1559" t="s">
        <v>531</v>
      </c>
      <c r="B5" s="2511"/>
      <c r="C5" s="2511"/>
      <c r="D5" s="2665"/>
      <c r="E5" s="3267" t="s">
        <v>124</v>
      </c>
      <c r="F5" s="3267">
        <f>SUM(F13:F587)</f>
        <v>0</v>
      </c>
      <c r="G5" s="3267">
        <f>SUM(G13:G587)</f>
        <v>695.5</v>
      </c>
      <c r="H5" s="3267">
        <f t="shared" ref="H5:AT5" si="0">SUM(H13:H656)</f>
        <v>695.5</v>
      </c>
      <c r="I5" s="3267">
        <f t="shared" si="0"/>
        <v>695.5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1559" t="s">
        <v>531</v>
      </c>
      <c r="AW5" s="2511"/>
      <c r="AX5" s="2511"/>
      <c r="AY5" s="3328" t="s">
        <v>124</v>
      </c>
      <c r="AZ5" s="3329">
        <f t="shared" ref="AZ5:BT5" si="1">SUM(AZ13:AZ656)</f>
        <v>695.5</v>
      </c>
      <c r="BA5" s="3329">
        <f t="shared" si="1"/>
        <v>695.5</v>
      </c>
      <c r="BB5" s="3329">
        <f t="shared" si="1"/>
        <v>695.5</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4" customFormat="1" ht="12.75" spans="1:72">
      <c r="A6" s="1559" t="s">
        <v>532</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4"/>
      <c r="AV6" s="1559" t="s">
        <v>532</v>
      </c>
      <c r="AW6" s="3268"/>
      <c r="AX6" s="3268"/>
      <c r="AY6" s="3330">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9">
        <f t="shared" si="5"/>
        <v>0</v>
      </c>
    </row>
    <row r="7" s="3252" customFormat="1" ht="24.75" spans="1:72">
      <c r="A7" s="3271" t="s">
        <v>533</v>
      </c>
      <c r="B7" s="3271" t="s">
        <v>534</v>
      </c>
      <c r="C7" s="3271" t="s">
        <v>507</v>
      </c>
      <c r="D7" s="3271" t="s">
        <v>535</v>
      </c>
      <c r="E7" s="3271" t="s">
        <v>532</v>
      </c>
      <c r="F7" s="3271" t="s">
        <v>536</v>
      </c>
      <c r="G7" s="2625" t="s">
        <v>537</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5"/>
      <c r="AU7" s="3272" t="s">
        <v>538</v>
      </c>
      <c r="AV7" s="3315" t="s">
        <v>533</v>
      </c>
      <c r="AW7" s="2651" t="s">
        <v>534</v>
      </c>
      <c r="AX7" s="3315" t="s">
        <v>507</v>
      </c>
      <c r="AY7" s="2511" t="s">
        <v>539</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3" customFormat="1" ht="24" spans="1:72">
      <c r="A8" s="3273"/>
      <c r="B8" s="3273"/>
      <c r="C8" s="3273"/>
      <c r="D8" s="3273"/>
      <c r="E8" s="3273"/>
      <c r="F8" s="3273"/>
      <c r="G8" s="3274" t="s">
        <v>540</v>
      </c>
      <c r="H8" s="3275" t="s">
        <v>541</v>
      </c>
      <c r="I8" s="3295"/>
      <c r="J8" s="645"/>
      <c r="K8" s="645"/>
      <c r="L8" s="645"/>
      <c r="M8" s="645"/>
      <c r="N8" s="645"/>
      <c r="O8" s="645"/>
      <c r="P8" s="645"/>
      <c r="Q8" s="645"/>
      <c r="R8" s="645"/>
      <c r="S8" s="645"/>
      <c r="T8" s="645"/>
      <c r="U8" s="645"/>
      <c r="V8" s="3302"/>
      <c r="W8" s="645"/>
      <c r="X8" s="645"/>
      <c r="Y8" s="645"/>
      <c r="Z8" s="645"/>
      <c r="AA8" s="3302"/>
      <c r="AB8" s="3304"/>
      <c r="AC8" s="2441" t="s">
        <v>542</v>
      </c>
      <c r="AD8" s="3305"/>
      <c r="AE8" s="3306"/>
      <c r="AF8" s="645"/>
      <c r="AG8" s="645"/>
      <c r="AH8" s="645"/>
      <c r="AI8" s="645"/>
      <c r="AJ8" s="645"/>
      <c r="AK8" s="645"/>
      <c r="AL8" s="645"/>
      <c r="AM8" s="645"/>
      <c r="AN8" s="645"/>
      <c r="AO8" s="645"/>
      <c r="AP8" s="645"/>
      <c r="AQ8" s="645"/>
      <c r="AR8" s="645"/>
      <c r="AS8" s="645"/>
      <c r="AT8" s="1394" t="s">
        <v>543</v>
      </c>
      <c r="AU8" s="3273" t="s">
        <v>544</v>
      </c>
      <c r="AV8" s="1394"/>
      <c r="AW8" s="2599"/>
      <c r="AX8" s="1394"/>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3" customFormat="1" ht="12.75" spans="1:72">
      <c r="A9" s="3273"/>
      <c r="B9" s="3273"/>
      <c r="C9" s="3273"/>
      <c r="D9" s="3273"/>
      <c r="E9" s="3273"/>
      <c r="F9" s="3273"/>
      <c r="G9" s="1394"/>
      <c r="H9" s="3276" t="s">
        <v>545</v>
      </c>
      <c r="I9" s="3296" t="s">
        <v>546</v>
      </c>
      <c r="J9" s="2441"/>
      <c r="K9" s="3296"/>
      <c r="L9" s="2441"/>
      <c r="M9" s="3296"/>
      <c r="N9" s="2441"/>
      <c r="O9" s="3296"/>
      <c r="P9" s="2441"/>
      <c r="Q9" s="3296"/>
      <c r="R9" s="2441"/>
      <c r="S9" s="3296"/>
      <c r="T9" s="2441"/>
      <c r="U9" s="3296"/>
      <c r="V9" s="2441"/>
      <c r="W9" s="3296"/>
      <c r="X9" s="3303"/>
      <c r="Y9" s="3296"/>
      <c r="Z9" s="2441"/>
      <c r="AA9" s="3296"/>
      <c r="AB9" s="2441"/>
      <c r="AC9" s="3274"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6"/>
      <c r="AT9" s="3273"/>
      <c r="AU9" s="3273" t="s">
        <v>549</v>
      </c>
      <c r="AV9" s="1394"/>
      <c r="AW9" s="2599"/>
      <c r="AX9" s="1394"/>
      <c r="AY9" s="3277"/>
      <c r="AZ9" s="3277" t="s">
        <v>540</v>
      </c>
      <c r="BA9" s="3331" t="s">
        <v>550</v>
      </c>
      <c r="BB9" s="3332"/>
      <c r="BC9" s="1455"/>
      <c r="BD9" s="1455"/>
      <c r="BE9" s="1455"/>
      <c r="BF9" s="1455"/>
      <c r="BG9" s="1455"/>
      <c r="BH9" s="1455"/>
      <c r="BI9" s="1455"/>
      <c r="BJ9" s="1455"/>
      <c r="BK9" s="3337"/>
      <c r="BL9" s="1559" t="s">
        <v>551</v>
      </c>
      <c r="BM9" s="645"/>
      <c r="BN9" s="3295"/>
      <c r="BO9" s="645"/>
      <c r="BP9" s="645"/>
      <c r="BQ9" s="645"/>
      <c r="BR9" s="645"/>
      <c r="BS9" s="645"/>
      <c r="BT9" s="1443"/>
    </row>
    <row r="10" s="2953" customFormat="1" ht="12.75" spans="1:72">
      <c r="A10" s="3273"/>
      <c r="B10" s="3273"/>
      <c r="C10" s="3273"/>
      <c r="D10" s="3273"/>
      <c r="E10" s="3273"/>
      <c r="F10" s="3273"/>
      <c r="G10" s="1394"/>
      <c r="H10" s="3277"/>
      <c r="I10" s="3296" t="s">
        <v>552</v>
      </c>
      <c r="J10" s="2441"/>
      <c r="K10" s="3297"/>
      <c r="L10" s="2441"/>
      <c r="M10" s="3297"/>
      <c r="N10" s="2441"/>
      <c r="O10" s="3297"/>
      <c r="P10" s="2441"/>
      <c r="Q10" s="3297"/>
      <c r="R10" s="2441"/>
      <c r="S10" s="3297"/>
      <c r="T10" s="2441"/>
      <c r="U10" s="3297"/>
      <c r="V10" s="2441"/>
      <c r="W10" s="3297"/>
      <c r="X10" s="2441"/>
      <c r="Y10" s="3297"/>
      <c r="Z10" s="2441"/>
      <c r="AA10" s="3297"/>
      <c r="AB10" s="2441"/>
      <c r="AC10" s="1394"/>
      <c r="AD10" s="1559" t="s">
        <v>553</v>
      </c>
      <c r="AE10" s="3307"/>
      <c r="AF10" s="1559" t="s">
        <v>553</v>
      </c>
      <c r="AG10" s="3307"/>
      <c r="AH10" s="1559" t="s">
        <v>554</v>
      </c>
      <c r="AI10" s="3307"/>
      <c r="AJ10" s="1559" t="s">
        <v>554</v>
      </c>
      <c r="AK10" s="3307"/>
      <c r="AL10" s="1559" t="s">
        <v>555</v>
      </c>
      <c r="AM10" s="1408"/>
      <c r="AN10" s="1559" t="s">
        <v>555</v>
      </c>
      <c r="AO10" s="1408"/>
      <c r="AP10" s="1559" t="s">
        <v>556</v>
      </c>
      <c r="AQ10" s="1408"/>
      <c r="AR10" s="1559" t="s">
        <v>556</v>
      </c>
      <c r="AS10" s="1408"/>
      <c r="AT10" s="3273"/>
      <c r="AU10" s="3273"/>
      <c r="AV10" s="1394"/>
      <c r="AW10" s="2599"/>
      <c r="AX10" s="1394"/>
      <c r="AY10" s="3277"/>
      <c r="AZ10" s="3277"/>
      <c r="BA10" s="3278" t="s">
        <v>545</v>
      </c>
      <c r="BB10" s="3333"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1" t="str">
        <f>AR9</f>
        <v>地下</v>
      </c>
    </row>
    <row r="11" s="2953" customFormat="1" ht="12.75" spans="1:72">
      <c r="A11" s="3273"/>
      <c r="B11" s="3273"/>
      <c r="C11" s="3273"/>
      <c r="D11" s="3273"/>
      <c r="E11" s="3273"/>
      <c r="F11" s="3273"/>
      <c r="G11" s="1394"/>
      <c r="H11" s="3278"/>
      <c r="I11" s="3298" t="s">
        <v>557</v>
      </c>
      <c r="J11" s="3299"/>
      <c r="K11" s="3298"/>
      <c r="L11" s="3299"/>
      <c r="M11" s="3298"/>
      <c r="N11" s="3299"/>
      <c r="O11" s="3298"/>
      <c r="P11" s="3299"/>
      <c r="Q11" s="3298"/>
      <c r="R11" s="3299"/>
      <c r="S11" s="3298"/>
      <c r="T11" s="3299"/>
      <c r="U11" s="3298"/>
      <c r="V11" s="3299"/>
      <c r="W11" s="3298"/>
      <c r="X11" s="3299"/>
      <c r="Y11" s="3298"/>
      <c r="Z11" s="3299"/>
      <c r="AA11" s="3298"/>
      <c r="AB11" s="3299"/>
      <c r="AC11" s="1394"/>
      <c r="AD11" s="3308" t="s">
        <v>558</v>
      </c>
      <c r="AE11" s="703"/>
      <c r="AF11" s="3308" t="s">
        <v>558</v>
      </c>
      <c r="AG11" s="703"/>
      <c r="AH11" s="3308" t="s">
        <v>559</v>
      </c>
      <c r="AI11" s="3312"/>
      <c r="AJ11" s="3308" t="s">
        <v>559</v>
      </c>
      <c r="AK11" s="703"/>
      <c r="AL11" s="644"/>
      <c r="AM11" s="703"/>
      <c r="AN11" s="644"/>
      <c r="AO11" s="703"/>
      <c r="AP11" s="644"/>
      <c r="AQ11" s="703"/>
      <c r="AR11" s="644"/>
      <c r="AS11" s="703"/>
      <c r="AT11" s="2599"/>
      <c r="AU11" s="3273"/>
      <c r="AV11" s="1394"/>
      <c r="AW11" s="2599"/>
      <c r="AX11" s="1394"/>
      <c r="AY11" s="3277"/>
      <c r="AZ11" s="3277"/>
      <c r="BA11" s="3277"/>
      <c r="BB11" s="3304" t="str">
        <f>I10</f>
        <v>办公</v>
      </c>
      <c r="BC11" s="3304">
        <f>K10</f>
        <v>0</v>
      </c>
      <c r="BD11" s="3304">
        <f>M10</f>
        <v>0</v>
      </c>
      <c r="BE11" s="3304">
        <f>O10</f>
        <v>0</v>
      </c>
      <c r="BF11" s="3304">
        <f>Q10</f>
        <v>0</v>
      </c>
      <c r="BG11" s="3304">
        <f>S10</f>
        <v>0</v>
      </c>
      <c r="BH11" s="3304">
        <f>U10</f>
        <v>0</v>
      </c>
      <c r="BI11" s="3304">
        <f>W10</f>
        <v>0</v>
      </c>
      <c r="BJ11" s="3304">
        <f>Y10</f>
        <v>0</v>
      </c>
      <c r="BK11" s="3304">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2" t="str">
        <f>AR10</f>
        <v>未注明</v>
      </c>
    </row>
    <row r="12" s="3252" customFormat="1" ht="12.75" spans="1:72">
      <c r="A12" s="3279"/>
      <c r="B12" s="3279"/>
      <c r="C12" s="3279"/>
      <c r="D12" s="3279"/>
      <c r="E12" s="3279"/>
      <c r="F12" s="3279"/>
      <c r="G12" s="2045"/>
      <c r="H12" s="3280"/>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9"/>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9" t="s">
        <v>561</v>
      </c>
      <c r="AT12" s="3317"/>
      <c r="AU12" s="3279"/>
      <c r="AV12" s="3318"/>
      <c r="AW12" s="2651"/>
      <c r="AX12" s="3318"/>
      <c r="AY12" s="3334"/>
      <c r="AZ12" s="3277"/>
      <c r="BA12" s="3278"/>
      <c r="BB12" s="643" t="str">
        <f>I11</f>
        <v>独栋</v>
      </c>
      <c r="BC12" s="3335">
        <f>K11</f>
        <v>0</v>
      </c>
      <c r="BD12" s="3335">
        <f>M11</f>
        <v>0</v>
      </c>
      <c r="BE12" s="3304">
        <f>O11</f>
        <v>0</v>
      </c>
      <c r="BF12" s="3304">
        <f>Q11</f>
        <v>0</v>
      </c>
      <c r="BG12" s="3304">
        <f>S11</f>
        <v>0</v>
      </c>
      <c r="BH12" s="3304">
        <f>U11</f>
        <v>0</v>
      </c>
      <c r="BI12" s="3304">
        <f>W11</f>
        <v>0</v>
      </c>
      <c r="BJ12" s="3304">
        <f>Y11</f>
        <v>0</v>
      </c>
      <c r="BK12" s="3304">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2">
        <f>AR11</f>
        <v>0</v>
      </c>
    </row>
    <row r="13" s="3252" customFormat="1" ht="12.75" spans="1:72">
      <c r="A13" s="3281"/>
      <c r="B13" s="3281"/>
      <c r="C13" s="3282" t="s">
        <v>562</v>
      </c>
      <c r="D13" s="3283" t="s">
        <v>563</v>
      </c>
      <c r="E13" s="3267">
        <f>IF($C$3="是",ROUND($A$3*G13/$B$3,2),ROUND($A$3*(G13-AT13)/$B$3,2))</f>
        <v>0</v>
      </c>
      <c r="F13" s="3284"/>
      <c r="G13" s="3285">
        <f>H13+AC13+AT13</f>
        <v>684.1</v>
      </c>
      <c r="H13" s="3270">
        <f>SUMIF(I$12:AB$12,"总值",I13:AB13)</f>
        <v>684.1</v>
      </c>
      <c r="I13" s="3300">
        <v>684.1</v>
      </c>
      <c r="J13" s="3300"/>
      <c r="K13" s="3300"/>
      <c r="L13" s="3300"/>
      <c r="M13" s="3300"/>
      <c r="N13" s="3300"/>
      <c r="O13" s="3300"/>
      <c r="P13" s="3300"/>
      <c r="Q13" s="3300"/>
      <c r="R13" s="3300"/>
      <c r="S13" s="3300"/>
      <c r="T13" s="3300"/>
      <c r="U13" s="3300"/>
      <c r="V13" s="3300"/>
      <c r="W13" s="3300"/>
      <c r="X13" s="3300"/>
      <c r="Y13" s="3300"/>
      <c r="Z13" s="3300"/>
      <c r="AA13" s="3300"/>
      <c r="AB13" s="3300"/>
      <c r="AC13" s="3267">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t="str">
        <f t="shared" si="6"/>
        <v>3号楼</v>
      </c>
      <c r="AY13" s="2665">
        <f>ROUND($AY$6*AZ13/$AZ$5,2)</f>
        <v>0</v>
      </c>
      <c r="AZ13" s="3267">
        <f>BA13+BL13</f>
        <v>684.1</v>
      </c>
      <c r="BA13" s="3267">
        <f>SUM(BB13:BK13)</f>
        <v>684.1</v>
      </c>
      <c r="BB13" s="3267">
        <f>IF($D13="是",I13-J13,0)</f>
        <v>684.1</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9">
        <f>IF($D13="是",AR13-AS13,0)</f>
        <v>0</v>
      </c>
    </row>
    <row r="14" s="3252" customFormat="1" ht="12.75" spans="1:72">
      <c r="A14" s="3281"/>
      <c r="B14" s="3281"/>
      <c r="C14" s="3286" t="s">
        <v>564</v>
      </c>
      <c r="D14" s="3283" t="s">
        <v>563</v>
      </c>
      <c r="E14" s="3267">
        <f>IF($C$3="是",ROUND($A$3*G14/$B$3,2),ROUND($A$3*(G14-AT14)/$B$3,2))</f>
        <v>0</v>
      </c>
      <c r="F14" s="3284"/>
      <c r="G14" s="3285">
        <f>H14+AC14+AT14</f>
        <v>11.4</v>
      </c>
      <c r="H14" s="3270">
        <f>SUMIF(I$12:AB$12,"总值",I14:AB14)</f>
        <v>11.4</v>
      </c>
      <c r="I14" s="3300">
        <v>11.4</v>
      </c>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t="str">
        <f t="shared" si="6"/>
        <v>4号楼</v>
      </c>
      <c r="AY14" s="2665">
        <f>ROUND($AY$6*AZ14/$AZ$5,2)</f>
        <v>0</v>
      </c>
      <c r="AZ14" s="3267">
        <f>BA14+BL14</f>
        <v>11.4</v>
      </c>
      <c r="BA14" s="3267">
        <f>SUM(BB14:BK14)</f>
        <v>11.4</v>
      </c>
      <c r="BB14" s="3267">
        <f>IF($D14="是",I14-J14,0)</f>
        <v>11.4</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2.75" spans="1:72">
      <c r="A15" s="3281"/>
      <c r="B15" s="3281"/>
      <c r="C15" s="3287"/>
      <c r="D15" s="3283"/>
      <c r="E15" s="3267">
        <f>IF($C$3="是",ROUND($A$3*G15/$B$3,2),ROUND($A$3*(G15-AT15)/$B$3,2))</f>
        <v>0</v>
      </c>
      <c r="F15" s="3284"/>
      <c r="G15" s="3285">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6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75" spans="1:72">
      <c r="A16" s="3281"/>
      <c r="B16" s="3281"/>
      <c r="C16" s="3287"/>
      <c r="D16" s="3283"/>
      <c r="E16" s="3267">
        <f>IF($C$3="是",ROUND($A$3*G16/$B$3,2),ROUND($A$3*(G16-AT16)/$B$3,2))</f>
        <v>0</v>
      </c>
      <c r="F16" s="3284"/>
      <c r="G16" s="3285">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6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75" spans="1:72">
      <c r="A17" s="3281"/>
      <c r="B17" s="3281"/>
      <c r="C17" s="3287"/>
      <c r="D17" s="3283"/>
      <c r="E17" s="3267">
        <f>IF($C$3="是",ROUND($A$3*G17/$B$3,2),ROUND($A$3*(G17-AT17)/$B$3,2))</f>
        <v>0</v>
      </c>
      <c r="F17" s="3284"/>
      <c r="G17" s="3285">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6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8" t="s">
        <v>568</v>
      </c>
      <c r="F2" s="3159"/>
      <c r="G2" s="3160"/>
      <c r="H2" s="3161"/>
      <c r="I2" s="2763" t="s">
        <v>569</v>
      </c>
      <c r="J2" s="3159"/>
      <c r="K2" s="3159"/>
      <c r="L2" s="3159"/>
      <c r="M2" s="3159"/>
      <c r="N2" s="1095"/>
      <c r="O2" s="3159"/>
      <c r="P2" s="3159"/>
    </row>
    <row r="3" ht="15.75" spans="1:16">
      <c r="A3" s="3162" t="s">
        <v>570</v>
      </c>
      <c r="B3" s="3162"/>
      <c r="C3" s="3162"/>
      <c r="D3" s="3163">
        <f>'数据-基础表'!AY6</f>
        <v>0</v>
      </c>
      <c r="E3" s="3163">
        <f>'数据-基础表'!AZ5</f>
        <v>695.5</v>
      </c>
      <c r="F3" s="3159"/>
      <c r="G3" s="3164"/>
      <c r="H3" s="2532" t="s">
        <v>571</v>
      </c>
      <c r="I3" s="3227" t="e">
        <f>ROUND('数据-基础表'!B3/'数据-基础表'!A3,2)</f>
        <v>#DIV/0!</v>
      </c>
      <c r="J3" s="3159"/>
      <c r="K3" s="3159"/>
      <c r="L3" s="3159"/>
      <c r="M3" s="3159"/>
      <c r="N3" s="1095"/>
      <c r="O3" s="3159"/>
      <c r="P3" s="3159"/>
    </row>
    <row r="4" ht="15" spans="1:16">
      <c r="A4" s="2761"/>
      <c r="B4" s="2762"/>
      <c r="C4" s="3165"/>
      <c r="D4" s="3166" t="s">
        <v>567</v>
      </c>
      <c r="E4" s="3167" t="s">
        <v>568</v>
      </c>
      <c r="F4" s="3159"/>
      <c r="G4" s="3168" t="s">
        <v>572</v>
      </c>
      <c r="H4" s="2532" t="s">
        <v>573</v>
      </c>
      <c r="I4" s="3227" t="e">
        <f>ROUND(SUMIF('数据-基础表'!I9:AS9,"地上",'数据-基础表'!I5:AS5)/'数据-基础表'!A3,2)</f>
        <v>#DIV/0!</v>
      </c>
      <c r="J4" s="3159"/>
      <c r="K4" s="3159"/>
      <c r="L4" s="3159"/>
      <c r="M4" s="3159"/>
      <c r="N4" s="1095"/>
      <c r="O4" s="3159"/>
      <c r="P4" s="3159"/>
    </row>
    <row r="5" spans="1:16">
      <c r="A5" s="3169" t="s">
        <v>574</v>
      </c>
      <c r="B5" s="979" t="s">
        <v>575</v>
      </c>
      <c r="C5" s="979"/>
      <c r="D5" s="3170">
        <f>ROUND($D$3*E5/$E$3,2)</f>
        <v>0</v>
      </c>
      <c r="E5" s="3171">
        <f>SUMIF('数据-基础表'!$11:$11,"住宅",'数据-基础表'!$5:$5)</f>
        <v>0</v>
      </c>
      <c r="F5" s="3159"/>
      <c r="G5" s="3164"/>
      <c r="H5" s="2532" t="s">
        <v>571</v>
      </c>
      <c r="I5" s="3227" t="e">
        <f>ROUND(E31/D31,2)</f>
        <v>#DIV/0!</v>
      </c>
      <c r="J5" s="3159"/>
      <c r="K5" s="3159"/>
      <c r="L5" s="3159"/>
      <c r="M5" s="3159"/>
      <c r="N5" s="3159"/>
      <c r="O5" s="3159"/>
      <c r="P5" s="3159"/>
    </row>
    <row r="6" ht="15" spans="1:16">
      <c r="A6" s="3172"/>
      <c r="B6" s="979" t="s">
        <v>576</v>
      </c>
      <c r="C6" s="979"/>
      <c r="D6" s="3170">
        <f>ROUND($D$3*E6/$E$3,2)</f>
        <v>0</v>
      </c>
      <c r="E6" s="3171">
        <f>E3-E5</f>
        <v>695.5</v>
      </c>
      <c r="F6" s="3159"/>
      <c r="G6" s="3173" t="s">
        <v>577</v>
      </c>
      <c r="H6" s="3174" t="s">
        <v>573</v>
      </c>
      <c r="I6" s="3228" t="e">
        <f>ROUND(F31/D31,2)</f>
        <v>#DIV/0!</v>
      </c>
      <c r="J6" s="3159"/>
      <c r="K6" s="3229" t="s">
        <v>578</v>
      </c>
      <c r="L6" s="3159">
        <v>1600</v>
      </c>
      <c r="M6" s="3159"/>
      <c r="N6" s="3159"/>
      <c r="O6" s="3159"/>
      <c r="P6" s="3159"/>
    </row>
    <row r="7" ht="15" spans="1:16">
      <c r="A7" s="3175"/>
      <c r="B7" s="3176"/>
      <c r="C7" s="3177"/>
      <c r="D7" s="3166" t="s">
        <v>567</v>
      </c>
      <c r="E7" s="3178" t="s">
        <v>579</v>
      </c>
      <c r="F7" s="3159"/>
      <c r="G7" s="3179" t="s">
        <v>580</v>
      </c>
      <c r="H7" s="3180"/>
      <c r="I7" s="3230">
        <f>ROUND(L7/L6,2)</f>
        <v>1.13</v>
      </c>
      <c r="J7" s="3159"/>
      <c r="K7" s="3229" t="s">
        <v>581</v>
      </c>
      <c r="L7" s="3159">
        <f>1107.1+695.5</f>
        <v>1802.6</v>
      </c>
      <c r="M7" s="3159"/>
      <c r="N7" s="3159"/>
      <c r="O7" s="3159"/>
      <c r="P7" s="3159"/>
    </row>
    <row r="8" spans="1:16">
      <c r="A8" s="3169" t="s">
        <v>582</v>
      </c>
      <c r="B8" s="3181" t="s">
        <v>583</v>
      </c>
      <c r="C8" s="3170" t="s">
        <v>584</v>
      </c>
      <c r="D8" s="3170">
        <f t="shared" ref="D8:D15" si="0">ROUND($D$3*E8/$E$3,2)</f>
        <v>0</v>
      </c>
      <c r="E8" s="3182">
        <f>SUMIF('数据-基础表'!BB10:BK10,"地上",'数据-基础表'!BB5:BK5)</f>
        <v>695.5</v>
      </c>
      <c r="F8" s="3159"/>
      <c r="G8" s="3183"/>
      <c r="H8" s="3183"/>
      <c r="I8" s="3159"/>
      <c r="J8" s="3159"/>
      <c r="K8" s="3159"/>
      <c r="L8" s="3159"/>
      <c r="M8" s="3159"/>
      <c r="N8" s="3159"/>
      <c r="O8" s="3159"/>
      <c r="P8" s="3159"/>
    </row>
    <row r="9" spans="1:16">
      <c r="A9" s="3184"/>
      <c r="B9" s="3185"/>
      <c r="C9" s="3170" t="s">
        <v>585</v>
      </c>
      <c r="D9" s="3170">
        <f t="shared" si="0"/>
        <v>0</v>
      </c>
      <c r="E9" s="3186">
        <v>0</v>
      </c>
      <c r="F9" s="3159"/>
      <c r="G9" s="3183"/>
      <c r="H9" s="3183"/>
      <c r="I9" s="3159"/>
      <c r="J9" s="3159"/>
      <c r="K9" s="3159"/>
      <c r="L9" s="3159"/>
      <c r="M9" s="3159"/>
      <c r="N9" s="3159"/>
      <c r="O9" s="3159"/>
      <c r="P9" s="3159"/>
    </row>
    <row r="10" spans="1:16">
      <c r="A10" s="3184"/>
      <c r="B10" s="3185"/>
      <c r="C10" s="3170" t="s">
        <v>586</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587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588</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589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590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591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592</v>
      </c>
      <c r="D16" s="3181">
        <f>SUM(D8:D15)</f>
        <v>0</v>
      </c>
      <c r="E16" s="3187">
        <f>SUM(E8:E15)</f>
        <v>695.5</v>
      </c>
      <c r="F16" s="3159"/>
      <c r="G16" s="3183"/>
      <c r="H16" s="3188" t="s">
        <v>593</v>
      </c>
      <c r="I16" s="3231"/>
      <c r="J16" s="2585"/>
      <c r="K16" s="3232" t="s">
        <v>593</v>
      </c>
      <c r="L16" s="3190"/>
      <c r="M16" s="3190"/>
      <c r="N16" s="3190"/>
      <c r="O16" s="3190"/>
      <c r="P16" s="3233"/>
    </row>
    <row r="17" ht="15" spans="1:19">
      <c r="A17" s="3116" t="s">
        <v>594</v>
      </c>
      <c r="B17" s="3189" t="s">
        <v>595</v>
      </c>
      <c r="C17" s="3115" t="s">
        <v>596</v>
      </c>
      <c r="D17" s="3190" t="s">
        <v>567</v>
      </c>
      <c r="E17" s="3191" t="s">
        <v>568</v>
      </c>
      <c r="F17" s="3192"/>
      <c r="G17" s="3193"/>
      <c r="H17" s="3194" t="s">
        <v>597</v>
      </c>
      <c r="I17" s="3234" t="s">
        <v>598</v>
      </c>
      <c r="J17" s="2585"/>
      <c r="K17" s="3235" t="s">
        <v>599</v>
      </c>
      <c r="L17" s="3236"/>
      <c r="M17" s="3237"/>
      <c r="N17" s="3235" t="s">
        <v>600</v>
      </c>
      <c r="O17" s="3236"/>
      <c r="P17" s="3237"/>
      <c r="R17" s="3250" t="s">
        <v>601</v>
      </c>
      <c r="S17" s="2519"/>
    </row>
    <row r="18" ht="15" spans="1:19">
      <c r="A18" s="3184"/>
      <c r="B18" s="3195"/>
      <c r="C18" s="3196"/>
      <c r="D18" s="3197"/>
      <c r="E18" s="3198" t="s">
        <v>602</v>
      </c>
      <c r="F18" s="3199" t="s">
        <v>573</v>
      </c>
      <c r="G18" s="3200" t="s">
        <v>603</v>
      </c>
      <c r="H18" s="3121" t="s">
        <v>604</v>
      </c>
      <c r="I18" s="3238" t="s">
        <v>605</v>
      </c>
      <c r="J18" s="2585"/>
      <c r="K18" s="3121" t="s">
        <v>606</v>
      </c>
      <c r="L18" s="2782" t="s">
        <v>607</v>
      </c>
      <c r="M18" s="3227" t="s">
        <v>608</v>
      </c>
      <c r="N18" s="3121" t="s">
        <v>606</v>
      </c>
      <c r="O18" s="2782" t="s">
        <v>607</v>
      </c>
      <c r="P18" s="3227" t="s">
        <v>608</v>
      </c>
      <c r="R18" s="2532" t="s">
        <v>604</v>
      </c>
      <c r="S18" s="2532" t="s">
        <v>605</v>
      </c>
    </row>
    <row r="19" spans="1:19">
      <c r="A19" s="3201"/>
      <c r="B19" s="3181" t="s">
        <v>609</v>
      </c>
      <c r="C19" s="3202" t="s">
        <v>610</v>
      </c>
      <c r="D19" s="3170">
        <f>ROUND($D$3*E19/$E$3,2)</f>
        <v>0</v>
      </c>
      <c r="E19" s="3203">
        <f t="shared" ref="E19:E26" si="1">SUM(F19:G19)</f>
        <v>684.1</v>
      </c>
      <c r="F19" s="3204">
        <f>'数据-基础表'!I13</f>
        <v>684.1</v>
      </c>
      <c r="G19" s="3205"/>
      <c r="H19" s="3105">
        <f>ROUND($D$3*I19/$E$3,2)</f>
        <v>0</v>
      </c>
      <c r="I19" s="3182">
        <f t="shared" ref="I19:I26" si="2">IF($I$17="自定义",P19,M19)</f>
        <v>0</v>
      </c>
      <c r="J19" s="2585"/>
      <c r="K19" s="3239">
        <f t="shared" ref="K19:K26" si="3">ROUND(E$28*E19/E$27,2)</f>
        <v>0</v>
      </c>
      <c r="L19" s="2532">
        <f t="shared" ref="L19:L26" si="4">ROUND(IF(COUNTIF(C19,"*住宅*")&gt;0,E$29*E19/E$32,0),2)</f>
        <v>0</v>
      </c>
      <c r="M19" s="3240">
        <f>K19+L19</f>
        <v>0</v>
      </c>
      <c r="N19" s="3241"/>
      <c r="O19" s="3242"/>
      <c r="P19" s="3240">
        <f>N19+O19</f>
        <v>0</v>
      </c>
      <c r="R19" s="2532">
        <f t="shared" ref="R19:S26" si="5">D19+H19</f>
        <v>0</v>
      </c>
      <c r="S19" s="3251">
        <f t="shared" si="5"/>
        <v>684.1</v>
      </c>
    </row>
    <row r="20" spans="1:19">
      <c r="A20" s="3206"/>
      <c r="B20" s="3181" t="s">
        <v>609</v>
      </c>
      <c r="C20" s="3202" t="s">
        <v>611</v>
      </c>
      <c r="D20" s="3170">
        <f t="shared" ref="D20:D26" si="6">ROUND($D$3*E20/$E$3,2)</f>
        <v>0</v>
      </c>
      <c r="E20" s="3203">
        <f t="shared" si="1"/>
        <v>11.4</v>
      </c>
      <c r="F20" s="3204">
        <f>'数据-基础表'!I14</f>
        <v>11.4</v>
      </c>
      <c r="G20" s="3205"/>
      <c r="H20" s="3105">
        <f t="shared" ref="H20:H26" si="7">ROUND($D$3*I20/$E$3,2)</f>
        <v>0</v>
      </c>
      <c r="I20" s="3182">
        <f t="shared" si="2"/>
        <v>0</v>
      </c>
      <c r="J20" s="2585"/>
      <c r="K20" s="3239">
        <f t="shared" si="3"/>
        <v>0</v>
      </c>
      <c r="L20" s="2532">
        <f t="shared" si="4"/>
        <v>0</v>
      </c>
      <c r="M20" s="3240">
        <f t="shared" ref="M20:M26" si="8">K20+L20</f>
        <v>0</v>
      </c>
      <c r="N20" s="3241"/>
      <c r="O20" s="3242"/>
      <c r="P20" s="3240">
        <f t="shared" ref="P20:P26" si="9">N20+O20</f>
        <v>0</v>
      </c>
      <c r="R20" s="2532">
        <f t="shared" si="5"/>
        <v>0</v>
      </c>
      <c r="S20" s="3251">
        <f t="shared" si="5"/>
        <v>11.4</v>
      </c>
    </row>
    <row r="21" spans="1:19">
      <c r="A21" s="3206"/>
      <c r="B21" s="3181" t="s">
        <v>609</v>
      </c>
      <c r="C21" s="3202"/>
      <c r="D21" s="3170">
        <f t="shared" si="6"/>
        <v>0</v>
      </c>
      <c r="E21" s="3203">
        <f t="shared" si="1"/>
        <v>0</v>
      </c>
      <c r="F21" s="3204"/>
      <c r="G21" s="3205"/>
      <c r="H21" s="3105">
        <f t="shared" si="7"/>
        <v>0</v>
      </c>
      <c r="I21" s="3182">
        <f t="shared" si="2"/>
        <v>0</v>
      </c>
      <c r="J21" s="2585"/>
      <c r="K21" s="3239">
        <f t="shared" si="3"/>
        <v>0</v>
      </c>
      <c r="L21" s="2532">
        <f t="shared" si="4"/>
        <v>0</v>
      </c>
      <c r="M21" s="3240">
        <f t="shared" si="8"/>
        <v>0</v>
      </c>
      <c r="N21" s="3241"/>
      <c r="O21" s="3242"/>
      <c r="P21" s="3240">
        <f t="shared" si="9"/>
        <v>0</v>
      </c>
      <c r="R21" s="2532">
        <f t="shared" si="5"/>
        <v>0</v>
      </c>
      <c r="S21" s="3251">
        <f t="shared" si="5"/>
        <v>0</v>
      </c>
    </row>
    <row r="22" spans="1:19">
      <c r="A22" s="3206"/>
      <c r="B22" s="3181" t="s">
        <v>609</v>
      </c>
      <c r="C22" s="3207"/>
      <c r="D22" s="3170">
        <f t="shared" si="6"/>
        <v>0</v>
      </c>
      <c r="E22" s="3203">
        <f t="shared" si="1"/>
        <v>0</v>
      </c>
      <c r="F22" s="3208"/>
      <c r="G22" s="3209"/>
      <c r="H22" s="3105">
        <f t="shared" si="7"/>
        <v>0</v>
      </c>
      <c r="I22" s="3182">
        <f t="shared" si="2"/>
        <v>0</v>
      </c>
      <c r="J22" s="2585"/>
      <c r="K22" s="3239">
        <f t="shared" si="3"/>
        <v>0</v>
      </c>
      <c r="L22" s="2532">
        <f t="shared" si="4"/>
        <v>0</v>
      </c>
      <c r="M22" s="3240">
        <f t="shared" si="8"/>
        <v>0</v>
      </c>
      <c r="N22" s="3241"/>
      <c r="O22" s="3242"/>
      <c r="P22" s="3240">
        <f t="shared" si="9"/>
        <v>0</v>
      </c>
      <c r="R22" s="2532">
        <f t="shared" si="5"/>
        <v>0</v>
      </c>
      <c r="S22" s="3251">
        <f t="shared" si="5"/>
        <v>0</v>
      </c>
    </row>
    <row r="23" spans="1:19">
      <c r="A23" s="3206"/>
      <c r="B23" s="3181" t="s">
        <v>609</v>
      </c>
      <c r="C23" s="3207"/>
      <c r="D23" s="3170">
        <f t="shared" si="6"/>
        <v>0</v>
      </c>
      <c r="E23" s="3203">
        <f t="shared" si="1"/>
        <v>0</v>
      </c>
      <c r="F23" s="3208"/>
      <c r="G23" s="3209"/>
      <c r="H23" s="3105">
        <f t="shared" si="7"/>
        <v>0</v>
      </c>
      <c r="I23" s="3182">
        <f t="shared" si="2"/>
        <v>0</v>
      </c>
      <c r="J23" s="2585"/>
      <c r="K23" s="3239">
        <f t="shared" si="3"/>
        <v>0</v>
      </c>
      <c r="L23" s="2532">
        <f t="shared" si="4"/>
        <v>0</v>
      </c>
      <c r="M23" s="3240">
        <f t="shared" si="8"/>
        <v>0</v>
      </c>
      <c r="N23" s="3241"/>
      <c r="O23" s="3242"/>
      <c r="P23" s="3240">
        <f t="shared" si="9"/>
        <v>0</v>
      </c>
      <c r="R23" s="2532">
        <f t="shared" si="5"/>
        <v>0</v>
      </c>
      <c r="S23" s="3251">
        <f t="shared" si="5"/>
        <v>0</v>
      </c>
    </row>
    <row r="24" spans="1:19">
      <c r="A24" s="3206"/>
      <c r="B24" s="3181" t="s">
        <v>609</v>
      </c>
      <c r="C24" s="3207"/>
      <c r="D24" s="3170">
        <f t="shared" si="6"/>
        <v>0</v>
      </c>
      <c r="E24" s="3203">
        <f t="shared" si="1"/>
        <v>0</v>
      </c>
      <c r="F24" s="3208"/>
      <c r="G24" s="3209"/>
      <c r="H24" s="3105">
        <f t="shared" si="7"/>
        <v>0</v>
      </c>
      <c r="I24" s="3182">
        <f t="shared" si="2"/>
        <v>0</v>
      </c>
      <c r="J24" s="2585"/>
      <c r="K24" s="3239">
        <f t="shared" si="3"/>
        <v>0</v>
      </c>
      <c r="L24" s="2532">
        <f t="shared" si="4"/>
        <v>0</v>
      </c>
      <c r="M24" s="3240">
        <f t="shared" si="8"/>
        <v>0</v>
      </c>
      <c r="N24" s="3241"/>
      <c r="O24" s="3242"/>
      <c r="P24" s="3240">
        <f t="shared" si="9"/>
        <v>0</v>
      </c>
      <c r="R24" s="2532">
        <f t="shared" si="5"/>
        <v>0</v>
      </c>
      <c r="S24" s="3251">
        <f t="shared" si="5"/>
        <v>0</v>
      </c>
    </row>
    <row r="25" spans="1:19">
      <c r="A25" s="3206"/>
      <c r="B25" s="3181" t="s">
        <v>609</v>
      </c>
      <c r="C25" s="3207"/>
      <c r="D25" s="3170">
        <f t="shared" si="6"/>
        <v>0</v>
      </c>
      <c r="E25" s="3203">
        <f t="shared" si="1"/>
        <v>0</v>
      </c>
      <c r="F25" s="3208"/>
      <c r="G25" s="3209"/>
      <c r="H25" s="3169">
        <f t="shared" si="7"/>
        <v>0</v>
      </c>
      <c r="I25" s="3182">
        <f t="shared" si="2"/>
        <v>0</v>
      </c>
      <c r="J25" s="2585"/>
      <c r="K25" s="3239">
        <f t="shared" si="3"/>
        <v>0</v>
      </c>
      <c r="L25" s="2532">
        <f t="shared" si="4"/>
        <v>0</v>
      </c>
      <c r="M25" s="3240">
        <f t="shared" si="8"/>
        <v>0</v>
      </c>
      <c r="N25" s="3241"/>
      <c r="O25" s="3242"/>
      <c r="P25" s="3240">
        <f t="shared" si="9"/>
        <v>0</v>
      </c>
      <c r="R25" s="2532">
        <f t="shared" si="5"/>
        <v>0</v>
      </c>
      <c r="S25" s="3251">
        <f t="shared" si="5"/>
        <v>0</v>
      </c>
    </row>
    <row r="26" spans="1:19">
      <c r="A26" s="3206"/>
      <c r="B26" s="3181" t="s">
        <v>609</v>
      </c>
      <c r="C26" s="3210"/>
      <c r="D26" s="3170">
        <f t="shared" si="6"/>
        <v>0</v>
      </c>
      <c r="E26" s="3203">
        <f t="shared" si="1"/>
        <v>0</v>
      </c>
      <c r="F26" s="3208"/>
      <c r="G26" s="3209"/>
      <c r="H26" s="3169">
        <f t="shared" si="7"/>
        <v>0</v>
      </c>
      <c r="I26" s="3182">
        <f t="shared" si="2"/>
        <v>0</v>
      </c>
      <c r="J26" s="2585"/>
      <c r="K26" s="3164">
        <f t="shared" si="3"/>
        <v>0</v>
      </c>
      <c r="L26" s="3174">
        <f t="shared" si="4"/>
        <v>0</v>
      </c>
      <c r="M26" s="3217">
        <f t="shared" si="8"/>
        <v>0</v>
      </c>
      <c r="N26" s="3243"/>
      <c r="O26" s="3244"/>
      <c r="P26" s="3217">
        <f t="shared" si="9"/>
        <v>0</v>
      </c>
      <c r="R26" s="2532">
        <f t="shared" si="5"/>
        <v>0</v>
      </c>
      <c r="S26" s="3251">
        <f t="shared" si="5"/>
        <v>0</v>
      </c>
    </row>
    <row r="27" ht="15.75" spans="1:19">
      <c r="A27" s="3206"/>
      <c r="B27" s="3170"/>
      <c r="C27" s="2768" t="s">
        <v>612</v>
      </c>
      <c r="D27" s="3211">
        <f>SUM(D19:D26)</f>
        <v>0</v>
      </c>
      <c r="E27" s="3212">
        <f>IF(SUM(E19:E26)='数据-基础表'!BA5,SUM(E19:E26),IF(F27="地上面积有误","面积有误","地下面积有误"))</f>
        <v>695.5</v>
      </c>
      <c r="F27" s="3211">
        <f>IF(SUM(F19:F26)=E8,SUM(F19:F26),"地上面积有误")</f>
        <v>695.5</v>
      </c>
      <c r="G27" s="3213">
        <f>SUM(G19:G26)</f>
        <v>0</v>
      </c>
      <c r="H27" s="321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0</v>
      </c>
      <c r="S27" s="2532">
        <f>IF(SUM(S19:S26)=$E$3,SUM(S19:S26),SUM(S19:S26)&amp;"误差"&amp;ROUND(SUM(S19:S26)-E3,2))</f>
        <v>695.5</v>
      </c>
    </row>
    <row r="28" spans="1:16">
      <c r="A28" s="3206"/>
      <c r="B28" s="3181" t="s">
        <v>613</v>
      </c>
      <c r="C28" s="3126" t="s">
        <v>614</v>
      </c>
      <c r="D28" s="3170">
        <f>ROUND($D$3*E28/$E$3,2)</f>
        <v>0</v>
      </c>
      <c r="E28" s="3203">
        <f>SUM(F28:G28)</f>
        <v>0</v>
      </c>
      <c r="F28" s="2519">
        <f>'数据-基础表'!BQ5+'数据-基础表'!BS5</f>
        <v>0</v>
      </c>
      <c r="G28" s="3215">
        <f>'数据-基础表'!BR5+'数据-基础表'!BT5</f>
        <v>0</v>
      </c>
      <c r="H28" s="3159"/>
      <c r="I28" s="3159"/>
      <c r="J28" s="3159"/>
      <c r="K28" s="3159"/>
      <c r="L28" s="3159"/>
      <c r="M28" s="3159"/>
      <c r="N28" s="3159"/>
      <c r="O28" s="3159"/>
      <c r="P28" s="3159"/>
    </row>
    <row r="29" spans="1:16">
      <c r="A29" s="3206"/>
      <c r="B29" s="3181" t="s">
        <v>613</v>
      </c>
      <c r="C29" s="2583" t="s">
        <v>615</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612</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616</v>
      </c>
      <c r="D31" s="3221">
        <f>D27+D30</f>
        <v>0</v>
      </c>
      <c r="E31" s="3221">
        <f>E27+E30</f>
        <v>695.5</v>
      </c>
      <c r="F31" s="3222">
        <f>F27+F30</f>
        <v>695.5</v>
      </c>
      <c r="G31" s="3223">
        <f>G27+G30</f>
        <v>0</v>
      </c>
      <c r="H31" s="3159"/>
      <c r="I31" s="3159"/>
      <c r="J31" s="3159"/>
      <c r="K31" s="3159"/>
      <c r="L31" s="3159"/>
      <c r="M31" s="3159"/>
      <c r="N31" s="3159"/>
      <c r="O31" s="3159"/>
      <c r="P31" s="3159"/>
    </row>
    <row r="32" spans="1:16">
      <c r="A32" s="3224"/>
      <c r="B32" s="3224" t="s">
        <v>617</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481"/>
      <c r="D1" s="2956"/>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9"/>
      <c r="AO1" s="2409"/>
      <c r="AP1" s="2409"/>
      <c r="AQ1" s="2409"/>
      <c r="AR1" s="2409"/>
    </row>
    <row r="2" s="2946" customFormat="1" ht="15.75" spans="1:67">
      <c r="A2" s="2957" t="s">
        <v>619</v>
      </c>
      <c r="B2" s="2958">
        <f>项目基本情况!D3</f>
        <v>45394</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6" customFormat="1" ht="15" spans="1:67">
      <c r="A4" s="1221" t="s">
        <v>620</v>
      </c>
      <c r="B4" s="2539"/>
      <c r="C4" s="2963"/>
      <c r="D4" s="2964"/>
      <c r="E4" s="2963" t="s">
        <v>621</v>
      </c>
      <c r="F4" s="2963"/>
      <c r="G4" s="2963"/>
      <c r="H4" s="2963"/>
      <c r="I4" s="2963"/>
      <c r="J4" s="3057"/>
      <c r="K4" s="3058"/>
      <c r="L4" s="3059"/>
      <c r="M4" s="2963"/>
      <c r="N4" s="2963" t="s">
        <v>622</v>
      </c>
      <c r="O4" s="2963"/>
      <c r="P4" s="2963"/>
      <c r="Q4" s="2963"/>
      <c r="R4" s="2963"/>
      <c r="S4" s="3057"/>
      <c r="T4" s="3088" t="str">
        <f>'数据-汇总表'!I17</f>
        <v>按面积比例</v>
      </c>
      <c r="U4" s="2539" t="s">
        <v>623</v>
      </c>
      <c r="V4" s="2963"/>
      <c r="W4" s="2963"/>
      <c r="X4" s="2963"/>
      <c r="Y4" s="3057"/>
      <c r="Z4" s="3115" t="s">
        <v>624</v>
      </c>
      <c r="AA4" s="3115"/>
      <c r="AB4" s="3115"/>
      <c r="AC4" s="3115"/>
      <c r="AD4" s="3115"/>
      <c r="AE4" s="3116" t="s">
        <v>625</v>
      </c>
      <c r="AF4" s="3115"/>
      <c r="AG4" s="3130"/>
      <c r="AH4" s="2539"/>
      <c r="AI4" s="2963"/>
      <c r="AJ4" s="2963"/>
      <c r="AK4" s="2963"/>
      <c r="AL4" s="2963"/>
      <c r="AM4" s="3057"/>
      <c r="AN4" s="2992"/>
      <c r="AO4" s="2992"/>
      <c r="AP4" s="2992"/>
      <c r="AQ4" s="2992"/>
      <c r="AR4" s="299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106" t="s">
        <v>639</v>
      </c>
      <c r="R5" s="3089" t="s">
        <v>640</v>
      </c>
      <c r="S5" s="3090" t="s">
        <v>641</v>
      </c>
      <c r="T5" s="3091" t="s">
        <v>642</v>
      </c>
      <c r="U5" s="3092" t="s">
        <v>643</v>
      </c>
      <c r="V5" s="2969" t="s">
        <v>644</v>
      </c>
      <c r="W5" s="2969" t="s">
        <v>645</v>
      </c>
      <c r="X5" s="757"/>
      <c r="Y5" s="1238" t="s">
        <v>646</v>
      </c>
      <c r="Z5" s="3117" t="s">
        <v>643</v>
      </c>
      <c r="AA5" s="2969" t="s">
        <v>644</v>
      </c>
      <c r="AB5" s="2969" t="s">
        <v>645</v>
      </c>
      <c r="AC5" s="757"/>
      <c r="AD5" s="757" t="s">
        <v>646</v>
      </c>
      <c r="AE5" s="3092" t="s">
        <v>647</v>
      </c>
      <c r="AF5" s="2969" t="s">
        <v>648</v>
      </c>
      <c r="AG5" s="1238" t="s">
        <v>649</v>
      </c>
      <c r="AH5" s="3092" t="s">
        <v>650</v>
      </c>
      <c r="AI5" s="3117" t="s">
        <v>651</v>
      </c>
      <c r="AJ5" s="3117" t="s">
        <v>652</v>
      </c>
      <c r="AK5" s="2969" t="s">
        <v>653</v>
      </c>
      <c r="AL5" s="2969" t="s">
        <v>654</v>
      </c>
      <c r="AM5" s="1238" t="s">
        <v>655</v>
      </c>
      <c r="AN5" s="3131" t="s">
        <v>656</v>
      </c>
      <c r="AO5" s="3149" t="s">
        <v>657</v>
      </c>
      <c r="AP5" s="3150" t="s">
        <v>658</v>
      </c>
      <c r="AQ5" s="3151" t="s">
        <v>659</v>
      </c>
      <c r="AR5" s="3151"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6" customFormat="1" ht="14.25" spans="1:67">
      <c r="A6" s="2971" t="str">
        <f>'数据-汇总表'!C19</f>
        <v>3号楼</v>
      </c>
      <c r="B6" s="2972" t="str">
        <f>IF(A6=0,"","经营性")</f>
        <v>经营性</v>
      </c>
      <c r="C6" s="2973" t="s">
        <v>552</v>
      </c>
      <c r="D6" s="2974">
        <f>SUMIF(项目基本情况!C$12:I$12,C6,项目基本情况!C$14:I$14)</f>
        <v>50</v>
      </c>
      <c r="E6" s="2975">
        <f>IF(B6="","",SUMIF(项目基本情况!C$12:I$12,C6,项目基本情况!C$13:I$13))</f>
        <v>63654</v>
      </c>
      <c r="F6" s="2976">
        <f>SUMIF(项目基本情况!C$12:I$12,C6,项目基本情况!C$15:I$15)</f>
        <v>50</v>
      </c>
      <c r="G6" s="2977">
        <f>IF(ISERROR(ROUND(POWER(1+H6,D6-F6)*(POWER(1+H6,F6)-1)/(POWER(1+H6,D6)-1),3)),0,ROUND(POWER(1+H6,D6-F6)*(POWER(1+H6,F6)-1)/(POWER(1+H6,D6)-1),3))</f>
        <v>1</v>
      </c>
      <c r="H6" s="2978">
        <v>0.055</v>
      </c>
      <c r="I6" s="3066">
        <v>0.06</v>
      </c>
      <c r="J6" s="2979">
        <v>0.07</v>
      </c>
      <c r="K6" s="3067">
        <f>SUMIF('数据-汇总表'!C$19:C$33,A6,'数据-汇总表'!E$19:E$33)</f>
        <v>684.1</v>
      </c>
      <c r="L6" s="3068">
        <f>建筑物重置成新价!J14</f>
        <v>2245</v>
      </c>
      <c r="M6" s="3069">
        <f t="shared" ref="M6:M14" si="0">ROUND(K6*L6/10000,0)</f>
        <v>154</v>
      </c>
      <c r="N6" s="3070">
        <v>0.6</v>
      </c>
      <c r="O6" s="3069" t="str">
        <f>IF($N$5="成新度","——",ROUND(M6*N6,0))</f>
        <v>——</v>
      </c>
      <c r="P6" s="3071" t="str">
        <f>IF($N$5="成新度","——",M6-O6)</f>
        <v>——</v>
      </c>
      <c r="Q6" s="3093">
        <v>0.1</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f>'比较法-办公3号楼'!C49</f>
        <v>2.9</v>
      </c>
      <c r="V6" s="3098">
        <v>0.02</v>
      </c>
      <c r="W6" s="3098">
        <v>0.1</v>
      </c>
      <c r="X6" s="3099"/>
      <c r="Y6" s="3118">
        <f>N6</f>
        <v>0.6</v>
      </c>
      <c r="Z6" s="3119"/>
      <c r="AA6" s="2979"/>
      <c r="AB6" s="2979"/>
      <c r="AC6" s="3099"/>
      <c r="AD6" s="3120"/>
      <c r="AE6" s="3121">
        <f ca="1">IF(AN6="",0,SUMIF(INDIRECT("'"&amp;AN6&amp;"'"&amp;"!E:E"),$AE$5,INDIRECT("'"&amp;AN6&amp;"'"&amp;"!F:F")))</f>
        <v>11</v>
      </c>
      <c r="AF6" s="2514"/>
      <c r="AG6" s="1733">
        <f ca="1">IF(AF6="",0,AE6-AF6)</f>
        <v>0</v>
      </c>
      <c r="AH6" s="3132"/>
      <c r="AI6" s="3133">
        <v>365</v>
      </c>
      <c r="AJ6" s="3134"/>
      <c r="AK6" s="3135">
        <v>0.015</v>
      </c>
      <c r="AL6" s="3136">
        <v>0.001</v>
      </c>
      <c r="AM6" s="3137">
        <v>0.02</v>
      </c>
      <c r="AN6" s="3138" t="s">
        <v>315</v>
      </c>
      <c r="AO6" s="979">
        <f ca="1">SUMIF(INDIRECT("'"&amp;AN6&amp;"'"&amp;"!A:A"),"总价",INDIRECT("'"&amp;AN6&amp;"'"&amp;"!B:B"))</f>
        <v>2977.8256</v>
      </c>
      <c r="AP6" s="3152">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6" customFormat="1" ht="14.25" spans="1:67">
      <c r="A7" s="2971" t="str">
        <f>'数据-汇总表'!C20</f>
        <v>4号楼</v>
      </c>
      <c r="B7" s="2972" t="str">
        <f t="shared" ref="B7:B13" si="1">IF(A7=0,"","经营性")</f>
        <v>经营性</v>
      </c>
      <c r="C7" s="2973" t="s">
        <v>552</v>
      </c>
      <c r="D7" s="2974">
        <f>SUMIF(项目基本情况!C$12:I$12,C7,项目基本情况!C$14:I$14)</f>
        <v>50</v>
      </c>
      <c r="E7" s="2975">
        <f>IF(B7="","",SUMIF(项目基本情况!C$12:I$12,C7,项目基本情况!C$13:I$13))</f>
        <v>63654</v>
      </c>
      <c r="F7" s="2976">
        <f>SUMIF(项目基本情况!C$12:I$12,C7,项目基本情况!C$15:I$15)</f>
        <v>50</v>
      </c>
      <c r="G7" s="2977">
        <f t="shared" ref="G7:G13" si="2">IF(ISERROR(ROUND(POWER(1+H7,D7-F7)*(POWER(1+H7,F7)-1)/(POWER(1+H7,D7)-1),3)),0,ROUND(POWER(1+H7,D7-F7)*(POWER(1+H7,F7)-1)/(POWER(1+H7,D7)-1),3))</f>
        <v>1</v>
      </c>
      <c r="H7" s="2978">
        <v>0.055</v>
      </c>
      <c r="I7" s="3066">
        <v>0.06</v>
      </c>
      <c r="J7" s="2979">
        <f>J6</f>
        <v>0.07</v>
      </c>
      <c r="K7" s="3067">
        <f>SUMIF('数据-汇总表'!C$19:C$33,A7,'数据-汇总表'!E$19:E$33)</f>
        <v>11.4</v>
      </c>
      <c r="L7" s="3072">
        <v>1550</v>
      </c>
      <c r="M7" s="3069">
        <f t="shared" si="0"/>
        <v>2</v>
      </c>
      <c r="N7" s="3073">
        <v>0.4</v>
      </c>
      <c r="O7" s="3069" t="str">
        <f t="shared" ref="O7:O14" si="3">IF($N$5="成新度","——",ROUND(M7*N7,0))</f>
        <v>——</v>
      </c>
      <c r="P7" s="3071" t="str">
        <f t="shared" ref="P7:P14" si="4">IF($N$5="成新度","——",M7-O7)</f>
        <v>——</v>
      </c>
      <c r="Q7" s="3093">
        <v>0.1</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f>'比较法-办公4号楼'!C49</f>
        <v>2.8</v>
      </c>
      <c r="V7" s="3098">
        <v>0.02</v>
      </c>
      <c r="W7" s="3098">
        <v>0.1</v>
      </c>
      <c r="X7" s="3099"/>
      <c r="Y7" s="3118">
        <v>0.6</v>
      </c>
      <c r="Z7" s="3119"/>
      <c r="AA7" s="2979"/>
      <c r="AB7" s="2979"/>
      <c r="AC7" s="3099"/>
      <c r="AD7" s="3122"/>
      <c r="AE7" s="3121">
        <f ca="1" t="shared" ref="AE7:AE13" si="6">IF(AN7="",0,SUMIF(INDIRECT("'"&amp;AN7&amp;"'"&amp;"!E:E"),$AE$5,INDIRECT("'"&amp;AN7&amp;"'"&amp;"!F:F")))</f>
        <v>6</v>
      </c>
      <c r="AF7" s="3123"/>
      <c r="AG7" s="1733">
        <f ca="1" t="shared" ref="AG7:AG13" si="7">IF(AF7="",0,AE7-AF7)</f>
        <v>0</v>
      </c>
      <c r="AH7" s="3132"/>
      <c r="AI7" s="3133">
        <v>365</v>
      </c>
      <c r="AJ7" s="3134"/>
      <c r="AK7" s="3135">
        <v>0.015</v>
      </c>
      <c r="AL7" s="3136">
        <v>0.001</v>
      </c>
      <c r="AM7" s="3137">
        <v>0.02</v>
      </c>
      <c r="AN7" s="3138" t="s">
        <v>317</v>
      </c>
      <c r="AO7" s="979">
        <f ca="1" t="shared" ref="AO7:AO13" si="8">SUMIF(INDIRECT("'"&amp;AN7&amp;"'"&amp;"!A:A"),"总价",INDIRECT("'"&amp;AN7&amp;"'"&amp;"!B:B"))</f>
        <v>97.0409</v>
      </c>
      <c r="AP7" s="3152">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72"/>
      <c r="M8" s="3069">
        <f t="shared" si="0"/>
        <v>0</v>
      </c>
      <c r="N8" s="3070"/>
      <c r="O8" s="3069" t="str">
        <f t="shared" si="3"/>
        <v>——</v>
      </c>
      <c r="P8" s="3071"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79"/>
      <c r="AB8" s="2979"/>
      <c r="AC8" s="3099"/>
      <c r="AD8" s="3120"/>
      <c r="AE8" s="3121">
        <f ca="1" t="shared" si="6"/>
        <v>0</v>
      </c>
      <c r="AF8" s="2514"/>
      <c r="AG8" s="1733">
        <f ca="1" t="shared" si="7"/>
        <v>0</v>
      </c>
      <c r="AH8" s="3139"/>
      <c r="AI8" s="3133"/>
      <c r="AJ8" s="3134"/>
      <c r="AK8" s="3140"/>
      <c r="AL8" s="3141"/>
      <c r="AM8" s="3142"/>
      <c r="AN8" s="3138"/>
      <c r="AO8" s="979" t="e">
        <f ca="1" t="shared" si="8"/>
        <v>#REF!</v>
      </c>
      <c r="AP8" s="3152">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72"/>
      <c r="M9" s="3069">
        <f t="shared" si="0"/>
        <v>0</v>
      </c>
      <c r="N9" s="3070"/>
      <c r="O9" s="3069" t="str">
        <f t="shared" si="3"/>
        <v>——</v>
      </c>
      <c r="P9" s="3071"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79"/>
      <c r="AB9" s="2979"/>
      <c r="AC9" s="3099"/>
      <c r="AD9" s="3120"/>
      <c r="AE9" s="3121">
        <f ca="1" t="shared" si="6"/>
        <v>0</v>
      </c>
      <c r="AF9" s="2514"/>
      <c r="AG9" s="1733">
        <f ca="1" t="shared" si="7"/>
        <v>0</v>
      </c>
      <c r="AH9" s="3132"/>
      <c r="AI9" s="3133"/>
      <c r="AJ9" s="3134"/>
      <c r="AK9" s="3135"/>
      <c r="AL9" s="3136"/>
      <c r="AM9" s="3137"/>
      <c r="AN9" s="3138"/>
      <c r="AO9" s="979" t="e">
        <f ca="1" t="shared" si="8"/>
        <v>#REF!</v>
      </c>
      <c r="AP9" s="3152">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72"/>
      <c r="M10" s="3069">
        <f t="shared" si="0"/>
        <v>0</v>
      </c>
      <c r="N10" s="3070"/>
      <c r="O10" s="3069" t="str">
        <f t="shared" si="3"/>
        <v>——</v>
      </c>
      <c r="P10" s="3071"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79"/>
      <c r="AB10" s="2979"/>
      <c r="AC10" s="3099"/>
      <c r="AD10" s="3120"/>
      <c r="AE10" s="3121">
        <f ca="1" t="shared" si="6"/>
        <v>0</v>
      </c>
      <c r="AF10" s="2514"/>
      <c r="AG10" s="1733">
        <f ca="1" t="shared" si="7"/>
        <v>0</v>
      </c>
      <c r="AH10" s="3132"/>
      <c r="AI10" s="3133"/>
      <c r="AJ10" s="3134"/>
      <c r="AK10" s="3135"/>
      <c r="AL10" s="3136"/>
      <c r="AM10" s="3137"/>
      <c r="AN10" s="3138"/>
      <c r="AO10" s="979" t="e">
        <f ca="1" t="shared" si="8"/>
        <v>#REF!</v>
      </c>
      <c r="AP10" s="3152">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4"/>
      <c r="M11" s="3069">
        <f t="shared" si="0"/>
        <v>0</v>
      </c>
      <c r="N11" s="3070"/>
      <c r="O11" s="3069" t="str">
        <f t="shared" si="3"/>
        <v>——</v>
      </c>
      <c r="P11" s="3071"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79"/>
      <c r="W11" s="2979"/>
      <c r="X11" s="3099"/>
      <c r="Y11" s="3118"/>
      <c r="Z11" s="3124"/>
      <c r="AA11" s="2979"/>
      <c r="AB11" s="2979"/>
      <c r="AC11" s="3099"/>
      <c r="AD11" s="3120"/>
      <c r="AE11" s="3121">
        <f ca="1" t="shared" si="6"/>
        <v>0</v>
      </c>
      <c r="AF11" s="2514"/>
      <c r="AG11" s="1733">
        <f ca="1" t="shared" si="7"/>
        <v>0</v>
      </c>
      <c r="AH11" s="3132"/>
      <c r="AI11" s="3133"/>
      <c r="AJ11" s="3134"/>
      <c r="AK11" s="3143"/>
      <c r="AL11" s="3144"/>
      <c r="AM11" s="3145"/>
      <c r="AN11" s="3138"/>
      <c r="AO11" s="979" t="e">
        <f ca="1" t="shared" si="8"/>
        <v>#REF!</v>
      </c>
      <c r="AP11" s="3152">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4"/>
      <c r="M12" s="3069">
        <f t="shared" si="0"/>
        <v>0</v>
      </c>
      <c r="N12" s="3070"/>
      <c r="O12" s="3069" t="str">
        <f t="shared" si="3"/>
        <v>——</v>
      </c>
      <c r="P12" s="3071"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79"/>
      <c r="W12" s="2979"/>
      <c r="X12" s="3099"/>
      <c r="Y12" s="3118"/>
      <c r="Z12" s="3124"/>
      <c r="AA12" s="2979"/>
      <c r="AB12" s="2979"/>
      <c r="AC12" s="3099"/>
      <c r="AD12" s="3120"/>
      <c r="AE12" s="3121">
        <f ca="1" t="shared" si="6"/>
        <v>0</v>
      </c>
      <c r="AF12" s="2514"/>
      <c r="AG12" s="1733">
        <f ca="1" t="shared" si="7"/>
        <v>0</v>
      </c>
      <c r="AH12" s="3132"/>
      <c r="AI12" s="3133"/>
      <c r="AJ12" s="3134"/>
      <c r="AK12" s="3143"/>
      <c r="AL12" s="3144"/>
      <c r="AM12" s="3145"/>
      <c r="AN12" s="3138"/>
      <c r="AO12" s="979" t="e">
        <f ca="1" t="shared" si="8"/>
        <v>#REF!</v>
      </c>
      <c r="AP12" s="3152">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4"/>
      <c r="M13" s="3069">
        <f t="shared" si="0"/>
        <v>0</v>
      </c>
      <c r="N13" s="3075"/>
      <c r="O13" s="3069" t="str">
        <f t="shared" si="3"/>
        <v>——</v>
      </c>
      <c r="P13" s="3071"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79"/>
      <c r="AB13" s="2979"/>
      <c r="AC13" s="3099"/>
      <c r="AD13" s="3120"/>
      <c r="AE13" s="3121">
        <f ca="1" t="shared" si="6"/>
        <v>0</v>
      </c>
      <c r="AF13" s="2514"/>
      <c r="AG13" s="1733">
        <f ca="1" t="shared" si="7"/>
        <v>0</v>
      </c>
      <c r="AH13" s="3132"/>
      <c r="AI13" s="3133"/>
      <c r="AJ13" s="3134"/>
      <c r="AK13" s="3135"/>
      <c r="AL13" s="3136"/>
      <c r="AM13" s="3137"/>
      <c r="AN13" s="3138"/>
      <c r="AO13" s="979" t="e">
        <f ca="1" t="shared" si="8"/>
        <v>#REF!</v>
      </c>
      <c r="AP13" s="3152">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6" customFormat="1" ht="14.25" spans="1:67">
      <c r="A14" s="2980" t="s">
        <v>614</v>
      </c>
      <c r="B14" s="2972" t="s">
        <v>613</v>
      </c>
      <c r="C14" s="2981" t="s">
        <v>614</v>
      </c>
      <c r="D14" s="2974"/>
      <c r="E14" s="2975"/>
      <c r="F14" s="2976"/>
      <c r="G14" s="2977"/>
      <c r="H14" s="2982"/>
      <c r="I14" s="2982"/>
      <c r="J14" s="2982"/>
      <c r="K14" s="3067">
        <f>SUMIF('数据-汇总表'!C$19:C$33,A14,'数据-汇总表'!E$19:E$33)</f>
        <v>0</v>
      </c>
      <c r="L14" s="3074"/>
      <c r="M14" s="3069">
        <f t="shared" si="0"/>
        <v>0</v>
      </c>
      <c r="N14" s="3075"/>
      <c r="O14" s="3069" t="str">
        <f t="shared" si="3"/>
        <v>——</v>
      </c>
      <c r="P14" s="3071" t="str">
        <f t="shared" si="4"/>
        <v>——</v>
      </c>
      <c r="Q14" s="3104"/>
      <c r="R14" s="3094"/>
      <c r="S14" s="3095"/>
      <c r="T14" s="3096"/>
      <c r="U14" s="3105"/>
      <c r="V14" s="3106"/>
      <c r="W14" s="3106"/>
      <c r="X14" s="3107"/>
      <c r="Y14" s="3125"/>
      <c r="Z14" s="3126"/>
      <c r="AA14" s="3127"/>
      <c r="AB14" s="3127"/>
      <c r="AC14" s="3099"/>
      <c r="AD14" s="3107"/>
      <c r="AE14" s="3121"/>
      <c r="AF14" s="979"/>
      <c r="AG14" s="1733"/>
      <c r="AH14" s="3121"/>
      <c r="AI14" s="962"/>
      <c r="AJ14" s="978"/>
      <c r="AK14" s="3146"/>
      <c r="AL14" s="3147"/>
      <c r="AM14" s="3148"/>
      <c r="AN14" s="2409"/>
      <c r="AO14" s="2992"/>
      <c r="AP14" s="2992"/>
      <c r="AQ14" s="2992"/>
      <c r="AR14" s="299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6" customFormat="1" ht="27" spans="1:67">
      <c r="A15" s="2980" t="s">
        <v>615</v>
      </c>
      <c r="B15" s="2972" t="s">
        <v>613</v>
      </c>
      <c r="C15" s="2981" t="s">
        <v>661</v>
      </c>
      <c r="D15" s="2974"/>
      <c r="E15" s="2975"/>
      <c r="F15" s="2976"/>
      <c r="G15" s="2977"/>
      <c r="H15" s="2982"/>
      <c r="I15" s="2982"/>
      <c r="J15" s="2982"/>
      <c r="K15" s="3067">
        <f>SUMIF('数据-汇总表'!C$19:C$33,A15,'数据-汇总表'!E$19:E$33)</f>
        <v>0</v>
      </c>
      <c r="L15" s="3076"/>
      <c r="M15" s="3069"/>
      <c r="N15" s="3077"/>
      <c r="O15" s="3069"/>
      <c r="P15" s="3071"/>
      <c r="Q15" s="3104"/>
      <c r="R15" s="3094"/>
      <c r="S15" s="3095"/>
      <c r="T15" s="3096"/>
      <c r="U15" s="3105"/>
      <c r="V15" s="3106"/>
      <c r="W15" s="3106"/>
      <c r="X15" s="3107"/>
      <c r="Y15" s="3125"/>
      <c r="Z15" s="3126"/>
      <c r="AA15" s="3127"/>
      <c r="AB15" s="3127"/>
      <c r="AC15" s="3099"/>
      <c r="AD15" s="3107"/>
      <c r="AE15" s="3121"/>
      <c r="AF15" s="979"/>
      <c r="AG15" s="1733"/>
      <c r="AH15" s="3121"/>
      <c r="AI15" s="962"/>
      <c r="AJ15" s="978"/>
      <c r="AK15" s="3146"/>
      <c r="AL15" s="3147"/>
      <c r="AM15" s="3148"/>
      <c r="AN15" s="2409"/>
      <c r="AO15" s="2992"/>
      <c r="AP15" s="2992"/>
      <c r="AQ15" s="2992"/>
      <c r="AR15" s="299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6" customFormat="1" ht="15.75" spans="1:67">
      <c r="A16" s="2983" t="s">
        <v>616</v>
      </c>
      <c r="B16" s="2984"/>
      <c r="C16" s="2466"/>
      <c r="D16" s="2985"/>
      <c r="E16" s="2984"/>
      <c r="F16" s="2984"/>
      <c r="G16" s="2986">
        <f>ROUND(SUMPRODUCT(G6:G13,K6:K13)/SUMPRODUCT((G6:G13&gt;0)*(K6:K13)),3)</f>
        <v>1</v>
      </c>
      <c r="H16" s="2987">
        <f>ROUND(SUMPRODUCT(H6:H13,K6:K13)/SUMPRODUCT((H6:H13&gt;0)*(K6:K13)),3)</f>
        <v>0.055</v>
      </c>
      <c r="I16" s="3078"/>
      <c r="J16" s="3078"/>
      <c r="K16" s="3079">
        <f>SUM(K6:K15)</f>
        <v>695.5</v>
      </c>
      <c r="L16" s="3080">
        <f>ROUND(M16*10000/SUM(K6:K14),0)</f>
        <v>2243</v>
      </c>
      <c r="M16" s="3080">
        <f>SUM(M6:M14)</f>
        <v>156</v>
      </c>
      <c r="N16" s="3081">
        <f>ROUND(SUMPRODUCT(M6:M14,N6:N14)/M16,3)</f>
        <v>0.597</v>
      </c>
      <c r="O16" s="3080">
        <f>SUM(O6:O14)</f>
        <v>0</v>
      </c>
      <c r="P16" s="3080">
        <f>SUM(P6:P14)</f>
        <v>0</v>
      </c>
      <c r="Q16" s="3108">
        <f>ROUND(SUMPRODUCT(Q6:Q13,K6:K13)/SUMPRODUCT((Q6:Q13&gt;0)*(K6:K13)),2)</f>
        <v>0.1</v>
      </c>
      <c r="R16" s="3109">
        <f ca="1">SUM(R6:R13)</f>
        <v>0</v>
      </c>
      <c r="S16" s="3110">
        <f>SUM(S6:S13)</f>
        <v>0</v>
      </c>
      <c r="T16" s="3111">
        <f>IF(SUMIF(T6:T13,"&lt;9E307")=M14,SUMIF(T6:T13,"&lt;9E307"),"有误，请检查")</f>
        <v>0</v>
      </c>
      <c r="U16" s="3112"/>
      <c r="V16" s="3113"/>
      <c r="W16" s="3113"/>
      <c r="X16" s="3114"/>
      <c r="Y16" s="3128"/>
      <c r="Z16" s="3129"/>
      <c r="AA16" s="3113"/>
      <c r="AB16" s="3113"/>
      <c r="AC16" s="3114"/>
      <c r="AD16" s="3114"/>
      <c r="AE16" s="3112"/>
      <c r="AF16" s="3113"/>
      <c r="AG16" s="3128"/>
      <c r="AH16" s="3112"/>
      <c r="AI16" s="3129"/>
      <c r="AJ16" s="3129"/>
      <c r="AK16" s="3113"/>
      <c r="AL16" s="3113"/>
      <c r="AM16" s="3128"/>
      <c r="AN16" s="2409"/>
      <c r="AO16" s="2992"/>
      <c r="AP16" s="2992"/>
      <c r="AQ16" s="2992"/>
      <c r="AR16" s="299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8"/>
      <c r="B17" s="2989"/>
      <c r="C17" s="2409"/>
      <c r="D17" s="2990"/>
      <c r="E17" s="2990"/>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1"/>
      <c r="C18" s="2992"/>
      <c r="D18" s="2993"/>
      <c r="E18" s="2992"/>
      <c r="F18" s="2992"/>
      <c r="G18" s="2992"/>
      <c r="H18" s="2992"/>
      <c r="I18" s="3083" t="s">
        <v>663</v>
      </c>
      <c r="J18" s="3084" t="s">
        <v>664</v>
      </c>
      <c r="K18" s="3082"/>
      <c r="L18" s="3082">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4" t="s">
        <v>665</v>
      </c>
      <c r="B19" s="2995">
        <v>0</v>
      </c>
      <c r="C19" s="2996" t="s">
        <v>666</v>
      </c>
      <c r="D19" s="2993"/>
      <c r="E19" s="2992"/>
      <c r="F19" s="2992"/>
      <c r="G19" s="2992"/>
      <c r="H19" s="2992"/>
      <c r="I19" s="2992"/>
      <c r="J19" s="3084" t="s">
        <v>667</v>
      </c>
      <c r="K19" s="3082"/>
      <c r="L19" s="3082">
        <v>600</v>
      </c>
      <c r="M19" s="2409"/>
      <c r="N19" s="3085">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7" t="s">
        <v>668</v>
      </c>
      <c r="B20" s="2998">
        <v>1</v>
      </c>
      <c r="C20" s="2999" t="s">
        <v>669</v>
      </c>
      <c r="D20" s="2993"/>
      <c r="E20" s="2992"/>
      <c r="F20" s="2992"/>
      <c r="G20" s="2992"/>
      <c r="H20" s="2992"/>
      <c r="I20" s="2992"/>
      <c r="J20" s="3084" t="s">
        <v>670</v>
      </c>
      <c r="K20" s="3082"/>
      <c r="L20" s="3082">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0" t="s">
        <v>671</v>
      </c>
      <c r="B21" s="2998">
        <v>1</v>
      </c>
      <c r="C21" s="2992"/>
      <c r="D21" s="2993"/>
      <c r="E21" s="2992"/>
      <c r="F21" s="2992"/>
      <c r="G21" s="2992"/>
      <c r="H21" s="2992"/>
      <c r="I21" s="2992"/>
      <c r="J21" s="3084" t="s">
        <v>672</v>
      </c>
      <c r="K21" s="3086">
        <v>0.05</v>
      </c>
      <c r="L21" s="3082">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7" t="s">
        <v>673</v>
      </c>
      <c r="B22" s="3001">
        <f>B19+B20</f>
        <v>1</v>
      </c>
      <c r="C22" s="2992"/>
      <c r="D22" s="2993"/>
      <c r="E22" s="2992"/>
      <c r="F22" s="2992"/>
      <c r="G22" s="2992"/>
      <c r="H22" s="2992"/>
      <c r="I22" s="2992"/>
      <c r="J22" s="2992"/>
      <c r="K22" s="3082"/>
      <c r="L22" s="3082">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0" t="s">
        <v>674</v>
      </c>
      <c r="B23" s="3001">
        <f>B19+B21</f>
        <v>1</v>
      </c>
      <c r="C23" s="2992"/>
      <c r="D23" s="2993"/>
      <c r="E23" s="2992"/>
      <c r="F23" s="2992"/>
      <c r="G23" s="2992"/>
      <c r="H23" s="2992"/>
      <c r="I23" s="2992"/>
      <c r="J23" s="2992"/>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2" t="s">
        <v>675</v>
      </c>
      <c r="B24" s="3003">
        <f>B20-B21</f>
        <v>0</v>
      </c>
      <c r="C24" s="2992"/>
      <c r="D24" s="2993"/>
      <c r="E24" s="2992"/>
      <c r="F24" s="2992"/>
      <c r="G24" s="2992"/>
      <c r="H24" s="2992"/>
      <c r="I24" s="3083" t="s">
        <v>676</v>
      </c>
      <c r="J24" s="3084" t="s">
        <v>664</v>
      </c>
      <c r="K24" s="3082"/>
      <c r="L24" s="3082">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1"/>
      <c r="B25" s="2962"/>
      <c r="C25" s="2992"/>
      <c r="D25" s="2993"/>
      <c r="E25" s="2992"/>
      <c r="F25" s="2992"/>
      <c r="G25" s="2992"/>
      <c r="H25" s="2992"/>
      <c r="I25" s="2992"/>
      <c r="J25" s="3084" t="s">
        <v>667</v>
      </c>
      <c r="K25" s="3082"/>
      <c r="L25" s="3082">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7" t="s">
        <v>677</v>
      </c>
      <c r="B26" s="3004" t="s">
        <v>678</v>
      </c>
      <c r="C26" s="3005" t="s">
        <v>679</v>
      </c>
      <c r="D26" s="2993"/>
      <c r="E26" s="2992"/>
      <c r="F26" s="2992"/>
      <c r="G26" s="2992"/>
      <c r="H26" s="2992"/>
      <c r="I26" s="2992"/>
      <c r="J26" s="3084" t="s">
        <v>670</v>
      </c>
      <c r="K26" s="3082"/>
      <c r="L26" s="3082">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8" customFormat="1" ht="27.75" spans="1:67">
      <c r="A27" s="3006" t="s">
        <v>680</v>
      </c>
      <c r="B27" s="3007"/>
      <c r="C27" s="3008" t="s">
        <v>681</v>
      </c>
      <c r="D27" s="3009"/>
      <c r="E27" s="1095"/>
      <c r="F27" s="1095"/>
      <c r="G27" s="2992"/>
      <c r="H27" s="2992"/>
      <c r="I27" s="2992"/>
      <c r="J27" s="3084" t="s">
        <v>672</v>
      </c>
      <c r="K27" s="3086">
        <v>0.05</v>
      </c>
      <c r="L27" s="3082">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8" customFormat="1" ht="27.75" spans="1:67">
      <c r="A28" s="3010" t="s">
        <v>682</v>
      </c>
      <c r="B28" s="3011">
        <v>200</v>
      </c>
      <c r="C28" s="3012"/>
      <c r="D28" s="3009"/>
      <c r="E28" s="1095"/>
      <c r="F28" s="1095"/>
      <c r="G28" s="2992"/>
      <c r="H28" s="2992"/>
      <c r="I28" s="2992"/>
      <c r="J28" s="2992"/>
      <c r="K28" s="3082"/>
      <c r="L28" s="3082">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8" customFormat="1" ht="28.5" spans="1:67">
      <c r="A29" s="3013" t="s">
        <v>683</v>
      </c>
      <c r="B29" s="3014"/>
      <c r="C29" s="3015" t="s">
        <v>684</v>
      </c>
      <c r="D29" s="3009"/>
      <c r="E29" s="1095"/>
      <c r="F29" s="1095"/>
      <c r="G29" s="2992"/>
      <c r="H29" s="2992"/>
      <c r="I29" s="2992"/>
      <c r="J29" s="2992"/>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8" customFormat="1" ht="27" spans="1:67">
      <c r="A30" s="3016" t="s">
        <v>685</v>
      </c>
      <c r="B30" s="3017">
        <v>200</v>
      </c>
      <c r="C30" s="3012"/>
      <c r="D30" s="3009"/>
      <c r="E30" s="1095"/>
      <c r="F30" s="1095"/>
      <c r="G30" s="2992"/>
      <c r="H30" s="2992"/>
      <c r="I30" s="2992"/>
      <c r="J30" s="2992"/>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8" customFormat="1" ht="27" spans="1:67">
      <c r="A31" s="3010" t="s">
        <v>686</v>
      </c>
      <c r="B31" s="3018">
        <f>B30-B32</f>
        <v>200</v>
      </c>
      <c r="C31" s="3019"/>
      <c r="D31" s="3009"/>
      <c r="E31" s="1095"/>
      <c r="F31" s="1095"/>
      <c r="G31" s="2992"/>
      <c r="H31" s="2992"/>
      <c r="I31" s="2992"/>
      <c r="J31" s="2992"/>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8" customFormat="1" ht="27.75" spans="1:67">
      <c r="A32" s="3020" t="s">
        <v>687</v>
      </c>
      <c r="B32" s="3021">
        <v>0</v>
      </c>
      <c r="C32" s="3012"/>
      <c r="D32" s="2993"/>
      <c r="E32" s="2992"/>
      <c r="F32" s="2992"/>
      <c r="G32" s="2992"/>
      <c r="H32" s="2992"/>
      <c r="I32" s="2992"/>
      <c r="J32" s="2992"/>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8" customFormat="1" ht="14.25" spans="1:67">
      <c r="A33" s="3006" t="s">
        <v>688</v>
      </c>
      <c r="B33" s="3022">
        <v>0.03</v>
      </c>
      <c r="C33" s="3023" t="s">
        <v>689</v>
      </c>
      <c r="D33" s="2993"/>
      <c r="E33" s="2992"/>
      <c r="F33" s="2992"/>
      <c r="G33" s="2992"/>
      <c r="H33" s="2992"/>
      <c r="I33" s="2992"/>
      <c r="J33" s="2992"/>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8" customFormat="1" ht="14.25" spans="1:67">
      <c r="A34" s="3010" t="s">
        <v>690</v>
      </c>
      <c r="B34" s="3024">
        <v>0</v>
      </c>
      <c r="C34" s="3023" t="s">
        <v>691</v>
      </c>
      <c r="D34" s="3025" t="s">
        <v>692</v>
      </c>
      <c r="E34" s="2989"/>
      <c r="F34" s="2992"/>
      <c r="G34" s="2992"/>
      <c r="H34" s="2992"/>
      <c r="I34" s="2992"/>
      <c r="J34" s="2992"/>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8" customFormat="1" ht="14.25" spans="1:67">
      <c r="A35" s="3010" t="s">
        <v>693</v>
      </c>
      <c r="B35" s="3011">
        <v>200</v>
      </c>
      <c r="C35" s="3023" t="s">
        <v>694</v>
      </c>
      <c r="D35" s="3009"/>
      <c r="E35" s="1095"/>
      <c r="F35" s="1095"/>
      <c r="G35" s="2992"/>
      <c r="H35" s="2992"/>
      <c r="I35" s="2992"/>
      <c r="J35" s="2992"/>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3" t="s">
        <v>695</v>
      </c>
      <c r="B36" s="3026">
        <v>0.015</v>
      </c>
      <c r="C36" s="3023" t="s">
        <v>696</v>
      </c>
      <c r="D36" s="2993"/>
      <c r="E36" s="2992"/>
      <c r="F36" s="2992"/>
      <c r="G36" s="2992"/>
      <c r="H36" s="2992"/>
      <c r="I36" s="2992"/>
      <c r="J36" s="2992"/>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6" t="s">
        <v>697</v>
      </c>
      <c r="B37" s="3027">
        <v>0.02</v>
      </c>
      <c r="C37" s="3023" t="s">
        <v>698</v>
      </c>
      <c r="D37" s="2993"/>
      <c r="E37" s="2992"/>
      <c r="F37" s="2992"/>
      <c r="G37" s="2992"/>
      <c r="H37" s="2992"/>
      <c r="I37" s="2992"/>
      <c r="J37" s="2992"/>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0" t="s">
        <v>699</v>
      </c>
      <c r="B38" s="3024">
        <v>0.02</v>
      </c>
      <c r="C38" s="3023" t="s">
        <v>698</v>
      </c>
      <c r="D38" s="2993"/>
      <c r="E38" s="2992"/>
      <c r="F38" s="2992"/>
      <c r="G38" s="2992"/>
      <c r="H38" s="2992"/>
      <c r="I38" s="2992"/>
      <c r="J38" s="2992"/>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0" t="s">
        <v>700</v>
      </c>
      <c r="B39" s="3028">
        <f ca="1">存贷款利率!I1</f>
        <v>0.015</v>
      </c>
      <c r="C39" s="3029"/>
      <c r="D39" s="2993"/>
      <c r="E39" s="2992"/>
      <c r="F39" s="2992"/>
      <c r="G39" s="2992"/>
      <c r="H39" s="2992"/>
      <c r="I39" s="2992"/>
      <c r="J39" s="2992"/>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0" t="s">
        <v>701</v>
      </c>
      <c r="B40" s="3031">
        <f ca="1">IF(A40="利息：取LPR",存贷款利率!G1,存贷款利率!G1+C40)</f>
        <v>0.0345</v>
      </c>
      <c r="C40" s="3032">
        <v>0.005</v>
      </c>
      <c r="D40" s="2409"/>
      <c r="E40" s="2993"/>
      <c r="F40" s="2992"/>
      <c r="G40" s="2992"/>
      <c r="H40" s="2992"/>
      <c r="I40" s="2992"/>
      <c r="J40" s="2992"/>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6" t="s">
        <v>702</v>
      </c>
      <c r="B41" s="3033">
        <f>B42+B43</f>
        <v>0.056</v>
      </c>
      <c r="C41" s="3019"/>
      <c r="D41" s="2409"/>
      <c r="E41" s="2993"/>
      <c r="F41" s="2992"/>
      <c r="G41" s="2992"/>
      <c r="H41" s="2992"/>
      <c r="I41" s="2992"/>
      <c r="J41" s="2992"/>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4" t="s">
        <v>703</v>
      </c>
      <c r="B42" s="3035">
        <v>0.05</v>
      </c>
      <c r="C42" s="3036">
        <f>IF(B2&lt;DATE(2016,5,1),0,B42)</f>
        <v>0.05</v>
      </c>
      <c r="D42" s="2993"/>
      <c r="E42" s="2992"/>
      <c r="F42" s="2992"/>
      <c r="G42" s="2992"/>
      <c r="H42" s="2992"/>
      <c r="I42" s="2992"/>
      <c r="J42" s="2992"/>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4" t="s">
        <v>704</v>
      </c>
      <c r="B43" s="3037">
        <f>B42*(B44+B45+B46)+B47</f>
        <v>0.006</v>
      </c>
      <c r="C43" s="3019"/>
      <c r="D43" s="2993"/>
      <c r="E43" s="2992"/>
      <c r="F43" s="2992"/>
      <c r="G43" s="2992"/>
      <c r="H43" s="2992"/>
      <c r="I43" s="2992"/>
      <c r="J43" s="2992"/>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8" t="s">
        <v>705</v>
      </c>
      <c r="B44" s="3039">
        <v>0.07</v>
      </c>
      <c r="C44" s="3023" t="s">
        <v>706</v>
      </c>
      <c r="D44" s="2993"/>
      <c r="E44" s="2992"/>
      <c r="F44" s="2992"/>
      <c r="G44" s="2992"/>
      <c r="H44" s="2992"/>
      <c r="I44" s="2992"/>
      <c r="J44" s="2992"/>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8" t="s">
        <v>707</v>
      </c>
      <c r="B45" s="3035">
        <v>0.03</v>
      </c>
      <c r="C45" s="3015" t="s">
        <v>708</v>
      </c>
      <c r="D45" s="2993"/>
      <c r="E45" s="2992"/>
      <c r="F45" s="2992"/>
      <c r="G45" s="2992"/>
      <c r="H45" s="2992"/>
      <c r="I45" s="2992"/>
      <c r="J45" s="2992"/>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8" t="s">
        <v>709</v>
      </c>
      <c r="B46" s="3035">
        <v>0.02</v>
      </c>
      <c r="C46" s="3015" t="s">
        <v>710</v>
      </c>
      <c r="D46" s="2993"/>
      <c r="E46" s="2992"/>
      <c r="F46" s="2992"/>
      <c r="G46" s="2992"/>
      <c r="H46" s="2992"/>
      <c r="I46" s="2992"/>
      <c r="J46" s="2992"/>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0" t="s">
        <v>711</v>
      </c>
      <c r="B47" s="3041"/>
      <c r="C47" s="3042" t="s">
        <v>712</v>
      </c>
      <c r="D47" s="2993"/>
      <c r="E47" s="2992"/>
      <c r="F47" s="2992"/>
      <c r="G47" s="2992"/>
      <c r="H47" s="2992"/>
      <c r="I47" s="2992"/>
      <c r="J47" s="2992"/>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3" t="s">
        <v>713</v>
      </c>
      <c r="B48" s="3044">
        <v>0.03</v>
      </c>
      <c r="C48" s="3015" t="s">
        <v>708</v>
      </c>
      <c r="D48" s="2993"/>
      <c r="E48" s="2992"/>
      <c r="F48" s="2992"/>
      <c r="G48" s="2992"/>
      <c r="H48" s="2992"/>
      <c r="I48" s="2992"/>
      <c r="J48" s="2992"/>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0" t="s">
        <v>714</v>
      </c>
      <c r="B49" s="3035">
        <v>0.0005</v>
      </c>
      <c r="C49" s="3015" t="s">
        <v>715</v>
      </c>
      <c r="D49" s="2993"/>
      <c r="E49" s="2992"/>
      <c r="F49" s="2992"/>
      <c r="G49" s="2992"/>
      <c r="H49" s="2992"/>
      <c r="I49" s="2992"/>
      <c r="J49" s="2992"/>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5" t="s">
        <v>716</v>
      </c>
      <c r="B50" s="3046">
        <v>0.012</v>
      </c>
      <c r="C50" s="1095"/>
      <c r="D50" s="2993"/>
      <c r="E50" s="2992"/>
      <c r="F50" s="2992"/>
      <c r="G50" s="2992"/>
      <c r="H50" s="2992"/>
      <c r="I50" s="2992"/>
      <c r="J50" s="2992"/>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3" t="s">
        <v>717</v>
      </c>
      <c r="B51" s="3047">
        <v>0.12</v>
      </c>
      <c r="C51" s="1095"/>
      <c r="D51" s="2993"/>
      <c r="E51" s="2992"/>
      <c r="F51" s="2992"/>
      <c r="G51" s="2992"/>
      <c r="H51" s="2992"/>
      <c r="I51" s="2992"/>
      <c r="J51" s="2992"/>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5" t="s">
        <v>718</v>
      </c>
      <c r="B52" s="3048">
        <f>SUMIF(A54:A63,B53,B54:B63)</f>
        <v>0</v>
      </c>
      <c r="C52" s="1095"/>
      <c r="D52" s="2993"/>
      <c r="E52" s="2992"/>
      <c r="F52" s="2992"/>
      <c r="G52" s="2992"/>
      <c r="H52" s="2992"/>
      <c r="I52" s="2992"/>
      <c r="J52" s="2992"/>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0" t="s">
        <v>719</v>
      </c>
      <c r="B53" s="3049"/>
      <c r="C53" s="1095" t="s">
        <v>720</v>
      </c>
      <c r="D53" s="3050" t="s">
        <v>721</v>
      </c>
      <c r="E53" s="2992"/>
      <c r="F53" s="2992"/>
      <c r="G53" s="2992"/>
      <c r="H53" s="2992"/>
      <c r="I53" s="2992"/>
      <c r="J53" s="2992"/>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1" t="s">
        <v>722</v>
      </c>
      <c r="B54" s="3052"/>
      <c r="C54" s="1095">
        <v>30</v>
      </c>
      <c r="D54" s="2993"/>
      <c r="E54" s="2992"/>
      <c r="F54" s="2992"/>
      <c r="G54" s="2992"/>
      <c r="H54" s="2992"/>
      <c r="I54" s="2992"/>
      <c r="J54" s="2992"/>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1" t="s">
        <v>723</v>
      </c>
      <c r="B55" s="3052"/>
      <c r="C55" s="1095">
        <v>24</v>
      </c>
      <c r="D55" s="2993"/>
      <c r="E55" s="2992"/>
      <c r="F55" s="2992"/>
      <c r="G55" s="2992"/>
      <c r="H55" s="2992"/>
      <c r="I55" s="3087"/>
      <c r="J55" s="2992"/>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1" t="s">
        <v>724</v>
      </c>
      <c r="B56" s="3052"/>
      <c r="C56" s="1095">
        <v>18</v>
      </c>
      <c r="D56" s="2993"/>
      <c r="E56" s="2992"/>
      <c r="F56" s="2992"/>
      <c r="G56" s="2992"/>
      <c r="H56" s="2992"/>
      <c r="I56" s="2992"/>
      <c r="J56" s="2992"/>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1" t="s">
        <v>725</v>
      </c>
      <c r="B57" s="3052"/>
      <c r="C57" s="1095">
        <v>12</v>
      </c>
      <c r="D57" s="2993"/>
      <c r="E57" s="2992"/>
      <c r="F57" s="2992"/>
      <c r="G57" s="2992"/>
      <c r="H57" s="2992"/>
      <c r="I57" s="2992"/>
      <c r="J57" s="2992"/>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1" t="s">
        <v>726</v>
      </c>
      <c r="B58" s="3052"/>
      <c r="C58" s="1095">
        <v>3</v>
      </c>
      <c r="D58" s="2993"/>
      <c r="E58" s="2992"/>
      <c r="F58" s="2992"/>
      <c r="G58" s="2992"/>
      <c r="H58" s="2992"/>
      <c r="I58" s="2992"/>
      <c r="J58" s="2992"/>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1" t="s">
        <v>727</v>
      </c>
      <c r="B59" s="3052"/>
      <c r="C59" s="1095">
        <v>1.5</v>
      </c>
      <c r="D59" s="2993"/>
      <c r="E59" s="2992"/>
      <c r="F59" s="2992"/>
      <c r="G59" s="2992"/>
      <c r="H59" s="2992"/>
      <c r="I59" s="2992"/>
      <c r="J59" s="2992"/>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1" t="s">
        <v>728</v>
      </c>
      <c r="B60" s="3052"/>
      <c r="C60" s="2992"/>
      <c r="D60" s="2993"/>
      <c r="E60" s="2992"/>
      <c r="F60" s="2992"/>
      <c r="G60" s="2992"/>
      <c r="H60" s="2992"/>
      <c r="I60" s="2992"/>
      <c r="J60" s="2992"/>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1" t="s">
        <v>729</v>
      </c>
      <c r="B61" s="3052"/>
      <c r="C61" s="2992"/>
      <c r="D61" s="2993"/>
      <c r="E61" s="2992"/>
      <c r="F61" s="2992"/>
      <c r="G61" s="2992"/>
      <c r="H61" s="2992"/>
      <c r="I61" s="2992"/>
      <c r="J61" s="2992"/>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1" t="s">
        <v>730</v>
      </c>
      <c r="B62" s="3052"/>
      <c r="C62" s="2992"/>
      <c r="D62" s="2993"/>
      <c r="E62" s="2992"/>
      <c r="F62" s="2992"/>
      <c r="G62" s="2992"/>
      <c r="H62" s="2992"/>
      <c r="I62" s="2992"/>
      <c r="J62" s="2992"/>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3" t="s">
        <v>731</v>
      </c>
      <c r="B63" s="3054"/>
      <c r="C63" s="2992"/>
      <c r="D63" s="2993"/>
      <c r="E63" s="2992"/>
      <c r="F63" s="2992"/>
      <c r="G63" s="2992"/>
      <c r="H63" s="2992"/>
      <c r="I63" s="2992"/>
      <c r="J63" s="2992"/>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5"/>
      <c r="B64" s="2409"/>
      <c r="C64" s="2409"/>
      <c r="D64" s="2990"/>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5"/>
      <c r="B65" s="2409"/>
      <c r="C65" s="2409"/>
      <c r="D65" s="2990"/>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5"/>
      <c r="B66" s="2409"/>
      <c r="C66" s="2409"/>
      <c r="D66" s="2990"/>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5"/>
      <c r="B67" s="2409"/>
      <c r="C67" s="2409"/>
      <c r="D67" s="2990"/>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5"/>
      <c r="B68" s="2409"/>
      <c r="C68" s="2409"/>
      <c r="D68" s="2990"/>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3"/>
      <c r="K69" s="686"/>
      <c r="L69" s="686"/>
    </row>
    <row r="70" s="2481" customFormat="1" spans="1:12">
      <c r="A70" s="2842"/>
      <c r="D70" s="3153"/>
      <c r="K70" s="686"/>
      <c r="L70" s="686"/>
    </row>
    <row r="71" s="2481" customFormat="1" spans="1:12">
      <c r="A71" s="2842"/>
      <c r="D71" s="3153"/>
      <c r="K71" s="686"/>
      <c r="L71" s="686"/>
    </row>
    <row r="72" s="2481" customFormat="1" spans="1:12">
      <c r="A72" s="2842"/>
      <c r="D72" s="3153"/>
      <c r="K72" s="686"/>
      <c r="L72" s="686"/>
    </row>
    <row r="73" s="2481" customFormat="1" spans="1:12">
      <c r="A73" s="2842"/>
      <c r="D73" s="3153"/>
      <c r="K73" s="686"/>
      <c r="L73" s="686"/>
    </row>
    <row r="74" s="2481" customFormat="1" spans="1:12">
      <c r="A74" s="2842"/>
      <c r="D74" s="3153"/>
      <c r="K74" s="686"/>
      <c r="L74" s="686"/>
    </row>
    <row r="75" s="2481" customFormat="1" spans="1:12">
      <c r="A75" s="2842"/>
      <c r="D75" s="3153"/>
      <c r="K75" s="686"/>
      <c r="L75" s="686"/>
    </row>
    <row r="76" s="2481" customFormat="1" spans="1:12">
      <c r="A76" s="2842"/>
      <c r="D76" s="3153"/>
      <c r="K76" s="686"/>
      <c r="L76" s="686"/>
    </row>
    <row r="77" s="2481" customFormat="1" spans="1:12">
      <c r="A77" s="2842"/>
      <c r="D77" s="3153"/>
      <c r="K77" s="686"/>
      <c r="L77" s="686"/>
    </row>
    <row r="78" s="2481" customFormat="1" spans="1:12">
      <c r="A78" s="2842"/>
      <c r="D78" s="3153"/>
      <c r="K78" s="686"/>
      <c r="L78" s="686"/>
    </row>
    <row r="79" s="2481" customFormat="1" spans="1:12">
      <c r="A79" s="2842"/>
      <c r="D79" s="3153"/>
      <c r="K79" s="686"/>
      <c r="L79" s="686"/>
    </row>
    <row r="80" s="2481" customFormat="1" spans="1:12">
      <c r="A80" s="2842"/>
      <c r="D80" s="3153"/>
      <c r="K80" s="686"/>
      <c r="L80" s="686"/>
    </row>
    <row r="81" s="2481" customFormat="1" spans="1:12">
      <c r="A81" s="2842"/>
      <c r="D81" s="3153"/>
      <c r="K81" s="686"/>
      <c r="L81" s="686"/>
    </row>
    <row r="82" s="2481" customFormat="1" spans="1:12">
      <c r="A82" s="2842"/>
      <c r="D82" s="3153"/>
      <c r="K82" s="686"/>
      <c r="L82" s="686"/>
    </row>
    <row r="83" s="2481" customFormat="1" spans="1:12">
      <c r="A83" s="2842"/>
      <c r="D83" s="3153"/>
      <c r="K83" s="686"/>
      <c r="L83" s="686"/>
    </row>
    <row r="84" s="2481" customFormat="1" spans="1:12">
      <c r="A84" s="2842"/>
      <c r="D84" s="3153"/>
      <c r="K84" s="686"/>
      <c r="L84" s="686"/>
    </row>
    <row r="85" s="2481" customFormat="1" spans="1:12">
      <c r="A85" s="2842"/>
      <c r="D85" s="3153"/>
      <c r="K85" s="686"/>
      <c r="L85" s="686"/>
    </row>
    <row r="86" s="2481" customFormat="1" spans="1:12">
      <c r="A86" s="2842"/>
      <c r="D86" s="3153"/>
      <c r="K86" s="686"/>
      <c r="L86" s="686"/>
    </row>
    <row r="87" s="2481" customFormat="1" spans="1:12">
      <c r="A87" s="2842"/>
      <c r="D87" s="3153"/>
      <c r="K87" s="686"/>
      <c r="L87" s="686"/>
    </row>
    <row r="88" s="2481" customFormat="1" spans="1:12">
      <c r="A88" s="2842"/>
      <c r="D88" s="3153"/>
      <c r="K88" s="686"/>
      <c r="L88" s="686"/>
    </row>
    <row r="89" s="2481" customFormat="1" spans="1:12">
      <c r="A89" s="2842"/>
      <c r="D89" s="3153"/>
      <c r="K89" s="686"/>
      <c r="L89" s="686"/>
    </row>
    <row r="90" s="2481" customFormat="1" spans="1:12">
      <c r="A90" s="2842"/>
      <c r="D90" s="3153"/>
      <c r="K90" s="686"/>
      <c r="L90" s="686"/>
    </row>
    <row r="91" s="2481" customFormat="1" spans="1:12">
      <c r="A91" s="2842"/>
      <c r="D91" s="3153"/>
      <c r="K91" s="686"/>
      <c r="L91" s="686"/>
    </row>
    <row r="92" s="2481" customFormat="1" spans="1:12">
      <c r="A92" s="2842"/>
      <c r="D92" s="3153"/>
      <c r="K92" s="686"/>
      <c r="L92" s="686"/>
    </row>
    <row r="93" s="2481" customFormat="1" spans="1:12">
      <c r="A93" s="2842"/>
      <c r="D93" s="3153"/>
      <c r="K93" s="686"/>
      <c r="L93" s="686"/>
    </row>
    <row r="94" s="2481" customFormat="1" spans="1:12">
      <c r="A94" s="2842"/>
      <c r="D94" s="3153"/>
      <c r="K94" s="686"/>
      <c r="L94" s="686"/>
    </row>
    <row r="95" s="2481" customFormat="1" spans="1:12">
      <c r="A95" s="2842"/>
      <c r="D95" s="3153"/>
      <c r="K95" s="686"/>
      <c r="L95" s="686"/>
    </row>
    <row r="96" s="2481" customFormat="1" spans="1:12">
      <c r="A96" s="2842"/>
      <c r="D96" s="3153"/>
      <c r="K96" s="686"/>
      <c r="L96" s="686"/>
    </row>
    <row r="97" s="2481" customFormat="1" spans="1:12">
      <c r="A97" s="2842"/>
      <c r="D97" s="3153"/>
      <c r="K97" s="686"/>
      <c r="L97" s="686"/>
    </row>
    <row r="98" s="2481" customFormat="1" spans="1:12">
      <c r="A98" s="2842"/>
      <c r="D98" s="3153"/>
      <c r="K98" s="686"/>
      <c r="L98" s="686"/>
    </row>
    <row r="99" s="2481" customFormat="1" spans="1:12">
      <c r="A99" s="2842"/>
      <c r="D99" s="3153"/>
      <c r="K99" s="686"/>
      <c r="L99" s="686"/>
    </row>
    <row r="100" s="2481" customFormat="1" spans="1:12">
      <c r="A100" s="2842"/>
      <c r="D100" s="3153"/>
      <c r="K100" s="686"/>
      <c r="L100" s="686"/>
    </row>
    <row r="101" s="2481" customFormat="1" spans="1:12">
      <c r="A101" s="2842"/>
      <c r="D101" s="3153"/>
      <c r="K101" s="686"/>
      <c r="L101" s="686"/>
    </row>
    <row r="102" s="2481" customFormat="1" spans="1:12">
      <c r="A102" s="2842"/>
      <c r="D102" s="3153"/>
      <c r="K102" s="686"/>
      <c r="L102" s="686"/>
    </row>
    <row r="103" s="2481" customFormat="1" spans="1:12">
      <c r="A103" s="2842"/>
      <c r="D103" s="3153"/>
      <c r="K103" s="686"/>
      <c r="L103" s="686"/>
    </row>
    <row r="104" s="2481" customFormat="1" spans="1:12">
      <c r="A104" s="2842"/>
      <c r="D104" s="3153"/>
      <c r="K104" s="686"/>
      <c r="L104" s="686"/>
    </row>
    <row r="105" s="2481" customFormat="1" spans="1:12">
      <c r="A105" s="2842"/>
      <c r="D105" s="3153"/>
      <c r="K105" s="686"/>
      <c r="L105" s="686"/>
    </row>
    <row r="106" s="2481" customFormat="1" spans="1:12">
      <c r="A106" s="2842"/>
      <c r="D106" s="3153"/>
      <c r="K106" s="686"/>
      <c r="L106" s="686"/>
    </row>
    <row r="107" s="2481" customFormat="1" spans="1:12">
      <c r="A107" s="2842"/>
      <c r="D107" s="3153"/>
      <c r="K107" s="686"/>
      <c r="L107" s="686"/>
    </row>
    <row r="108" s="2481" customFormat="1" spans="1:12">
      <c r="A108" s="2842"/>
      <c r="D108" s="3153"/>
      <c r="K108" s="686"/>
      <c r="L108" s="686"/>
    </row>
    <row r="109" s="2481" customFormat="1" spans="1:12">
      <c r="A109" s="2842"/>
      <c r="D109" s="3153"/>
      <c r="K109" s="686"/>
      <c r="L109" s="686"/>
    </row>
    <row r="110" s="2481" customFormat="1" spans="1:12">
      <c r="A110" s="2842"/>
      <c r="D110" s="3153"/>
      <c r="K110" s="686"/>
      <c r="L110" s="686"/>
    </row>
    <row r="111" s="2481" customFormat="1" spans="1:12">
      <c r="A111" s="2842"/>
      <c r="D111" s="3153"/>
      <c r="K111" s="686"/>
      <c r="L111" s="686"/>
    </row>
    <row r="112" s="2481" customFormat="1" spans="1:12">
      <c r="A112" s="2842"/>
      <c r="D112" s="3153"/>
      <c r="K112" s="686"/>
      <c r="L112" s="686"/>
    </row>
    <row r="113" s="2481" customFormat="1" spans="1:12">
      <c r="A113" s="2842"/>
      <c r="D113" s="3153"/>
      <c r="K113" s="686"/>
      <c r="L113" s="686"/>
    </row>
    <row r="114" s="2481" customFormat="1" spans="1:12">
      <c r="A114" s="2842"/>
      <c r="D114" s="3153"/>
      <c r="K114" s="686"/>
      <c r="L114" s="686"/>
    </row>
    <row r="115" s="2481" customFormat="1" spans="1:12">
      <c r="A115" s="2842"/>
      <c r="D115" s="3153"/>
      <c r="K115" s="686"/>
      <c r="L115" s="686"/>
    </row>
    <row r="116" s="2481" customFormat="1" spans="1:12">
      <c r="A116" s="2842"/>
      <c r="D116" s="3153"/>
      <c r="K116" s="686"/>
      <c r="L116" s="686"/>
    </row>
    <row r="117" s="2481" customFormat="1" spans="1:12">
      <c r="A117" s="2842"/>
      <c r="D117" s="3153"/>
      <c r="K117" s="686"/>
      <c r="L117" s="686"/>
    </row>
    <row r="118" s="2481" customFormat="1" spans="1:12">
      <c r="A118" s="2842"/>
      <c r="D118" s="3153"/>
      <c r="K118" s="686"/>
      <c r="L118" s="686"/>
    </row>
    <row r="119" s="2481" customFormat="1" spans="1:12">
      <c r="A119" s="2842"/>
      <c r="D119" s="3153"/>
      <c r="K119" s="686"/>
      <c r="L119" s="686"/>
    </row>
    <row r="120" s="2481" customFormat="1" spans="1:12">
      <c r="A120" s="2842"/>
      <c r="D120" s="3153"/>
      <c r="K120" s="686"/>
      <c r="L120" s="686"/>
    </row>
    <row r="121" s="2481" customFormat="1" spans="1:12">
      <c r="A121" s="2842"/>
      <c r="D121" s="3153"/>
      <c r="K121" s="686"/>
      <c r="L121" s="686"/>
    </row>
    <row r="122" s="2481" customFormat="1" spans="1:12">
      <c r="A122" s="2842"/>
      <c r="D122" s="3153"/>
      <c r="K122" s="686"/>
      <c r="L122" s="686"/>
    </row>
    <row r="123" s="2481" customFormat="1" spans="1:12">
      <c r="A123" s="2842"/>
      <c r="D123" s="3153"/>
      <c r="K123" s="686"/>
      <c r="L123" s="686"/>
    </row>
    <row r="124" s="2481" customFormat="1" spans="1:12">
      <c r="A124" s="2842"/>
      <c r="D124" s="3153"/>
      <c r="K124" s="686"/>
      <c r="L124" s="686"/>
    </row>
    <row r="125" s="2481" customFormat="1" spans="1:12">
      <c r="A125" s="2842"/>
      <c r="D125" s="3153"/>
      <c r="K125" s="686"/>
      <c r="L125" s="686"/>
    </row>
    <row r="126" s="2481" customFormat="1" spans="1:12">
      <c r="A126" s="2842"/>
      <c r="D126" s="3153"/>
      <c r="K126" s="686"/>
      <c r="L126" s="686"/>
    </row>
    <row r="127" s="2481" customFormat="1" spans="1:12">
      <c r="A127" s="2842"/>
      <c r="D127" s="3153"/>
      <c r="K127" s="686"/>
      <c r="L127" s="686"/>
    </row>
    <row r="128" s="2481" customFormat="1" spans="1:12">
      <c r="A128" s="2842"/>
      <c r="D128" s="3153"/>
      <c r="K128" s="686"/>
      <c r="L128" s="686"/>
    </row>
    <row r="129" s="2481" customFormat="1" spans="1:12">
      <c r="A129" s="2842"/>
      <c r="D129" s="3153"/>
      <c r="K129" s="686"/>
      <c r="L129" s="686"/>
    </row>
    <row r="130" s="2481" customFormat="1" spans="1:12">
      <c r="A130" s="2842"/>
      <c r="D130" s="3153"/>
      <c r="K130" s="686"/>
      <c r="L130" s="686"/>
    </row>
    <row r="131" s="2481" customFormat="1" spans="1:12">
      <c r="A131" s="2842"/>
      <c r="D131" s="3153"/>
      <c r="K131" s="686"/>
      <c r="L131" s="686"/>
    </row>
    <row r="132" s="2481" customFormat="1" spans="1:12">
      <c r="A132" s="2842"/>
      <c r="D132" s="3153"/>
      <c r="K132" s="686"/>
      <c r="L132" s="686"/>
    </row>
    <row r="133" s="2481" customFormat="1" spans="1:12">
      <c r="A133" s="2842"/>
      <c r="D133" s="3153"/>
      <c r="K133" s="686"/>
      <c r="L133" s="686"/>
    </row>
    <row r="134" s="2949" customFormat="1" spans="1:12">
      <c r="A134" s="3154"/>
      <c r="D134" s="3155"/>
      <c r="K134" s="585"/>
      <c r="L134" s="585"/>
    </row>
    <row r="135" s="2949" customFormat="1" spans="1:12">
      <c r="A135" s="3154"/>
      <c r="D135" s="3155"/>
      <c r="K135" s="585"/>
      <c r="L135" s="585"/>
    </row>
    <row r="136" s="2949" customFormat="1" spans="1:12">
      <c r="A136" s="3154"/>
      <c r="D136" s="3155"/>
      <c r="K136" s="585"/>
      <c r="L136" s="585"/>
    </row>
    <row r="137" s="2949" customFormat="1" spans="1:12">
      <c r="A137" s="3154"/>
      <c r="D137" s="3155"/>
      <c r="K137" s="585"/>
      <c r="L137" s="585"/>
    </row>
    <row r="138" s="2949" customFormat="1" spans="1:12">
      <c r="A138" s="3154"/>
      <c r="D138" s="3155"/>
      <c r="K138" s="585"/>
      <c r="L138" s="585"/>
    </row>
    <row r="139" s="2949" customFormat="1" spans="1:12">
      <c r="A139" s="3154"/>
      <c r="D139" s="3155"/>
      <c r="K139" s="585"/>
      <c r="L139" s="585"/>
    </row>
    <row r="140" s="2949" customFormat="1" spans="1:12">
      <c r="A140" s="3154"/>
      <c r="D140" s="3155"/>
      <c r="K140" s="585"/>
      <c r="L140" s="585"/>
    </row>
    <row r="141" s="2949" customFormat="1" spans="1:12">
      <c r="A141" s="3154"/>
      <c r="D141" s="3155"/>
      <c r="K141" s="585"/>
      <c r="L141" s="585"/>
    </row>
    <row r="142" s="2949" customFormat="1" spans="1:12">
      <c r="A142" s="3154"/>
      <c r="D142" s="3155"/>
      <c r="K142" s="585"/>
      <c r="L142" s="585"/>
    </row>
    <row r="143" s="2949" customFormat="1" spans="1:12">
      <c r="A143" s="3154"/>
      <c r="D143" s="3155"/>
      <c r="K143" s="585"/>
      <c r="L143" s="585"/>
    </row>
    <row r="144" s="2949" customFormat="1" spans="1:12">
      <c r="A144" s="3154"/>
      <c r="D144" s="3155"/>
      <c r="K144" s="585"/>
      <c r="L144" s="585"/>
    </row>
    <row r="145" s="2949" customFormat="1" spans="1:12">
      <c r="A145" s="3154"/>
      <c r="D145" s="3155"/>
      <c r="K145" s="585"/>
      <c r="L145" s="585"/>
    </row>
    <row r="146" s="2949" customFormat="1" spans="1:12">
      <c r="A146" s="3154"/>
      <c r="D146" s="3155"/>
      <c r="K146" s="585"/>
      <c r="L146" s="585"/>
    </row>
    <row r="147" s="2949" customFormat="1" spans="1:12">
      <c r="A147" s="3154"/>
      <c r="D147" s="3155"/>
      <c r="K147" s="585"/>
      <c r="L147" s="585"/>
    </row>
    <row r="148" s="2949" customFormat="1" spans="1:12">
      <c r="A148" s="3154"/>
      <c r="D148" s="3155"/>
      <c r="K148" s="585"/>
      <c r="L148" s="585"/>
    </row>
    <row r="149" s="2949" customFormat="1" spans="1:12">
      <c r="A149" s="3154"/>
      <c r="D149" s="3155"/>
      <c r="K149" s="585"/>
      <c r="L149" s="585"/>
    </row>
    <row r="150" s="2949" customFormat="1" spans="1:12">
      <c r="A150" s="3154"/>
      <c r="D150" s="3155"/>
      <c r="K150" s="585"/>
      <c r="L150" s="585"/>
    </row>
    <row r="151" s="2949" customFormat="1" spans="1:12">
      <c r="A151" s="3154"/>
      <c r="D151" s="3155"/>
      <c r="K151" s="585"/>
      <c r="L151" s="585"/>
    </row>
    <row r="152" s="2949" customFormat="1" spans="1:12">
      <c r="A152" s="3154"/>
      <c r="D152" s="3155"/>
      <c r="K152" s="585"/>
      <c r="L152" s="585"/>
    </row>
    <row r="153" s="2949" customFormat="1" spans="1:12">
      <c r="A153" s="3154"/>
      <c r="D153" s="3155"/>
      <c r="K153" s="585"/>
      <c r="L153" s="585"/>
    </row>
    <row r="154" s="2949" customFormat="1" spans="1:12">
      <c r="A154" s="3154"/>
      <c r="D154" s="3155"/>
      <c r="K154" s="585"/>
      <c r="L154" s="585"/>
    </row>
    <row r="155" s="2949" customFormat="1" spans="1:12">
      <c r="A155" s="3154"/>
      <c r="D155" s="3155"/>
      <c r="K155" s="585"/>
      <c r="L155" s="585"/>
    </row>
    <row r="156" s="2949" customFormat="1" spans="1:12">
      <c r="A156" s="3154"/>
      <c r="D156" s="3155"/>
      <c r="K156" s="585"/>
      <c r="L156" s="585"/>
    </row>
    <row r="157" s="2949" customFormat="1" spans="1:12">
      <c r="A157" s="3154"/>
      <c r="D157" s="3155"/>
      <c r="K157" s="585"/>
      <c r="L157" s="585"/>
    </row>
    <row r="158" s="2949" customFormat="1" spans="1:12">
      <c r="A158" s="3154"/>
      <c r="D158" s="3155"/>
      <c r="K158" s="585"/>
      <c r="L158" s="585"/>
    </row>
    <row r="159" s="2949" customFormat="1" spans="1:12">
      <c r="A159" s="3154"/>
      <c r="D159" s="3155"/>
      <c r="K159" s="585"/>
      <c r="L159" s="585"/>
    </row>
    <row r="160" s="2949" customFormat="1" spans="1:12">
      <c r="A160" s="3154"/>
      <c r="D160" s="3155"/>
      <c r="K160" s="585"/>
      <c r="L160" s="585"/>
    </row>
    <row r="161" s="2949" customFormat="1" spans="1:12">
      <c r="A161" s="3154"/>
      <c r="D161" s="3155"/>
      <c r="K161" s="585"/>
      <c r="L161" s="585"/>
    </row>
    <row r="162" s="2949" customFormat="1" spans="1:12">
      <c r="A162" s="3154"/>
      <c r="D162" s="3155"/>
      <c r="K162" s="585"/>
      <c r="L162" s="585"/>
    </row>
    <row r="163" s="2949" customFormat="1" spans="1:12">
      <c r="A163" s="3154"/>
      <c r="D163" s="3155"/>
      <c r="K163" s="585"/>
      <c r="L163" s="585"/>
    </row>
    <row r="164" s="2949" customFormat="1" spans="1:12">
      <c r="A164" s="3154"/>
      <c r="D164" s="3155"/>
      <c r="K164" s="585"/>
      <c r="L164" s="585"/>
    </row>
    <row r="165" s="2949" customFormat="1" spans="1:12">
      <c r="A165" s="3154"/>
      <c r="D165" s="3155"/>
      <c r="K165" s="585"/>
      <c r="L165" s="585"/>
    </row>
    <row r="166" s="2949" customFormat="1" spans="1:12">
      <c r="A166" s="3154"/>
      <c r="D166" s="3155"/>
      <c r="K166" s="585"/>
      <c r="L166" s="585"/>
    </row>
    <row r="167" s="2949" customFormat="1" spans="1:12">
      <c r="A167" s="3154"/>
      <c r="D167" s="3155"/>
      <c r="K167" s="585"/>
      <c r="L167" s="585"/>
    </row>
    <row r="168" s="2949" customFormat="1" spans="1:12">
      <c r="A168" s="3154"/>
      <c r="D168" s="3155"/>
      <c r="K168" s="585"/>
      <c r="L168" s="585"/>
    </row>
    <row r="169" s="2949" customFormat="1" spans="1:12">
      <c r="A169" s="3154"/>
      <c r="D169" s="3155"/>
      <c r="K169" s="585"/>
      <c r="L169" s="585"/>
    </row>
    <row r="170" s="2949" customFormat="1" spans="1:12">
      <c r="A170" s="3154"/>
      <c r="D170" s="3155"/>
      <c r="K170" s="585"/>
      <c r="L170" s="585"/>
    </row>
    <row r="171" s="2949" customFormat="1" spans="1:12">
      <c r="A171" s="3154"/>
      <c r="D171" s="3155"/>
      <c r="K171" s="585"/>
      <c r="L171" s="585"/>
    </row>
    <row r="172" s="2949" customFormat="1" spans="1:12">
      <c r="A172" s="3154"/>
      <c r="D172" s="3155"/>
      <c r="K172" s="585"/>
      <c r="L172" s="585"/>
    </row>
    <row r="173" s="2949" customFormat="1" spans="1:12">
      <c r="A173" s="3154"/>
      <c r="D173" s="3155"/>
      <c r="K173" s="585"/>
      <c r="L173" s="585"/>
    </row>
    <row r="174" s="2949" customFormat="1" spans="1:12">
      <c r="A174" s="3154"/>
      <c r="D174" s="315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I25" sqref="I25"/>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9" t="s">
        <v>733</v>
      </c>
      <c r="Q2" s="2939">
        <v>3.8</v>
      </c>
      <c r="R2" s="2939" t="s">
        <v>734</v>
      </c>
      <c r="S2" s="2939">
        <v>0.8</v>
      </c>
      <c r="T2" s="2943">
        <f>3.8+S2*2</f>
        <v>5.4</v>
      </c>
    </row>
    <row r="3" spans="2:20">
      <c r="B3" s="2938" t="s">
        <v>733</v>
      </c>
      <c r="C3" s="2938">
        <v>3.8</v>
      </c>
      <c r="I3" s="2938" t="s">
        <v>735</v>
      </c>
      <c r="J3" s="2938">
        <v>1720</v>
      </c>
      <c r="K3" s="2938"/>
      <c r="P3" s="1319" t="s">
        <v>736</v>
      </c>
      <c r="Q3" s="1319">
        <v>3</v>
      </c>
      <c r="R3" s="1319" t="s">
        <v>737</v>
      </c>
      <c r="S3" s="1319">
        <f>S2</f>
        <v>0.8</v>
      </c>
      <c r="T3" s="2943">
        <f>Q3+S3</f>
        <v>3.8</v>
      </c>
    </row>
    <row r="4" spans="2:20">
      <c r="B4" s="2938" t="s">
        <v>736</v>
      </c>
      <c r="C4" s="2938">
        <v>3</v>
      </c>
      <c r="I4" s="2938" t="s">
        <v>738</v>
      </c>
      <c r="J4" s="2938">
        <v>-40</v>
      </c>
      <c r="K4" s="2938"/>
      <c r="S4" s="1319" t="s">
        <v>739</v>
      </c>
      <c r="T4" s="2943">
        <f>T2*T3</f>
        <v>20.52</v>
      </c>
    </row>
    <row r="5" spans="2:11">
      <c r="B5" s="1319" t="s">
        <v>740</v>
      </c>
      <c r="C5" s="1319">
        <f>C3*C4</f>
        <v>11.4</v>
      </c>
      <c r="I5" s="2938" t="s">
        <v>741</v>
      </c>
      <c r="J5" s="2938">
        <v>40</v>
      </c>
      <c r="K5" s="2938"/>
    </row>
    <row r="6" spans="2:20">
      <c r="B6" s="1319" t="s">
        <v>742</v>
      </c>
      <c r="C6" s="1319">
        <f>(C3+C4)*2</f>
        <v>13.6</v>
      </c>
      <c r="I6" s="2938" t="s">
        <v>743</v>
      </c>
      <c r="J6" s="2938">
        <f>ROUND(1-(2024-1985)/50*(1-2%),2)</f>
        <v>0.24</v>
      </c>
      <c r="K6" s="2942">
        <v>0.2</v>
      </c>
      <c r="P6" s="1319" t="s">
        <v>744</v>
      </c>
      <c r="Q6" s="1319" t="s">
        <v>745</v>
      </c>
      <c r="R6" s="1319" t="s">
        <v>746</v>
      </c>
      <c r="S6" s="1319" t="s">
        <v>740</v>
      </c>
      <c r="T6" s="1319">
        <f>1.8*0.72</f>
        <v>1.296</v>
      </c>
    </row>
    <row r="7" spans="2:20">
      <c r="B7" s="2938" t="s">
        <v>747</v>
      </c>
      <c r="C7" s="2938">
        <v>2.2</v>
      </c>
      <c r="I7" s="2938" t="s">
        <v>748</v>
      </c>
      <c r="J7" s="2938">
        <v>1.19</v>
      </c>
      <c r="K7" s="2942">
        <v>0.8</v>
      </c>
      <c r="S7" s="1319" t="s">
        <v>749</v>
      </c>
      <c r="T7" s="2943">
        <f>ROUNDUP(T4/T6*(1+T8),0)</f>
        <v>17</v>
      </c>
    </row>
    <row r="8" spans="2:20">
      <c r="B8" s="2938" t="s">
        <v>750</v>
      </c>
      <c r="C8" s="2938">
        <v>0.691</v>
      </c>
      <c r="D8" s="1319" t="s">
        <v>751</v>
      </c>
      <c r="I8" s="2938" t="s">
        <v>752</v>
      </c>
      <c r="J8" s="2938">
        <f>ROUND((J6*K6+J7*K7),2)</f>
        <v>1</v>
      </c>
      <c r="K8" s="2938"/>
      <c r="S8" s="1319" t="s">
        <v>753</v>
      </c>
      <c r="T8" s="2944">
        <v>0.05</v>
      </c>
    </row>
    <row r="9" spans="2:11">
      <c r="B9" s="2938" t="s">
        <v>754</v>
      </c>
      <c r="C9" s="2938">
        <v>20</v>
      </c>
      <c r="D9" s="1319" t="s">
        <v>755</v>
      </c>
      <c r="I9" s="2938" t="s">
        <v>756</v>
      </c>
      <c r="J9" s="2938">
        <v>1.3052</v>
      </c>
      <c r="K9" s="2938"/>
    </row>
    <row r="10" spans="2:11">
      <c r="B10" s="2939" t="s">
        <v>757</v>
      </c>
      <c r="C10" s="2939">
        <f>C5/C9</f>
        <v>0.57</v>
      </c>
      <c r="I10" s="2938" t="s">
        <v>758</v>
      </c>
      <c r="J10" s="2938">
        <v>0</v>
      </c>
      <c r="K10" s="2938"/>
    </row>
    <row r="11" spans="2:20">
      <c r="B11" s="2938" t="s">
        <v>759</v>
      </c>
      <c r="C11" s="2938">
        <v>0.5</v>
      </c>
      <c r="I11" s="2938" t="s">
        <v>581</v>
      </c>
      <c r="J11" s="2938">
        <f>'数据-基础表'!I13</f>
        <v>684.1</v>
      </c>
      <c r="K11" s="2938"/>
      <c r="S11" s="1319" t="s">
        <v>760</v>
      </c>
      <c r="T11" s="2943">
        <f>ROUND(23.5*T7,0)</f>
        <v>400</v>
      </c>
    </row>
    <row r="12" spans="2:20">
      <c r="B12" s="2938" t="s">
        <v>761</v>
      </c>
      <c r="C12" s="2938">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5">
        <f>T11+T12</f>
        <v>1200</v>
      </c>
    </row>
    <row r="14" spans="2:10">
      <c r="B14" s="2938" t="s">
        <v>770</v>
      </c>
      <c r="C14" s="2938">
        <v>1.3027</v>
      </c>
      <c r="D14" s="1319" t="s">
        <v>771</v>
      </c>
      <c r="I14" s="1319" t="s">
        <v>772</v>
      </c>
      <c r="J14" s="1319">
        <f>ROUND(J13/J11,0)</f>
        <v>2245</v>
      </c>
    </row>
    <row r="15" spans="1:3">
      <c r="A15" s="2940">
        <v>1</v>
      </c>
      <c r="B15" s="2941" t="s">
        <v>773</v>
      </c>
      <c r="C15" s="2941">
        <v>4.64</v>
      </c>
    </row>
    <row r="16" spans="1:3">
      <c r="A16" s="2940">
        <v>2</v>
      </c>
      <c r="B16" s="2941" t="s">
        <v>774</v>
      </c>
      <c r="C16" s="2941">
        <v>3.08</v>
      </c>
    </row>
    <row r="17" spans="1:3">
      <c r="A17" s="2940">
        <v>3</v>
      </c>
      <c r="B17" s="2941" t="s">
        <v>775</v>
      </c>
      <c r="C17" s="2941">
        <v>40.1</v>
      </c>
    </row>
    <row r="18" spans="1:3">
      <c r="A18" s="2940"/>
      <c r="B18" s="2937" t="s">
        <v>776</v>
      </c>
      <c r="C18" s="2937">
        <f>ROUND(1.7647*C6/C5,6)</f>
        <v>2.105256</v>
      </c>
    </row>
    <row r="19" spans="1:3">
      <c r="A19" s="2940"/>
      <c r="B19" s="2941" t="s">
        <v>777</v>
      </c>
      <c r="C19" s="2941">
        <v>1.1</v>
      </c>
    </row>
    <row r="20" spans="1:3">
      <c r="A20" s="2940"/>
      <c r="B20" s="2937" t="s">
        <v>778</v>
      </c>
      <c r="C20" s="2937">
        <f>ROUND(C17*C18*C19,4)</f>
        <v>92.8628</v>
      </c>
    </row>
    <row r="21" spans="1:3">
      <c r="A21" s="2940">
        <v>4</v>
      </c>
      <c r="B21" s="2941" t="s">
        <v>779</v>
      </c>
      <c r="C21" s="2941">
        <v>5.04</v>
      </c>
    </row>
    <row r="22" spans="1:3">
      <c r="A22" s="2940">
        <v>5</v>
      </c>
      <c r="B22" s="2941" t="s">
        <v>780</v>
      </c>
      <c r="C22" s="2941">
        <v>0</v>
      </c>
    </row>
    <row r="23" spans="1:3">
      <c r="A23" s="2940">
        <v>6</v>
      </c>
      <c r="B23" s="2941" t="s">
        <v>781</v>
      </c>
      <c r="C23" s="2941">
        <v>5.28</v>
      </c>
    </row>
    <row r="24" spans="1:3">
      <c r="A24" s="2940">
        <v>7</v>
      </c>
      <c r="B24" s="2941" t="s">
        <v>667</v>
      </c>
      <c r="C24" s="2941">
        <v>0</v>
      </c>
    </row>
    <row r="25" spans="1:3">
      <c r="A25" s="2940">
        <v>8</v>
      </c>
      <c r="B25" s="2941" t="s">
        <v>670</v>
      </c>
      <c r="C25" s="2941">
        <v>0</v>
      </c>
    </row>
    <row r="26" spans="1:3">
      <c r="A26" s="2940">
        <v>9</v>
      </c>
      <c r="B26" s="2941" t="s">
        <v>782</v>
      </c>
      <c r="C26" s="2941">
        <v>0</v>
      </c>
    </row>
    <row r="27" spans="1:3">
      <c r="A27" s="2940">
        <v>10</v>
      </c>
      <c r="B27" s="2941" t="s">
        <v>783</v>
      </c>
      <c r="C27" s="2941">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20" sqref="G20"/>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784</v>
      </c>
      <c r="F5" s="2937" t="s">
        <v>785</v>
      </c>
      <c r="G5" s="2937" t="s">
        <v>786</v>
      </c>
      <c r="H5" s="2937" t="s">
        <v>787</v>
      </c>
      <c r="I5" s="2937" t="s">
        <v>581</v>
      </c>
      <c r="J5" s="2937" t="s">
        <v>788</v>
      </c>
      <c r="K5" s="2937" t="s">
        <v>789</v>
      </c>
      <c r="L5" s="2937" t="s">
        <v>790</v>
      </c>
      <c r="M5" s="2937" t="s">
        <v>791</v>
      </c>
    </row>
    <row r="6" spans="5:13">
      <c r="E6" s="2937">
        <v>1</v>
      </c>
      <c r="F6" s="2937" t="s">
        <v>792</v>
      </c>
      <c r="G6" s="2937" t="s">
        <v>793</v>
      </c>
      <c r="H6" s="2937" t="s">
        <v>794</v>
      </c>
      <c r="I6" s="2937">
        <v>684.1</v>
      </c>
      <c r="J6" s="2937">
        <v>3</v>
      </c>
      <c r="K6" s="2937" t="s">
        <v>795</v>
      </c>
      <c r="L6" s="2937">
        <v>1985</v>
      </c>
      <c r="M6" s="2937" t="s">
        <v>552</v>
      </c>
    </row>
    <row r="7" spans="5:13">
      <c r="E7" s="2937">
        <v>2</v>
      </c>
      <c r="F7" s="2937" t="s">
        <v>796</v>
      </c>
      <c r="G7" s="2937" t="s">
        <v>793</v>
      </c>
      <c r="H7" s="2937" t="s">
        <v>794</v>
      </c>
      <c r="I7" s="2937">
        <v>11.4</v>
      </c>
      <c r="J7" s="2937">
        <v>1</v>
      </c>
      <c r="K7" s="2937" t="s">
        <v>797</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798</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799</v>
      </c>
      <c r="D2" s="2878"/>
      <c r="E2" s="2875"/>
      <c r="F2" s="2879"/>
      <c r="G2" s="2877" t="s">
        <v>800</v>
      </c>
      <c r="H2" s="2398"/>
      <c r="I2" s="2398"/>
      <c r="J2" s="2398"/>
      <c r="K2" s="2398"/>
      <c r="L2" s="2398"/>
      <c r="M2" s="2398"/>
      <c r="N2" s="2398"/>
      <c r="O2" s="2398"/>
      <c r="P2" s="2398"/>
      <c r="Q2" s="2398"/>
      <c r="R2" s="2398"/>
    </row>
    <row r="3" ht="48" spans="1:18">
      <c r="A3" s="2880" t="s">
        <v>801</v>
      </c>
      <c r="B3" s="2881" t="s">
        <v>802</v>
      </c>
      <c r="C3" s="2882" t="s">
        <v>803</v>
      </c>
      <c r="D3" s="2883"/>
      <c r="E3" s="2884" t="s">
        <v>801</v>
      </c>
      <c r="F3" s="2885" t="s">
        <v>804</v>
      </c>
      <c r="G3" s="2886" t="s">
        <v>805</v>
      </c>
      <c r="H3" s="2398"/>
      <c r="I3" s="2398"/>
      <c r="J3" s="2398"/>
      <c r="K3" s="2398"/>
      <c r="L3" s="2398"/>
      <c r="M3" s="2398"/>
      <c r="N3" s="2398"/>
      <c r="O3" s="2398"/>
      <c r="P3" s="2398"/>
      <c r="Q3" s="2398"/>
      <c r="R3" s="2398"/>
    </row>
    <row r="4" ht="36.75" spans="1:18">
      <c r="A4" s="2884"/>
      <c r="B4" s="1445" t="s">
        <v>806</v>
      </c>
      <c r="C4" s="2887" t="s">
        <v>807</v>
      </c>
      <c r="D4" s="2883"/>
      <c r="E4" s="2888"/>
      <c r="F4" s="2392" t="s">
        <v>808</v>
      </c>
      <c r="G4" s="2889" t="s">
        <v>809</v>
      </c>
      <c r="H4" s="2398"/>
      <c r="I4" s="2398"/>
      <c r="J4" s="2398"/>
      <c r="K4" s="2398"/>
      <c r="L4" s="2398"/>
      <c r="M4" s="2398"/>
      <c r="N4" s="2398"/>
      <c r="O4" s="2398"/>
      <c r="P4" s="2398"/>
      <c r="Q4" s="2398"/>
      <c r="R4" s="2398"/>
    </row>
    <row r="5" ht="36.75" spans="1:18">
      <c r="A5" s="2884"/>
      <c r="B5" s="1445" t="s">
        <v>810</v>
      </c>
      <c r="C5" s="2887" t="s">
        <v>811</v>
      </c>
      <c r="D5" s="2883"/>
      <c r="E5" s="2888"/>
      <c r="F5" s="1445" t="s">
        <v>553</v>
      </c>
      <c r="G5" s="2889" t="s">
        <v>812</v>
      </c>
      <c r="H5" s="2398"/>
      <c r="I5" s="2398"/>
      <c r="J5" s="2398"/>
      <c r="K5" s="2398"/>
      <c r="L5" s="2398"/>
      <c r="M5" s="2398"/>
      <c r="N5" s="2398"/>
      <c r="O5" s="2398"/>
      <c r="P5" s="2398"/>
      <c r="Q5" s="2398"/>
      <c r="R5" s="2398"/>
    </row>
    <row r="6" ht="36" spans="1:18">
      <c r="A6" s="2884"/>
      <c r="B6" s="1445" t="s">
        <v>808</v>
      </c>
      <c r="C6" s="2889" t="s">
        <v>809</v>
      </c>
      <c r="D6" s="2883"/>
      <c r="E6" s="2888"/>
      <c r="F6" s="1445" t="s">
        <v>813</v>
      </c>
      <c r="G6" s="2889" t="s">
        <v>814</v>
      </c>
      <c r="H6" s="2398"/>
      <c r="I6" s="2398"/>
      <c r="J6" s="2398"/>
      <c r="K6" s="2398"/>
      <c r="L6" s="2398"/>
      <c r="M6" s="2398"/>
      <c r="N6" s="2398"/>
      <c r="O6" s="2398"/>
      <c r="P6" s="2398"/>
      <c r="Q6" s="2398"/>
      <c r="R6" s="2398"/>
    </row>
    <row r="7" ht="24.75" spans="1:18">
      <c r="A7" s="2884"/>
      <c r="B7" s="1445" t="s">
        <v>553</v>
      </c>
      <c r="C7" s="2889" t="s">
        <v>812</v>
      </c>
      <c r="D7" s="2890"/>
      <c r="E7" s="2891"/>
      <c r="F7" s="2892" t="s">
        <v>815</v>
      </c>
      <c r="G7" s="2893" t="s">
        <v>816</v>
      </c>
      <c r="H7" s="2398"/>
      <c r="I7" s="2398"/>
      <c r="J7" s="2398"/>
      <c r="K7" s="2398"/>
      <c r="L7" s="2398"/>
      <c r="M7" s="2398"/>
      <c r="N7" s="2398"/>
      <c r="O7" s="2398"/>
      <c r="P7" s="2398"/>
      <c r="Q7" s="2398"/>
      <c r="R7" s="2398"/>
    </row>
    <row r="8" spans="1:18">
      <c r="A8" s="2884"/>
      <c r="B8" s="1445" t="s">
        <v>813</v>
      </c>
      <c r="C8" s="2889" t="s">
        <v>814</v>
      </c>
      <c r="D8" s="2890"/>
      <c r="E8" s="2890"/>
      <c r="F8" s="1569"/>
      <c r="G8" s="1569"/>
      <c r="H8" s="2398"/>
      <c r="I8" s="2398"/>
      <c r="J8" s="2398"/>
      <c r="K8" s="2398"/>
      <c r="L8" s="2398"/>
      <c r="M8" s="2398"/>
      <c r="N8" s="2398"/>
      <c r="O8" s="2398"/>
      <c r="P8" s="2398"/>
      <c r="Q8" s="2398"/>
      <c r="R8" s="2398"/>
    </row>
    <row r="9" ht="24" spans="1:18">
      <c r="A9" s="2884"/>
      <c r="B9" s="1445" t="s">
        <v>817</v>
      </c>
      <c r="C9" s="2887" t="s">
        <v>818</v>
      </c>
      <c r="D9" s="2883"/>
      <c r="E9" s="2890"/>
      <c r="F9" s="1569"/>
      <c r="G9" s="1569"/>
      <c r="H9" s="2398"/>
      <c r="I9" s="2398"/>
      <c r="J9" s="2398"/>
      <c r="K9" s="2398"/>
      <c r="L9" s="2398"/>
      <c r="M9" s="2398"/>
      <c r="N9" s="2398"/>
      <c r="O9" s="2398"/>
      <c r="P9" s="2398"/>
      <c r="Q9" s="2398"/>
      <c r="R9" s="2398"/>
    </row>
    <row r="10" s="2864" customFormat="1" ht="15" spans="1:29">
      <c r="A10" s="2894"/>
      <c r="B10" s="2895" t="s">
        <v>819</v>
      </c>
      <c r="C10" s="2896"/>
      <c r="D10" s="2883"/>
      <c r="E10" s="2883"/>
      <c r="F10" s="1569"/>
      <c r="G10" s="1569"/>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820</v>
      </c>
      <c r="B13" s="2900"/>
      <c r="C13" s="2900"/>
      <c r="D13" s="2898"/>
      <c r="E13" s="2900"/>
      <c r="F13" s="2900"/>
      <c r="G13" s="2900"/>
    </row>
    <row r="14" spans="1:7">
      <c r="A14" s="2903"/>
      <c r="B14" s="2903"/>
      <c r="C14" s="2904" t="s">
        <v>799</v>
      </c>
      <c r="D14" s="2883"/>
      <c r="E14" s="2905"/>
      <c r="F14" s="2905"/>
      <c r="G14" s="2877" t="s">
        <v>800</v>
      </c>
    </row>
    <row r="15" ht="48" spans="1:7">
      <c r="A15" s="2906" t="s">
        <v>801</v>
      </c>
      <c r="B15" s="2907" t="s">
        <v>802</v>
      </c>
      <c r="C15" s="2908" t="str">
        <f>C3</f>
        <v>估价对象周边居住用地比例、居住小区规模和社区发展完善程度，综合评价居住社区成熟度一般</v>
      </c>
      <c r="D15" s="2883"/>
      <c r="E15" s="2909" t="s">
        <v>801</v>
      </c>
      <c r="F15" s="2907" t="s">
        <v>804</v>
      </c>
      <c r="G15" s="2910" t="str">
        <f>G3</f>
        <v>估价对象位于XX开发区，园区建设成熟度XX，产业集聚程度XX</v>
      </c>
    </row>
    <row r="16" ht="36.75" spans="1:7">
      <c r="A16" s="2911"/>
      <c r="B16" s="2912" t="s">
        <v>806</v>
      </c>
      <c r="C16" s="2913" t="str">
        <f>C4</f>
        <v>估价对象位于XX商圈，周边商业氛围成熟，人流量大，商业繁华度好</v>
      </c>
      <c r="D16" s="2883"/>
      <c r="E16" s="2914"/>
      <c r="F16" s="2915" t="s">
        <v>808</v>
      </c>
      <c r="G16" s="2916" t="str">
        <f>G4</f>
        <v>估价对象周边道路状况、公共交通通达情况、停车便捷程度，综合评价交通便捷度较好</v>
      </c>
    </row>
    <row r="17" ht="36.75" spans="1:7">
      <c r="A17" s="2911"/>
      <c r="B17" s="2912" t="s">
        <v>810</v>
      </c>
      <c r="C17" s="2913" t="str">
        <f>C5</f>
        <v>估价对象位于XX商圈，周边办公楼项目较多，入驻率高，办公集聚程度较好</v>
      </c>
      <c r="D17" s="2890"/>
      <c r="E17" s="2914"/>
      <c r="F17" s="2915" t="s">
        <v>821</v>
      </c>
      <c r="G17" s="2917"/>
    </row>
    <row r="18" ht="36" spans="1:7">
      <c r="A18" s="2911"/>
      <c r="B18" s="2915" t="s">
        <v>808</v>
      </c>
      <c r="C18" s="2916" t="str">
        <f>C6</f>
        <v>估价对象周边道路状况、公共交通通达情况、停车便捷程度，综合评价交通便捷度较好</v>
      </c>
      <c r="D18" s="2890"/>
      <c r="E18" s="2914"/>
      <c r="F18" s="2915" t="s">
        <v>815</v>
      </c>
      <c r="G18" s="2916" t="str">
        <f>G7</f>
        <v>该园区内是否有污染型企业，绿化情况，卫生条件，整体环境状况判断</v>
      </c>
    </row>
    <row r="19" ht="24" spans="1:7">
      <c r="A19" s="2911"/>
      <c r="B19" s="2915" t="s">
        <v>821</v>
      </c>
      <c r="C19" s="2917"/>
      <c r="D19" s="2883"/>
      <c r="E19" s="2914"/>
      <c r="F19" s="1445" t="s">
        <v>553</v>
      </c>
      <c r="G19" s="2916" t="str">
        <f>G5</f>
        <v>估价对象所在区域公共配套设施齐备情况</v>
      </c>
    </row>
    <row r="20" ht="24" spans="1:7">
      <c r="A20" s="2911"/>
      <c r="B20" s="2915" t="s">
        <v>822</v>
      </c>
      <c r="C20" s="2913" t="str">
        <f>C9</f>
        <v>区域自然环境：；人文环境；综合评价环境状况一般</v>
      </c>
      <c r="D20" s="2890"/>
      <c r="E20" s="2914"/>
      <c r="F20" s="1445" t="s">
        <v>813</v>
      </c>
      <c r="G20" s="2916" t="str">
        <f>G6</f>
        <v>估价对象所在区域基础设施水平</v>
      </c>
    </row>
    <row r="21" ht="24" spans="1:7">
      <c r="A21" s="2911"/>
      <c r="B21" s="1445" t="s">
        <v>553</v>
      </c>
      <c r="C21" s="2916" t="str">
        <f>C7</f>
        <v>估价对象所在区域公共配套设施齐备情况</v>
      </c>
      <c r="D21" s="2883"/>
      <c r="E21" s="2914"/>
      <c r="F21" s="2915" t="s">
        <v>823</v>
      </c>
      <c r="G21" s="2918"/>
    </row>
    <row r="22" ht="13.5" customHeight="1" spans="1:7">
      <c r="A22" s="2911"/>
      <c r="B22" s="1445" t="s">
        <v>813</v>
      </c>
      <c r="C22" s="2916" t="str">
        <f>C8</f>
        <v>估价对象所在区域基础设施水平</v>
      </c>
      <c r="D22" s="2883"/>
      <c r="E22" s="2914"/>
      <c r="F22" s="2915" t="s">
        <v>819</v>
      </c>
      <c r="G22" s="2917"/>
    </row>
    <row r="23" s="2398" customFormat="1" ht="15" spans="1:18">
      <c r="A23" s="2911"/>
      <c r="B23" s="2915" t="s">
        <v>823</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819</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0" sqref="D30"/>
    </sheetView>
  </sheetViews>
  <sheetFormatPr defaultColWidth="9" defaultRowHeight="13.5"/>
  <cols>
    <col min="1" max="1" width="25" style="2847" customWidth="1"/>
    <col min="2" max="9" width="15.75" style="2847" customWidth="1"/>
    <col min="10" max="16384" width="9" style="2847"/>
  </cols>
  <sheetData>
    <row r="1" ht="16.5" spans="1:11">
      <c r="A1" s="2848" t="s">
        <v>824</v>
      </c>
      <c r="B1" s="2848">
        <f>SUM(B14:B23)</f>
        <v>695.5</v>
      </c>
      <c r="C1" s="2849"/>
      <c r="D1" s="2849"/>
      <c r="E1" s="2849"/>
      <c r="F1" s="2849"/>
      <c r="G1" s="2850"/>
      <c r="H1" s="2851"/>
      <c r="I1" s="2851"/>
      <c r="J1" s="2851"/>
      <c r="K1" s="2851"/>
    </row>
    <row r="2" ht="16.5" spans="1:11">
      <c r="A2" s="2848" t="s">
        <v>825</v>
      </c>
      <c r="B2" s="2848">
        <f>SUM(C14:C23)</f>
        <v>0</v>
      </c>
      <c r="C2" s="2849"/>
      <c r="D2" s="2849"/>
      <c r="E2" s="2849"/>
      <c r="F2" s="2849"/>
      <c r="G2" s="2850"/>
      <c r="H2" s="2851"/>
      <c r="I2" s="2851"/>
      <c r="J2" s="2851"/>
      <c r="K2" s="2851"/>
    </row>
    <row r="3" ht="16.5" spans="1:11">
      <c r="A3" s="2848" t="s">
        <v>826</v>
      </c>
      <c r="B3" s="2852">
        <f>项目基本情况!D3</f>
        <v>45394</v>
      </c>
      <c r="C3" s="2849"/>
      <c r="D3" s="2849"/>
      <c r="E3" s="2849"/>
      <c r="F3" s="2849"/>
      <c r="G3" s="2850"/>
      <c r="H3" s="2851"/>
      <c r="I3" s="2851"/>
      <c r="J3" s="2851"/>
      <c r="K3" s="2851"/>
    </row>
    <row r="4" ht="33" spans="1:11">
      <c r="A4" s="2848" t="s">
        <v>827</v>
      </c>
      <c r="B4" s="2848" t="s">
        <v>828</v>
      </c>
      <c r="C4" s="2848" t="s">
        <v>829</v>
      </c>
      <c r="D4" s="2848" t="s">
        <v>830</v>
      </c>
      <c r="E4" s="2849"/>
      <c r="F4" s="2850"/>
      <c r="G4" s="2850"/>
      <c r="H4" s="2851"/>
      <c r="I4" s="2851"/>
      <c r="J4" s="2851"/>
      <c r="K4" s="2851"/>
    </row>
    <row r="5" ht="16.5" spans="1:11">
      <c r="A5" s="2848" t="s">
        <v>831</v>
      </c>
      <c r="B5" s="2848">
        <f ca="1">SUM(D14:D23)</f>
        <v>2549</v>
      </c>
      <c r="C5" s="2848">
        <f ca="1">IF(B5=D14,结果表!H102,ROUND(B5*10000/$B$1,0))</f>
        <v>36650</v>
      </c>
      <c r="D5" s="2848" t="e">
        <f ca="1">ROUND(B5*10000/$B$2,0)</f>
        <v>#DIV/0!</v>
      </c>
      <c r="E5" s="2849"/>
      <c r="F5" s="2850"/>
      <c r="G5" s="2850"/>
      <c r="H5" s="2851"/>
      <c r="I5" s="2851"/>
      <c r="J5" s="2851"/>
      <c r="K5" s="2851"/>
    </row>
    <row r="6" ht="16.5" spans="1:11">
      <c r="A6" s="2848" t="s">
        <v>832</v>
      </c>
      <c r="B6" s="2848">
        <f ca="1">SUM(G14:G23)</f>
        <v>2549</v>
      </c>
      <c r="C6" s="2848">
        <f ca="1">IF(B6=G14,结果表!H108,ROUND(B6*10000/$B$1,0))</f>
        <v>36650</v>
      </c>
      <c r="D6" s="2848" t="e">
        <f ca="1">ROUND(B6*10000/$B$2,0)</f>
        <v>#DIV/0!</v>
      </c>
      <c r="E6" s="2849"/>
      <c r="F6" s="2850"/>
      <c r="G6" s="2850"/>
      <c r="H6" s="2851"/>
      <c r="I6" s="2851"/>
      <c r="J6" s="2851"/>
      <c r="K6" s="2851"/>
    </row>
    <row r="7" ht="16.5" spans="1:11">
      <c r="A7" s="2848" t="s">
        <v>833</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834</v>
      </c>
      <c r="B9" s="2853"/>
      <c r="C9" s="2849"/>
      <c r="D9" s="2849"/>
      <c r="E9" s="2849"/>
      <c r="F9" s="2850"/>
      <c r="G9" s="2850"/>
      <c r="H9" s="2851"/>
      <c r="I9" s="2851"/>
      <c r="J9" s="2851"/>
      <c r="K9" s="2851"/>
    </row>
    <row r="10" ht="16.5" spans="1:11">
      <c r="A10" s="2848" t="s">
        <v>835</v>
      </c>
      <c r="B10" s="2848">
        <f>IF(E10="",0,ROUND(B1*(E10*365/G10)/10000,0))</f>
        <v>0</v>
      </c>
      <c r="C10" s="2848" t="s">
        <v>836</v>
      </c>
      <c r="D10" s="2848" t="s">
        <v>835</v>
      </c>
      <c r="E10" s="2854"/>
      <c r="F10" s="2855" t="s">
        <v>837</v>
      </c>
      <c r="G10" s="2856"/>
      <c r="H10" s="2851"/>
      <c r="I10" s="2851"/>
      <c r="J10" s="2851"/>
      <c r="K10" s="2851"/>
    </row>
    <row r="11" ht="16.5" spans="1:11">
      <c r="A11" s="2848" t="s">
        <v>838</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839</v>
      </c>
      <c r="B13" s="2858" t="s">
        <v>824</v>
      </c>
      <c r="C13" s="2858" t="s">
        <v>825</v>
      </c>
      <c r="D13" s="2858" t="s">
        <v>840</v>
      </c>
      <c r="E13" s="2848" t="s">
        <v>829</v>
      </c>
      <c r="F13" s="2848" t="s">
        <v>830</v>
      </c>
      <c r="G13" s="2858" t="s">
        <v>841</v>
      </c>
      <c r="H13" s="2858" t="s">
        <v>842</v>
      </c>
      <c r="I13" s="2858" t="s">
        <v>843</v>
      </c>
      <c r="J13" s="2850"/>
      <c r="K13" s="2851"/>
    </row>
    <row r="14" ht="16.5" spans="1:11">
      <c r="A14" s="2859" t="s">
        <v>844</v>
      </c>
      <c r="B14" s="2860">
        <f>'数据-基础表'!B3</f>
        <v>695.5</v>
      </c>
      <c r="C14" s="2860"/>
      <c r="D14" s="2860">
        <f ca="1">结果表!M48</f>
        <v>2549</v>
      </c>
      <c r="E14" s="2860">
        <f ca="1">ROUND(D14*10000/B14,0)</f>
        <v>36650</v>
      </c>
      <c r="F14" s="2860" t="e">
        <f ca="1">ROUND(D14*10000/C14,0)</f>
        <v>#DIV/0!</v>
      </c>
      <c r="G14" s="2860">
        <f ca="1">结果表!M49</f>
        <v>2549</v>
      </c>
      <c r="H14" s="2860"/>
      <c r="I14" s="2860"/>
      <c r="J14" s="2850"/>
      <c r="K14" s="2851"/>
    </row>
    <row r="15" ht="16.5" spans="1:11">
      <c r="A15" s="2859" t="s">
        <v>845</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846</v>
      </c>
      <c r="B16" s="2861"/>
      <c r="C16" s="2861"/>
      <c r="D16" s="2861"/>
      <c r="E16" s="2860" t="e">
        <f t="shared" si="0"/>
        <v>#DIV/0!</v>
      </c>
      <c r="F16" s="2860" t="e">
        <f t="shared" si="1"/>
        <v>#DIV/0!</v>
      </c>
      <c r="G16" s="2862"/>
      <c r="H16" s="2862"/>
      <c r="I16" s="2861"/>
      <c r="J16" s="2851"/>
      <c r="K16" s="2851"/>
    </row>
    <row r="17" ht="16.5" spans="1:11">
      <c r="A17" s="2859" t="s">
        <v>847</v>
      </c>
      <c r="B17" s="2861"/>
      <c r="C17" s="2861"/>
      <c r="D17" s="2861"/>
      <c r="E17" s="2860" t="e">
        <f t="shared" si="0"/>
        <v>#DIV/0!</v>
      </c>
      <c r="F17" s="2860" t="e">
        <f t="shared" si="1"/>
        <v>#DIV/0!</v>
      </c>
      <c r="G17" s="2862"/>
      <c r="H17" s="2862"/>
      <c r="I17" s="2861"/>
      <c r="J17" s="2851"/>
      <c r="K17" s="2851"/>
    </row>
    <row r="18" ht="16.5" spans="1:11">
      <c r="A18" s="2859" t="s">
        <v>848</v>
      </c>
      <c r="B18" s="2861"/>
      <c r="C18" s="2861"/>
      <c r="D18" s="2861"/>
      <c r="E18" s="2860" t="e">
        <f t="shared" si="0"/>
        <v>#DIV/0!</v>
      </c>
      <c r="F18" s="2860" t="e">
        <f t="shared" si="1"/>
        <v>#DIV/0!</v>
      </c>
      <c r="G18" s="2861"/>
      <c r="H18" s="2861"/>
      <c r="I18" s="2861"/>
      <c r="J18" s="2851"/>
      <c r="K18" s="2851"/>
    </row>
    <row r="19" ht="16.5" spans="1:11">
      <c r="A19" s="2859" t="s">
        <v>849</v>
      </c>
      <c r="B19" s="2861"/>
      <c r="C19" s="2861"/>
      <c r="D19" s="2861"/>
      <c r="E19" s="2860" t="e">
        <f t="shared" si="0"/>
        <v>#DIV/0!</v>
      </c>
      <c r="F19" s="2860" t="e">
        <f t="shared" si="1"/>
        <v>#DIV/0!</v>
      </c>
      <c r="G19" s="2861"/>
      <c r="H19" s="2861"/>
      <c r="I19" s="2861"/>
      <c r="J19" s="2851"/>
      <c r="K19" s="2851"/>
    </row>
    <row r="20" ht="16.5" spans="1:11">
      <c r="A20" s="2859" t="s">
        <v>850</v>
      </c>
      <c r="B20" s="2861"/>
      <c r="C20" s="2861"/>
      <c r="D20" s="2861"/>
      <c r="E20" s="2860" t="e">
        <f t="shared" si="0"/>
        <v>#DIV/0!</v>
      </c>
      <c r="F20" s="2860" t="e">
        <f t="shared" si="1"/>
        <v>#DIV/0!</v>
      </c>
      <c r="G20" s="2861"/>
      <c r="H20" s="2861"/>
      <c r="I20" s="2861"/>
      <c r="J20" s="2851"/>
      <c r="K20" s="2851"/>
    </row>
    <row r="21" ht="16.5" spans="1:11">
      <c r="A21" s="2859" t="s">
        <v>851</v>
      </c>
      <c r="B21" s="2861"/>
      <c r="C21" s="2861"/>
      <c r="D21" s="2861"/>
      <c r="E21" s="2860" t="e">
        <f t="shared" si="0"/>
        <v>#DIV/0!</v>
      </c>
      <c r="F21" s="2860" t="e">
        <f t="shared" si="1"/>
        <v>#DIV/0!</v>
      </c>
      <c r="G21" s="2861"/>
      <c r="H21" s="2861"/>
      <c r="I21" s="2861"/>
      <c r="J21" s="2851"/>
      <c r="K21" s="2851"/>
    </row>
    <row r="22" ht="16.5" spans="1:11">
      <c r="A22" s="2859" t="s">
        <v>852</v>
      </c>
      <c r="B22" s="2861"/>
      <c r="C22" s="2861"/>
      <c r="D22" s="2861"/>
      <c r="E22" s="2860" t="e">
        <f t="shared" si="0"/>
        <v>#DIV/0!</v>
      </c>
      <c r="F22" s="2860" t="e">
        <f t="shared" si="1"/>
        <v>#DIV/0!</v>
      </c>
      <c r="G22" s="2861"/>
      <c r="H22" s="2861"/>
      <c r="I22" s="2861"/>
      <c r="J22" s="2851"/>
      <c r="K22" s="2851"/>
    </row>
    <row r="23" ht="16.5" spans="1:11">
      <c r="A23" s="2859" t="s">
        <v>853</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北京市东城区（原崇文区）光明西街3号、甲3号3号楼房地产抵押价值预评估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郑燚（注册号：1120070131)、崔锴（注册号：1120100036)</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2" workbookViewId="0">
      <selection activeCell="J26" sqref="J26"/>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854</v>
      </c>
      <c r="B1" s="2499"/>
      <c r="C1" s="2500"/>
      <c r="D1" s="2499"/>
      <c r="E1" s="2499"/>
      <c r="F1" s="2501" t="s">
        <v>855</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856</v>
      </c>
      <c r="B3" s="1455"/>
      <c r="C3" s="1455"/>
      <c r="D3" s="1455"/>
      <c r="E3" s="1455"/>
      <c r="F3" s="1455"/>
      <c r="G3" s="1455"/>
      <c r="H3" s="1455"/>
      <c r="I3" s="1455"/>
    </row>
    <row r="4" ht="14.25" spans="1:12">
      <c r="A4" s="2507" t="s">
        <v>857</v>
      </c>
      <c r="B4" s="2508" t="s">
        <v>858</v>
      </c>
      <c r="C4" s="2509" t="s">
        <v>318</v>
      </c>
      <c r="D4" s="2509" t="s">
        <v>272</v>
      </c>
      <c r="E4" s="2510" t="s">
        <v>859</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860</v>
      </c>
      <c r="B5" s="963">
        <v>25</v>
      </c>
      <c r="C5" s="2513"/>
      <c r="D5" s="2514"/>
      <c r="E5" s="1444" t="s">
        <v>861</v>
      </c>
      <c r="F5" s="2515"/>
      <c r="G5" s="2515"/>
      <c r="H5" s="2515"/>
      <c r="I5" s="2392"/>
    </row>
    <row r="6" ht="13.5" spans="1:9">
      <c r="A6" s="2512"/>
      <c r="B6" s="963"/>
      <c r="C6" s="2516"/>
      <c r="D6" s="2514"/>
      <c r="E6" s="1444" t="s">
        <v>862</v>
      </c>
      <c r="F6" s="2515"/>
      <c r="G6" s="2515"/>
      <c r="H6" s="2515"/>
      <c r="I6" s="2392"/>
    </row>
    <row r="7" ht="13.5" spans="1:9">
      <c r="A7" s="2512"/>
      <c r="B7" s="963"/>
      <c r="C7" s="2517"/>
      <c r="D7" s="2514"/>
      <c r="E7" s="1444" t="s">
        <v>863</v>
      </c>
      <c r="F7" s="2515"/>
      <c r="G7" s="2515"/>
      <c r="H7" s="2515"/>
      <c r="I7" s="2392"/>
    </row>
    <row r="8" ht="13.5" spans="1:9">
      <c r="A8" s="2512" t="s">
        <v>864</v>
      </c>
      <c r="B8" s="963">
        <v>15</v>
      </c>
      <c r="C8" s="2513"/>
      <c r="D8" s="2514"/>
      <c r="E8" s="1444" t="s">
        <v>865</v>
      </c>
      <c r="F8" s="2515"/>
      <c r="G8" s="2515"/>
      <c r="H8" s="2515"/>
      <c r="I8" s="2392"/>
    </row>
    <row r="9" ht="13.5" spans="1:9">
      <c r="A9" s="2512"/>
      <c r="B9" s="963"/>
      <c r="C9" s="2517"/>
      <c r="D9" s="2514"/>
      <c r="E9" s="1444" t="s">
        <v>866</v>
      </c>
      <c r="F9" s="2515"/>
      <c r="G9" s="2515"/>
      <c r="H9" s="2515"/>
      <c r="I9" s="2392"/>
    </row>
    <row r="10" ht="13.5" spans="1:9">
      <c r="A10" s="2512" t="s">
        <v>867</v>
      </c>
      <c r="B10" s="963">
        <v>15</v>
      </c>
      <c r="C10" s="2513"/>
      <c r="D10" s="2514"/>
      <c r="E10" s="1444" t="s">
        <v>868</v>
      </c>
      <c r="F10" s="2515"/>
      <c r="G10" s="2515"/>
      <c r="H10" s="2515"/>
      <c r="I10" s="2392"/>
    </row>
    <row r="11" ht="13.5" spans="1:9">
      <c r="A11" s="2512"/>
      <c r="B11" s="963"/>
      <c r="C11" s="2517"/>
      <c r="D11" s="2514"/>
      <c r="E11" s="1444" t="s">
        <v>869</v>
      </c>
      <c r="F11" s="2515"/>
      <c r="G11" s="2515"/>
      <c r="H11" s="2515"/>
      <c r="I11" s="2392"/>
    </row>
    <row r="12" ht="13.5" spans="1:9">
      <c r="A12" s="2512" t="s">
        <v>870</v>
      </c>
      <c r="B12" s="963">
        <v>15</v>
      </c>
      <c r="C12" s="2513"/>
      <c r="D12" s="2514"/>
      <c r="E12" s="1444" t="s">
        <v>871</v>
      </c>
      <c r="F12" s="2515"/>
      <c r="G12" s="2515"/>
      <c r="H12" s="2515"/>
      <c r="I12" s="2392"/>
    </row>
    <row r="13" ht="13.5" spans="1:9">
      <c r="A13" s="2512"/>
      <c r="B13" s="963"/>
      <c r="C13" s="2517"/>
      <c r="D13" s="2514"/>
      <c r="E13" s="1444" t="s">
        <v>872</v>
      </c>
      <c r="F13" s="2515"/>
      <c r="G13" s="2515"/>
      <c r="H13" s="2515"/>
      <c r="I13" s="2392"/>
    </row>
    <row r="14" ht="13.5" spans="1:9">
      <c r="A14" s="2512" t="s">
        <v>873</v>
      </c>
      <c r="B14" s="963">
        <v>30</v>
      </c>
      <c r="C14" s="2513">
        <v>5</v>
      </c>
      <c r="D14" s="2514">
        <v>5</v>
      </c>
      <c r="E14" s="1444" t="s">
        <v>874</v>
      </c>
      <c r="F14" s="2515"/>
      <c r="G14" s="2515"/>
      <c r="H14" s="2515"/>
      <c r="I14" s="2392"/>
    </row>
    <row r="15" ht="13.5" spans="1:9">
      <c r="A15" s="2512"/>
      <c r="B15" s="963"/>
      <c r="C15" s="2516"/>
      <c r="D15" s="2514"/>
      <c r="E15" s="1444" t="s">
        <v>875</v>
      </c>
      <c r="F15" s="2515"/>
      <c r="G15" s="2515"/>
      <c r="H15" s="2515"/>
      <c r="I15" s="2392"/>
    </row>
    <row r="16" ht="13.5" spans="1:9">
      <c r="A16" s="2512"/>
      <c r="B16" s="963"/>
      <c r="C16" s="2517"/>
      <c r="D16" s="2514"/>
      <c r="E16" s="1444" t="s">
        <v>876</v>
      </c>
      <c r="F16" s="2515"/>
      <c r="G16" s="2515"/>
      <c r="H16" s="2515"/>
      <c r="I16" s="2392"/>
    </row>
    <row r="17" ht="14.25" spans="1:13">
      <c r="A17" s="2518" t="s">
        <v>877</v>
      </c>
      <c r="B17" s="2519"/>
      <c r="C17" s="2520">
        <f>SUM(C5:C16)</f>
        <v>5</v>
      </c>
      <c r="D17" s="2520">
        <f>SUM(D5:D16)</f>
        <v>5</v>
      </c>
      <c r="E17" s="632"/>
      <c r="F17" s="632"/>
      <c r="G17" s="632"/>
      <c r="H17" s="632"/>
      <c r="I17" s="632"/>
      <c r="K17" s="1402"/>
      <c r="L17" s="1402" t="s">
        <v>878</v>
      </c>
      <c r="M17" s="1402" t="s">
        <v>879</v>
      </c>
    </row>
    <row r="18" ht="31.9" customHeight="1" spans="1:13">
      <c r="A18" s="2521" t="s">
        <v>880</v>
      </c>
      <c r="B18" s="2522"/>
      <c r="C18" s="2523">
        <f>ROUND(C17/SUM(C17:D17),2)</f>
        <v>0.5</v>
      </c>
      <c r="D18" s="2523">
        <f>1-C18</f>
        <v>0.5</v>
      </c>
      <c r="E18" s="2524" t="s">
        <v>881</v>
      </c>
      <c r="F18" s="2525"/>
      <c r="G18" s="2525"/>
      <c r="H18" s="2525"/>
      <c r="I18" s="2525"/>
      <c r="K18" s="1402" t="s">
        <v>461</v>
      </c>
      <c r="L18" s="1402">
        <f>IF(C1="",'数据-汇总表'!E3,SUMIF(项目类型,C1,'数据-汇总表'!E17:E26)+SUMIF(项目类型,C1,'数据-汇总表'!I17:I26))</f>
        <v>695.5</v>
      </c>
      <c r="M18" s="1402">
        <f>IF(C1="",'数据-汇总表'!E3,SUMIF(项目类型,C1,'数据-汇总表'!E17:E26))</f>
        <v>695.5</v>
      </c>
    </row>
    <row r="19" ht="14.25" spans="1:13">
      <c r="A19" s="2526" t="s">
        <v>882</v>
      </c>
      <c r="B19" s="2527" t="s">
        <v>883</v>
      </c>
      <c r="C19" s="2528">
        <f ca="1">ROUND(成本法3号楼!B2+成本法4号楼!B2,0)</f>
        <v>3208</v>
      </c>
      <c r="D19" s="1122">
        <f ca="1">ROUND(SUMIF(INDIRECT("'"&amp;D4&amp;"'"&amp;"!A:A"),结果表!B19,INDIRECT("'"&amp;D4&amp;"'"&amp;"!B:B")),0)</f>
        <v>3075</v>
      </c>
      <c r="E19" s="2526" t="s">
        <v>884</v>
      </c>
      <c r="F19" s="2527" t="s">
        <v>883</v>
      </c>
      <c r="G19" s="2529">
        <f ca="1">ROUND(C19*$C$18+D19*$D$18,0)</f>
        <v>3142</v>
      </c>
      <c r="H19" s="2530"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1"/>
      <c r="B20" s="2532" t="s">
        <v>886</v>
      </c>
      <c r="C20" s="1730">
        <f ca="1">SUMIF(INDIRECT("'"&amp;C4&amp;"'"&amp;"!A:A"),结果表!B20,INDIRECT("'"&amp;C4&amp;"'"&amp;"!B:B"))</f>
        <v>46142</v>
      </c>
      <c r="D20" s="1733">
        <f ca="1">SUMIF(INDIRECT("'"&amp;D4&amp;"'"&amp;"!A:A"),结果表!B20,INDIRECT("'"&amp;D4&amp;"'"&amp;"!B:B"))</f>
        <v>44211</v>
      </c>
      <c r="E20" s="2531"/>
      <c r="F20" s="2532" t="s">
        <v>886</v>
      </c>
      <c r="G20" s="2533">
        <f ca="1">ROUND(C20*$C$18+D20*$D$18,0)</f>
        <v>45177</v>
      </c>
      <c r="H20" s="1561" t="s">
        <v>887</v>
      </c>
      <c r="I20" s="632"/>
    </row>
    <row r="21" ht="15" customHeight="1" spans="1:9">
      <c r="A21" s="2473"/>
      <c r="B21" s="2534" t="s">
        <v>888</v>
      </c>
      <c r="C21" s="2535" t="e">
        <f ca="1">ROUND(C19*10000/L19,0)</f>
        <v>#DIV/0!</v>
      </c>
      <c r="D21" s="2536" t="e">
        <f ca="1">ROUND(D19*10000/L19,0)</f>
        <v>#DIV/0!</v>
      </c>
      <c r="E21" s="2473"/>
      <c r="F21" s="2534" t="s">
        <v>888</v>
      </c>
      <c r="G21" s="2537" t="e">
        <f ca="1">ROUND(G19*10000/L19,0)</f>
        <v>#DIV/0!</v>
      </c>
      <c r="H21" s="2538" t="s">
        <v>887</v>
      </c>
      <c r="I21" s="632"/>
    </row>
    <row r="22" ht="15" spans="1:13">
      <c r="A22" s="2539" t="s">
        <v>889</v>
      </c>
      <c r="B22" s="2540"/>
      <c r="C22" s="2541"/>
      <c r="D22" s="2542">
        <f ca="1">IF(C19&lt;D19,D19/C19-1,C19/D19-1)</f>
        <v>0.0432520325203252</v>
      </c>
      <c r="E22" s="632"/>
      <c r="F22" s="632"/>
      <c r="G22" s="632"/>
      <c r="H22" s="632"/>
      <c r="I22" s="632"/>
      <c r="L22" s="587">
        <f>3208*10000/L18</f>
        <v>46125.0898634076</v>
      </c>
      <c r="M22" s="587">
        <f>3075*10000/M18</f>
        <v>44212.7965492451</v>
      </c>
    </row>
    <row r="23" ht="14.25" spans="1:9">
      <c r="A23" s="2499"/>
      <c r="B23" s="2499"/>
      <c r="C23" s="2499"/>
      <c r="D23" s="2499"/>
      <c r="E23" s="632"/>
      <c r="F23" s="632"/>
      <c r="G23" s="632"/>
      <c r="H23" s="632"/>
      <c r="I23" s="632"/>
    </row>
    <row r="24" ht="14.25" spans="1:9">
      <c r="A24" s="2543" t="s">
        <v>890</v>
      </c>
      <c r="B24" s="2527" t="s">
        <v>883</v>
      </c>
      <c r="C24" s="2529">
        <f>IF(B30=0,0,D30)</f>
        <v>593</v>
      </c>
      <c r="D24" s="2544"/>
      <c r="E24" s="632"/>
      <c r="F24" s="632"/>
      <c r="G24" s="632"/>
      <c r="H24" s="632"/>
      <c r="I24" s="632"/>
    </row>
    <row r="25" ht="14.25" spans="1:9">
      <c r="A25" s="2545"/>
      <c r="B25" s="2532" t="s">
        <v>886</v>
      </c>
      <c r="C25" s="2546">
        <f>IF(B30=0,0,C30)</f>
        <v>0</v>
      </c>
      <c r="D25" s="2547"/>
      <c r="E25" s="632"/>
      <c r="F25" s="632"/>
      <c r="G25" s="632"/>
      <c r="H25" s="632"/>
      <c r="I25" s="632"/>
    </row>
    <row r="26" ht="13.5" customHeight="1" spans="1:9">
      <c r="A26" s="2548" t="s">
        <v>891</v>
      </c>
      <c r="B26" s="2549" t="s">
        <v>892</v>
      </c>
      <c r="C26" s="2549" t="s">
        <v>893</v>
      </c>
      <c r="D26" s="2550" t="s">
        <v>894</v>
      </c>
      <c r="E26" s="632"/>
      <c r="F26" s="632"/>
      <c r="G26" s="632"/>
      <c r="H26" s="632"/>
      <c r="I26" s="632"/>
    </row>
    <row r="27" ht="14.25" spans="1:9">
      <c r="A27" s="2551" t="s">
        <v>895</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896</v>
      </c>
      <c r="B30" s="2549">
        <f>B27</f>
        <v>695.5</v>
      </c>
      <c r="C30" s="2549"/>
      <c r="D30" s="2549">
        <f>D27</f>
        <v>593</v>
      </c>
      <c r="E30" s="2552" t="s">
        <v>897</v>
      </c>
      <c r="F30" s="632"/>
      <c r="G30" s="632"/>
      <c r="H30" s="632"/>
      <c r="I30" s="632"/>
    </row>
    <row r="31" s="2493" customFormat="1" ht="26.45" customHeight="1" spans="1:36">
      <c r="A31" s="2553"/>
      <c r="B31" s="2554"/>
      <c r="C31" s="2554"/>
      <c r="D31" s="2554"/>
      <c r="E31" s="2554"/>
      <c r="F31" s="2554"/>
      <c r="G31" s="2554"/>
      <c r="H31" s="2554"/>
      <c r="I31" s="2666" t="s">
        <v>898</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899</v>
      </c>
      <c r="B32" s="2556"/>
      <c r="C32" s="2557">
        <f ca="1">IF(D32="总价",G19-C24,G20-C25)</f>
        <v>2549</v>
      </c>
      <c r="D32" s="2558" t="s">
        <v>767</v>
      </c>
      <c r="E32" s="632"/>
      <c r="F32" s="632"/>
      <c r="G32" s="632"/>
      <c r="H32" s="632"/>
      <c r="I32" s="632"/>
    </row>
    <row r="33" ht="15" spans="1:9">
      <c r="A33" s="2414" t="s">
        <v>900</v>
      </c>
      <c r="B33" s="2559"/>
      <c r="C33" s="2560" t="s">
        <v>901</v>
      </c>
      <c r="D33" s="2561" t="s">
        <v>240</v>
      </c>
      <c r="E33" s="2562" t="s">
        <v>902</v>
      </c>
      <c r="F33" s="2563" t="str">
        <f>IF(D32="楼面单价","取值（单价）","取值（总价）")</f>
        <v>取值（总价）</v>
      </c>
      <c r="G33" s="632"/>
      <c r="H33" s="632"/>
      <c r="I33" s="632"/>
    </row>
    <row r="34" ht="15" spans="1:9">
      <c r="A34" s="2564"/>
      <c r="B34" s="2565" t="s">
        <v>903</v>
      </c>
      <c r="C34" s="2566">
        <f ca="1">IF(C33="自定义",F34,C32-C35)</f>
        <v>2419.1448</v>
      </c>
      <c r="D34" s="2567">
        <f ca="1">IF(C33="自定义",ROUND(C34/C32,3),IF(C33="收益比率",SUMIF(INDIRECT("'"&amp;D33&amp;"'"&amp;"!b:b"),"土地收益比率",INDIRECT("'"&amp;D33&amp;"'"&amp;"!c:c")),SUMIF(INDIRECT("'"&amp;D33&amp;"'"&amp;"!b:b"),"土地成本比率",INDIRECT("'"&amp;D33&amp;"'"&amp;"!c:c"))))</f>
        <v>0.949</v>
      </c>
      <c r="E34" s="2568" t="s">
        <v>904</v>
      </c>
      <c r="F34" s="2569">
        <f ca="1">C32-F35</f>
        <v>2419.1448</v>
      </c>
      <c r="G34" s="632"/>
      <c r="H34" s="632"/>
      <c r="I34" s="632"/>
    </row>
    <row r="35" ht="15.75" spans="1:9">
      <c r="A35" s="2570"/>
      <c r="B35" s="2571" t="s">
        <v>905</v>
      </c>
      <c r="C35" s="2572">
        <f ca="1">IF(C33="自定义",F35,ROUND(C32*D35,0))</f>
        <v>129.8552</v>
      </c>
      <c r="D35" s="2573">
        <f ca="1">IF(C33="自定义",ROUND(C35/C32,3),IF(C33="收益比率",SUMIF(INDIRECT("'"&amp;D33&amp;"'"&amp;"!b:b"),"建筑物收益比率",INDIRECT("'"&amp;D33&amp;"'"&amp;"!c:c")),SUMIF(INDIRECT("'"&amp;D33&amp;"'"&amp;"!b:b"),"建筑物成本比率",INDIRECT("'"&amp;D33&amp;"'"&amp;"!c:c"))))</f>
        <v>0.051</v>
      </c>
      <c r="E35" s="2574" t="s">
        <v>906</v>
      </c>
      <c r="F35" s="2575">
        <f ca="1">(成本法3号楼!C51+成本法4号楼!C51)/10000</f>
        <v>129.8552</v>
      </c>
      <c r="G35" s="632"/>
      <c r="H35" s="632"/>
      <c r="I35" s="632"/>
    </row>
    <row r="36" ht="15.75" spans="1:9">
      <c r="A36" s="2576" t="s">
        <v>907</v>
      </c>
      <c r="B36" s="2577" t="s">
        <v>908</v>
      </c>
      <c r="C36" s="2578"/>
      <c r="D36" s="2579"/>
      <c r="E36" s="2580"/>
      <c r="F36" s="2581"/>
      <c r="G36" s="632"/>
      <c r="H36" s="632"/>
      <c r="I36" s="632"/>
    </row>
    <row r="37" ht="15.75" spans="1:9">
      <c r="A37" s="2582"/>
      <c r="B37" s="2583" t="s">
        <v>909</v>
      </c>
      <c r="C37" s="2584"/>
      <c r="D37" s="2585"/>
      <c r="E37" s="2585"/>
      <c r="F37" s="2581"/>
      <c r="G37" s="632"/>
      <c r="H37" s="632"/>
      <c r="I37" s="632"/>
    </row>
    <row r="38" ht="15.75" spans="1:9">
      <c r="A38" s="2586"/>
      <c r="B38" s="2587" t="s">
        <v>910</v>
      </c>
      <c r="C38" s="2588"/>
      <c r="D38" s="2589" t="s">
        <v>911</v>
      </c>
      <c r="E38" s="2585"/>
      <c r="F38" s="2581"/>
      <c r="G38" s="632"/>
      <c r="H38" s="632"/>
      <c r="I38" s="632"/>
    </row>
    <row r="39" ht="14.25" spans="1:9">
      <c r="A39" s="2531" t="s">
        <v>912</v>
      </c>
      <c r="B39" s="2590" t="s">
        <v>892</v>
      </c>
      <c r="C39" s="2591" t="s">
        <v>893</v>
      </c>
      <c r="D39" s="2591" t="s">
        <v>913</v>
      </c>
      <c r="E39" s="2592" t="s">
        <v>894</v>
      </c>
      <c r="F39" s="2581"/>
      <c r="G39" s="632"/>
      <c r="H39" s="632"/>
      <c r="I39" s="632"/>
    </row>
    <row r="40" ht="14.25" spans="1:9">
      <c r="A40" s="2593" t="s">
        <v>914</v>
      </c>
      <c r="B40" s="2594"/>
      <c r="C40" s="650"/>
      <c r="D40" s="650"/>
      <c r="E40" s="2595"/>
      <c r="F40" s="2581"/>
      <c r="G40" s="632"/>
      <c r="H40" s="632"/>
      <c r="I40" s="632"/>
    </row>
    <row r="41" ht="14.25" spans="1:9">
      <c r="A41" s="2593" t="s">
        <v>915</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916</v>
      </c>
      <c r="B44" s="2602"/>
      <c r="C44" s="2602"/>
      <c r="D44" s="2603"/>
      <c r="E44" s="2603"/>
      <c r="F44" s="2604"/>
      <c r="G44" s="2604"/>
      <c r="H44" s="2604"/>
      <c r="I44" s="2604"/>
      <c r="J44" s="2670" t="s">
        <v>917</v>
      </c>
      <c r="K44" s="2671"/>
      <c r="L44" s="2671"/>
      <c r="M44" s="2671"/>
      <c r="N44" s="2671"/>
      <c r="O44" s="2671"/>
    </row>
    <row r="45" ht="14.25" customHeight="1" spans="1:15">
      <c r="A45" s="2605" t="s">
        <v>918</v>
      </c>
      <c r="B45" s="2606"/>
      <c r="C45" s="2607"/>
      <c r="D45" s="1401">
        <f ca="1">ROUND(H101*F45,0)</f>
        <v>2549</v>
      </c>
      <c r="E45" s="2608" t="s">
        <v>919</v>
      </c>
      <c r="F45" s="2609">
        <v>1</v>
      </c>
      <c r="G45" s="2610" t="s">
        <v>920</v>
      </c>
      <c r="H45" s="632"/>
      <c r="I45" s="632"/>
      <c r="J45" s="2672" t="s">
        <v>921</v>
      </c>
      <c r="K45" s="2672"/>
      <c r="L45" s="2672"/>
      <c r="M45" s="2672"/>
      <c r="N45" s="2672"/>
      <c r="O45" s="2672"/>
    </row>
    <row r="46" ht="14.25" customHeight="1" spans="1:15">
      <c r="A46" s="2611" t="s">
        <v>922</v>
      </c>
      <c r="B46" s="2612"/>
      <c r="C46" s="2612"/>
      <c r="D46" s="2612"/>
      <c r="E46" s="2612"/>
      <c r="F46" s="2612"/>
      <c r="G46" s="2613"/>
      <c r="H46" s="2614"/>
      <c r="I46" s="633"/>
      <c r="J46" s="2061">
        <v>1</v>
      </c>
      <c r="K46" s="2673" t="s">
        <v>923</v>
      </c>
      <c r="L46" s="2673"/>
      <c r="M46" s="2674"/>
      <c r="N46" s="2674"/>
      <c r="O46" s="2674"/>
    </row>
    <row r="47" ht="12" customHeight="1" spans="1:15">
      <c r="A47" s="2615" t="s">
        <v>924</v>
      </c>
      <c r="B47" s="2616"/>
      <c r="C47" s="2617"/>
      <c r="D47" s="1454" t="s">
        <v>925</v>
      </c>
      <c r="E47" s="1402" t="s">
        <v>926</v>
      </c>
      <c r="F47" s="2618" t="s">
        <v>927</v>
      </c>
      <c r="G47" s="2619" t="s">
        <v>928</v>
      </c>
      <c r="H47" s="2620"/>
      <c r="I47" s="633"/>
      <c r="J47" s="2061">
        <v>2</v>
      </c>
      <c r="K47" s="2673" t="s">
        <v>929</v>
      </c>
      <c r="L47" s="2673"/>
      <c r="M47" s="2675">
        <f>'数据-取费表'!B2</f>
        <v>45394</v>
      </c>
      <c r="N47" s="2675"/>
      <c r="O47" s="2675"/>
    </row>
    <row r="48" ht="24.75" spans="1:15">
      <c r="A48" s="2621" t="s">
        <v>930</v>
      </c>
      <c r="B48" s="1458"/>
      <c r="C48" s="1458"/>
      <c r="D48" s="1559" t="b">
        <f ca="1">IF(H48="情况1",0,IF(H48="情况2",D52,IF(H48="情况3",D53,IF(H48="情况4",D54))))</f>
        <v>0</v>
      </c>
      <c r="E48" s="1458" t="str">
        <f>IF(H48="情况4","(销售额-原购置价)×税（费）率","销售额×税（费）率")</f>
        <v>销售额×税（费）率</v>
      </c>
      <c r="F48" s="2622">
        <f>IF(H48="情况1","免征",'数据-取费表'!B41)</f>
        <v>0.056</v>
      </c>
      <c r="G48" s="2623" t="s">
        <v>931</v>
      </c>
      <c r="H48" s="2624"/>
      <c r="I48" s="2614"/>
      <c r="J48" s="2061">
        <v>3</v>
      </c>
      <c r="K48" s="2673" t="s">
        <v>932</v>
      </c>
      <c r="L48" s="2673"/>
      <c r="M48" s="2676">
        <f ca="1">H101</f>
        <v>2549</v>
      </c>
      <c r="N48" s="2676"/>
      <c r="O48" s="2676"/>
    </row>
    <row r="49" ht="25.5" customHeight="1" spans="1:15">
      <c r="A49" s="2621" t="s">
        <v>933</v>
      </c>
      <c r="B49" s="1436" t="s">
        <v>934</v>
      </c>
      <c r="C49" s="1436"/>
      <c r="D49" s="2625">
        <v>0</v>
      </c>
      <c r="E49" s="1464" t="s">
        <v>935</v>
      </c>
      <c r="F49" s="2626" t="s">
        <v>124</v>
      </c>
      <c r="G49" s="2627"/>
      <c r="H49" s="2628" t="s">
        <v>936</v>
      </c>
      <c r="I49" s="2677"/>
      <c r="J49" s="2061">
        <v>4</v>
      </c>
      <c r="K49" s="2673" t="str">
        <f>IF(项目基本情况!E8="房地产抵押价值","房地产抵押价值","抵押担保权已注销时的房地产抵押价值")</f>
        <v>房地产抵押价值</v>
      </c>
      <c r="L49" s="2673"/>
      <c r="M49" s="2676">
        <f ca="1">IF(项目基本情况!E8="房地产抵押价值",H107,H109)</f>
        <v>2549</v>
      </c>
      <c r="N49" s="2676"/>
      <c r="O49" s="2676"/>
    </row>
    <row r="50" ht="25.5" customHeight="1" spans="1:15">
      <c r="A50" s="2629"/>
      <c r="B50" s="1436" t="s">
        <v>937</v>
      </c>
      <c r="C50" s="1436"/>
      <c r="D50" s="2630"/>
      <c r="E50" s="1479"/>
      <c r="F50" s="2626"/>
      <c r="G50" s="2631"/>
      <c r="H50" s="2632" t="s">
        <v>938</v>
      </c>
      <c r="I50" s="2677"/>
      <c r="J50" s="2672" t="s">
        <v>939</v>
      </c>
      <c r="K50" s="2672"/>
      <c r="L50" s="2672"/>
      <c r="M50" s="2672"/>
      <c r="N50" s="2672"/>
      <c r="O50" s="2672"/>
    </row>
    <row r="51" ht="20.45" customHeight="1" spans="1:15">
      <c r="A51" s="2633"/>
      <c r="B51" s="1436" t="s">
        <v>940</v>
      </c>
      <c r="C51" s="1436"/>
      <c r="D51" s="1454"/>
      <c r="E51" s="1468"/>
      <c r="F51" s="2626"/>
      <c r="G51" s="2634"/>
      <c r="H51" s="2632" t="s">
        <v>941</v>
      </c>
      <c r="I51" s="2677"/>
      <c r="J51" s="2673" t="s">
        <v>942</v>
      </c>
      <c r="K51" s="2673" t="s">
        <v>943</v>
      </c>
      <c r="L51" s="2673"/>
      <c r="M51" s="2673" t="s">
        <v>944</v>
      </c>
      <c r="N51" s="2673" t="s">
        <v>945</v>
      </c>
      <c r="O51" s="2673" t="s">
        <v>946</v>
      </c>
    </row>
    <row r="52" ht="24" customHeight="1" spans="1:15">
      <c r="A52" s="2635" t="s">
        <v>947</v>
      </c>
      <c r="B52" s="1436" t="s">
        <v>948</v>
      </c>
      <c r="C52" s="1436"/>
      <c r="D52" s="1454">
        <f ca="1">ROUND(D45*'数据-取费表'!B41/(1+'数据-取费表'!C42),0)</f>
        <v>136</v>
      </c>
      <c r="E52" s="1458" t="s">
        <v>949</v>
      </c>
      <c r="F52" s="2636">
        <f>'数据-取费表'!B41</f>
        <v>0.056</v>
      </c>
      <c r="G52" s="2637"/>
      <c r="H52" s="1575"/>
      <c r="I52" s="2678"/>
      <c r="J52" s="2061">
        <v>1</v>
      </c>
      <c r="K52" s="2061" t="s">
        <v>950</v>
      </c>
      <c r="L52" s="2061"/>
      <c r="M52" s="2679" t="b">
        <f ca="1">D48</f>
        <v>0</v>
      </c>
      <c r="N52" s="2061" t="str">
        <f>E48</f>
        <v>销售额×税（费）率</v>
      </c>
      <c r="O52" s="2680">
        <f>F48</f>
        <v>0.056</v>
      </c>
    </row>
    <row r="53" ht="12" customHeight="1" spans="1:15">
      <c r="A53" s="2635" t="s">
        <v>951</v>
      </c>
      <c r="B53" s="1435" t="s">
        <v>952</v>
      </c>
      <c r="C53" s="2638"/>
      <c r="D53" s="1454">
        <f ca="1">ROUND(D45*'数据-取费表'!B41/(1+'数据-取费表'!C42),0)</f>
        <v>136</v>
      </c>
      <c r="E53" s="1458" t="s">
        <v>949</v>
      </c>
      <c r="F53" s="2636">
        <f>'数据-取费表'!B41</f>
        <v>0.056</v>
      </c>
      <c r="G53" s="2637"/>
      <c r="H53" s="1575"/>
      <c r="I53" s="2678"/>
      <c r="J53" s="2061">
        <v>2</v>
      </c>
      <c r="K53" s="2061" t="s">
        <v>953</v>
      </c>
      <c r="L53" s="2061"/>
      <c r="M53" s="2679">
        <f ca="1" t="shared" ref="M53:O54" si="0">D55</f>
        <v>1</v>
      </c>
      <c r="N53" s="2061" t="str">
        <f t="shared" si="0"/>
        <v>销售额×税（费）率</v>
      </c>
      <c r="O53" s="2680" t="str">
        <f t="shared" si="0"/>
        <v>免征</v>
      </c>
    </row>
    <row r="54" ht="12" customHeight="1" spans="1:15">
      <c r="A54" s="2635" t="s">
        <v>954</v>
      </c>
      <c r="B54" s="1435" t="s">
        <v>955</v>
      </c>
      <c r="C54" s="2638"/>
      <c r="D54" s="1454">
        <f ca="1">C68</f>
        <v>136</v>
      </c>
      <c r="E54" s="1468" t="s">
        <v>956</v>
      </c>
      <c r="F54" s="2636">
        <f>'数据-取费表'!B41</f>
        <v>0.056</v>
      </c>
      <c r="G54" s="2637"/>
      <c r="H54" s="2639"/>
      <c r="I54" s="2678"/>
      <c r="J54" s="2061">
        <v>3</v>
      </c>
      <c r="K54" s="2061" t="s">
        <v>957</v>
      </c>
      <c r="L54" s="2061"/>
      <c r="M54" s="2679">
        <f ca="1" t="shared" si="0"/>
        <v>1443</v>
      </c>
      <c r="N54" s="2061" t="str">
        <f t="shared" si="0"/>
        <v>增值额×税（费）率</v>
      </c>
      <c r="O54" s="2681" t="str">
        <f t="shared" si="0"/>
        <v>免征</v>
      </c>
    </row>
    <row r="55" ht="24" customHeight="1" spans="1:15">
      <c r="A55" s="2635" t="s">
        <v>958</v>
      </c>
      <c r="B55" s="1458"/>
      <c r="C55" s="1458"/>
      <c r="D55" s="1559">
        <f ca="1">IF(H55="个人住宅",0,ROUND(D45*I55,0))</f>
        <v>1</v>
      </c>
      <c r="E55" s="1458" t="s">
        <v>959</v>
      </c>
      <c r="F55" s="2636" t="str">
        <f>IF(H55="正常",I55,"免征")</f>
        <v>免征</v>
      </c>
      <c r="G55" s="2637"/>
      <c r="H55" s="2624"/>
      <c r="I55" s="2682">
        <f>'数据-取费表'!B49</f>
        <v>0.0005</v>
      </c>
      <c r="J55" s="2061">
        <f>IF(H59="非个人房产","",4)</f>
        <v>4</v>
      </c>
      <c r="K55" s="2061" t="str">
        <f>IF(H59="非个人房产","——","个人所得税")</f>
        <v>个人所得税</v>
      </c>
      <c r="L55" s="2061"/>
      <c r="M55" s="2683">
        <f ca="1">D59</f>
        <v>24</v>
      </c>
      <c r="N55" s="2042" t="str">
        <f>E59</f>
        <v>差额计税</v>
      </c>
      <c r="O55" s="2684">
        <f>F59</f>
        <v>0.01</v>
      </c>
    </row>
    <row r="56" ht="24.75" spans="1:15">
      <c r="A56" s="2635" t="s">
        <v>960</v>
      </c>
      <c r="B56" s="1458"/>
      <c r="C56" s="1458"/>
      <c r="D56" s="1559">
        <f ca="1">IF(H56="个人住宅",D57,D58)</f>
        <v>1443</v>
      </c>
      <c r="E56" s="1458" t="s">
        <v>961</v>
      </c>
      <c r="F56" s="2636" t="str">
        <f>IF(H56="正常",F58,"免征")</f>
        <v>免征</v>
      </c>
      <c r="G56" s="2640" t="s">
        <v>962</v>
      </c>
      <c r="H56" s="2641"/>
      <c r="I56" s="2652"/>
      <c r="J56" s="2061" t="str">
        <f>IF(项目基本情况!K6="上海银行",IF(J55="",4,J55+1),"")</f>
        <v/>
      </c>
      <c r="K56" s="1559" t="str">
        <f>IF(项目基本情况!K6="上海银行","其他处置费用","")</f>
        <v/>
      </c>
      <c r="L56" s="2441"/>
      <c r="M56" s="2679" t="str">
        <f ca="1">IF(项目基本情况!K6="上海银行",M69,"")</f>
        <v/>
      </c>
      <c r="N56" s="1559" t="str">
        <f>IF(项目基本情况!K6="上海银行","包含处置中涉及的律师、诉讼、拍卖、评估等费用","")</f>
        <v/>
      </c>
      <c r="O56" s="1408"/>
    </row>
    <row r="57" ht="13.5" spans="1:16">
      <c r="A57" s="2635" t="s">
        <v>933</v>
      </c>
      <c r="B57" s="1435" t="s">
        <v>963</v>
      </c>
      <c r="C57" s="2638"/>
      <c r="D57" s="2625">
        <v>0</v>
      </c>
      <c r="E57" s="1464" t="s">
        <v>935</v>
      </c>
      <c r="F57" s="1402"/>
      <c r="G57" s="2637"/>
      <c r="H57" s="2642"/>
      <c r="I57" s="2652"/>
      <c r="J57" s="2061">
        <f>IF(AND(J55="",J56=""),4,IF(项目基本情况!K6="上海银行",结果表!J56+1,结果表!J55+1))</f>
        <v>5</v>
      </c>
      <c r="K57" s="2061" t="s">
        <v>964</v>
      </c>
      <c r="L57" s="2685" t="s">
        <v>965</v>
      </c>
      <c r="M57" s="2686"/>
      <c r="N57" s="2687">
        <f ca="1">SUMIF(M52:M56,"&lt;9e307")</f>
        <v>1468</v>
      </c>
      <c r="O57" s="2688"/>
      <c r="P57" s="2689">
        <f ca="1">N57/M49</f>
        <v>0.575912122400942</v>
      </c>
    </row>
    <row r="58" ht="24.75" spans="1:15">
      <c r="A58" s="2635" t="s">
        <v>947</v>
      </c>
      <c r="B58" s="1435" t="s">
        <v>966</v>
      </c>
      <c r="C58" s="1436"/>
      <c r="D58" s="1559">
        <f ca="1">IF(H58="转让取得",C81,C97)</f>
        <v>1443</v>
      </c>
      <c r="E58" s="1458" t="s">
        <v>961</v>
      </c>
      <c r="F58" s="1402" t="s">
        <v>124</v>
      </c>
      <c r="G58" s="2637"/>
      <c r="H58" s="2641"/>
      <c r="I58" s="2652"/>
      <c r="J58" s="2061"/>
      <c r="K58" s="2061"/>
      <c r="L58" s="2685" t="s">
        <v>967</v>
      </c>
      <c r="M58" s="2690"/>
      <c r="N58" s="2691" t="str">
        <f ca="1">NUMBERSTRING(INT(N57*10000),2)&amp;"元整"</f>
        <v>壹仟肆佰陆拾捌万元整</v>
      </c>
      <c r="O58" s="2692"/>
    </row>
    <row r="59" ht="24.75" spans="1:15">
      <c r="A59" s="2643" t="s">
        <v>968</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962</v>
      </c>
      <c r="H59" s="2649"/>
      <c r="I59" s="2693" t="s">
        <v>969</v>
      </c>
      <c r="J59" s="2042">
        <f>J57+1</f>
        <v>6</v>
      </c>
      <c r="K59" s="2061" t="s">
        <v>970</v>
      </c>
      <c r="L59" s="2061" t="s">
        <v>965</v>
      </c>
      <c r="M59" s="2694"/>
      <c r="N59" s="2695">
        <f ca="1">M49-N57</f>
        <v>1081</v>
      </c>
      <c r="O59" s="2696"/>
    </row>
    <row r="60" ht="12" customHeight="1" spans="1:15">
      <c r="A60" s="2650"/>
      <c r="B60" s="2499"/>
      <c r="C60" s="2499"/>
      <c r="D60" s="2499"/>
      <c r="E60" s="2651"/>
      <c r="F60" s="2652"/>
      <c r="G60" s="2652"/>
      <c r="H60" s="2653"/>
      <c r="I60" s="632"/>
      <c r="J60" s="2047"/>
      <c r="K60" s="2061"/>
      <c r="L60" s="2685" t="s">
        <v>967</v>
      </c>
      <c r="M60" s="2690"/>
      <c r="N60" s="2691" t="str">
        <f ca="1">NUMBERSTRING(INT(N59*10000),2)&amp;"元整"</f>
        <v>壹仟零捌拾壹万元整</v>
      </c>
      <c r="O60" s="2692"/>
    </row>
    <row r="61" ht="14.25" spans="1:15">
      <c r="A61" s="2654" t="s">
        <v>971</v>
      </c>
      <c r="B61" s="2654"/>
      <c r="C61" s="2654"/>
      <c r="D61" s="2654"/>
      <c r="E61" s="2654"/>
      <c r="F61" s="2652"/>
      <c r="G61" s="2652"/>
      <c r="H61" s="2653"/>
      <c r="I61" s="632"/>
      <c r="J61" s="2061">
        <f>J59+1</f>
        <v>7</v>
      </c>
      <c r="K61" s="2061" t="s">
        <v>972</v>
      </c>
      <c r="L61" s="2061"/>
      <c r="M61" s="2697"/>
      <c r="N61" s="2698">
        <f ca="1">ROUND(N59*10000/'数据-汇总表'!E3,0)</f>
        <v>15543</v>
      </c>
      <c r="O61" s="2699"/>
    </row>
    <row r="62" ht="13.5" spans="1:9">
      <c r="A62" s="2655" t="s">
        <v>973</v>
      </c>
      <c r="B62" s="2013"/>
      <c r="C62" s="2013"/>
      <c r="D62" s="2013" t="s">
        <v>974</v>
      </c>
      <c r="E62" s="2656" t="s">
        <v>928</v>
      </c>
      <c r="F62" s="2652"/>
      <c r="G62" s="2652"/>
      <c r="H62" s="2653"/>
      <c r="I62" s="632"/>
    </row>
    <row r="63" ht="13.5" spans="1:35">
      <c r="A63" s="2657" t="s">
        <v>975</v>
      </c>
      <c r="B63" s="2072" t="s">
        <v>976</v>
      </c>
      <c r="C63" s="2658">
        <f ca="1">ROUND((C64+C65)/(1+'数据-取费表'!C42),0)</f>
        <v>2428</v>
      </c>
      <c r="D63" s="2072"/>
      <c r="E63" s="2659"/>
      <c r="F63" s="2652"/>
      <c r="G63" s="2652"/>
      <c r="H63" s="2653"/>
      <c r="I63" s="632"/>
      <c r="J63" s="2700" t="s">
        <v>977</v>
      </c>
      <c r="K63" s="2700" t="s">
        <v>978</v>
      </c>
      <c r="L63" s="2700">
        <f ca="1">IF(M49&gt;10000,M49*0.5%,IF(AND(M49&gt;1000,M49&lt;=10000),M49*1%,IF(AND(M49&gt;100,M49&lt;=1000),M49*3%,IF(AND(M49&gt;10,M49&lt;=100),M49*5%,M49*8%))))</f>
        <v>25.49</v>
      </c>
      <c r="M63" s="1402">
        <f ca="1">ROUND(L63,1)</f>
        <v>25.5</v>
      </c>
      <c r="N63" s="2701"/>
      <c r="Z63" s="2496"/>
      <c r="AI63" s="2497"/>
    </row>
    <row r="64" ht="14.25" customHeight="1" spans="1:35">
      <c r="A64" s="2660" t="s">
        <v>979</v>
      </c>
      <c r="B64" s="1996" t="s">
        <v>980</v>
      </c>
      <c r="C64" s="2661">
        <f ca="1">D45</f>
        <v>2549</v>
      </c>
      <c r="D64" s="1996" t="s">
        <v>124</v>
      </c>
      <c r="E64" s="2662"/>
      <c r="F64" s="2652"/>
      <c r="G64" s="2652"/>
      <c r="H64" s="2653"/>
      <c r="I64" s="632"/>
      <c r="J64" s="2700"/>
      <c r="K64" s="2700" t="s">
        <v>981</v>
      </c>
      <c r="L64" s="2700">
        <f ca="1">IF(M49&gt;2000,M49*0.5%,IF(AND(M49&gt;1000,M49&lt;=2000),M49*0.6%,IF(AND(M49&gt;500,M49&lt;=1000),M49*0.7%,IF(AND(M49&gt;200,M49&lt;=500),M49*0.8%,IF(AND(M49&gt;100,M49&lt;=200),M49*0.9%,IF(AND(M49&gt;50,M49&lt;=100),M49*1%,IF(AND(M49&gt;20,M49&lt;=50),M49*1.5%,IF(AND(M49&gt;10,M49&lt;=20),M49*2%,IF(AND(M49&gt;1,M49&lt;=10),M49*2.5%)))))))))</f>
        <v>12.745</v>
      </c>
      <c r="M64" s="1402">
        <f ca="1" t="shared" ref="M64:M65" si="1">ROUND(L64,1)</f>
        <v>12.7</v>
      </c>
      <c r="N64" s="1575" t="s">
        <v>982</v>
      </c>
      <c r="Z64" s="2496"/>
      <c r="AI64" s="2497"/>
    </row>
    <row r="65" ht="14.25" customHeight="1" spans="1:35">
      <c r="A65" s="2660" t="s">
        <v>983</v>
      </c>
      <c r="B65" s="1996" t="s">
        <v>984</v>
      </c>
      <c r="C65" s="2703"/>
      <c r="D65" s="1996"/>
      <c r="E65" s="2662"/>
      <c r="F65" s="2652"/>
      <c r="G65" s="2652"/>
      <c r="H65" s="2653"/>
      <c r="I65" s="632"/>
      <c r="J65" s="2700"/>
      <c r="K65" s="2700" t="s">
        <v>985</v>
      </c>
      <c r="L65" s="2700">
        <f ca="1">IF(M49&gt;1000,M49*0.1%,IF(AND(M49&gt;500,M49&lt;=1000),M49*0.5%,IF(AND(M49&gt;50,M49&lt;=500),M49*1%,IF(AND(M49&gt;1,M49&lt;=50),M49*1.5%))))</f>
        <v>2.549</v>
      </c>
      <c r="M65" s="1402">
        <f ca="1" t="shared" si="1"/>
        <v>2.5</v>
      </c>
      <c r="N65" s="1575" t="s">
        <v>982</v>
      </c>
      <c r="Z65" s="2496"/>
      <c r="AI65" s="2497"/>
    </row>
    <row r="66" ht="14.25" customHeight="1" spans="1:35">
      <c r="A66" s="2657" t="s">
        <v>986</v>
      </c>
      <c r="B66" s="2704" t="s">
        <v>987</v>
      </c>
      <c r="C66" s="2705"/>
      <c r="D66" s="2704" t="s">
        <v>124</v>
      </c>
      <c r="E66" s="2706" t="s">
        <v>988</v>
      </c>
      <c r="F66" s="2652"/>
      <c r="G66" s="2652"/>
      <c r="H66" s="2653"/>
      <c r="I66" s="632"/>
      <c r="J66" s="2700"/>
      <c r="K66" s="2700" t="s">
        <v>989</v>
      </c>
      <c r="L66" s="2700">
        <f ca="1">M49*0.5%</f>
        <v>12.745</v>
      </c>
      <c r="M66" s="1402">
        <f ca="1">IF(L66&gt;0.5,0.5,ROUND(L66,0))</f>
        <v>0.5</v>
      </c>
      <c r="N66" s="1575" t="s">
        <v>990</v>
      </c>
      <c r="Z66" s="2496"/>
      <c r="AI66" s="2497"/>
    </row>
    <row r="67" ht="14.25" customHeight="1" spans="1:35">
      <c r="A67" s="2657" t="s">
        <v>991</v>
      </c>
      <c r="B67" s="2704" t="s">
        <v>992</v>
      </c>
      <c r="C67" s="2707">
        <f ca="1">C63-C66</f>
        <v>2428</v>
      </c>
      <c r="D67" s="1996" t="s">
        <v>124</v>
      </c>
      <c r="E67" s="2662"/>
      <c r="F67" s="2652"/>
      <c r="G67" s="2652"/>
      <c r="H67" s="2653"/>
      <c r="I67" s="632"/>
      <c r="J67" s="2700"/>
      <c r="K67" s="2700" t="s">
        <v>993</v>
      </c>
      <c r="L67" s="2700">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1"/>
      <c r="Z67" s="2496"/>
      <c r="AI67" s="2497"/>
    </row>
    <row r="68" ht="14.25" customHeight="1" spans="1:35">
      <c r="A68" s="2708" t="s">
        <v>994</v>
      </c>
      <c r="B68" s="2709" t="s">
        <v>995</v>
      </c>
      <c r="C68" s="2710">
        <f ca="1">IF(C67&lt;=0,0,ROUND(C67*D68,0))</f>
        <v>136</v>
      </c>
      <c r="D68" s="2263">
        <f>'数据-取费表'!B41</f>
        <v>0.056</v>
      </c>
      <c r="E68" s="2711"/>
      <c r="F68" s="2652"/>
      <c r="G68" s="2652"/>
      <c r="H68" s="2653"/>
      <c r="I68" s="632"/>
      <c r="J68" s="2700"/>
      <c r="K68" s="2700" t="s">
        <v>996</v>
      </c>
      <c r="L68" s="2700">
        <f ca="1">IF(M49&gt;10000,M49*0.5%,IF(AND(M49&gt;5000,M49&lt;=10000),M49*1%,IF(AND(M49&gt;1000,M49&lt;=5000),M49*2%,IF(AND(M49&gt;200,M49&lt;=1000),M49*3%,M49*5%))))</f>
        <v>50.98</v>
      </c>
      <c r="M68" s="1402">
        <f ca="1">ROUND(L68,1)</f>
        <v>51</v>
      </c>
      <c r="N68" s="2701"/>
      <c r="Z68" s="2496"/>
      <c r="AI68" s="2497"/>
    </row>
    <row r="69" s="2494" customFormat="1" ht="16.5" customHeight="1" spans="1:34">
      <c r="A69" s="2712"/>
      <c r="B69" s="2713"/>
      <c r="C69" s="2714"/>
      <c r="D69" s="2181"/>
      <c r="E69" s="2715"/>
      <c r="F69" s="2651"/>
      <c r="G69" s="2651"/>
      <c r="H69" s="2599"/>
      <c r="I69" s="2499"/>
      <c r="J69" s="2700"/>
      <c r="K69" s="2700" t="s">
        <v>997</v>
      </c>
      <c r="L69" s="2700"/>
      <c r="M69" s="1402">
        <f ca="1">ROUND(SUM(M63:M68),0)</f>
        <v>95</v>
      </c>
      <c r="N69" s="2813">
        <f ca="1">M69/M49</f>
        <v>0.0372695174578266</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973</v>
      </c>
      <c r="B71" s="2013"/>
      <c r="C71" s="2013"/>
      <c r="D71" s="2013" t="s">
        <v>974</v>
      </c>
      <c r="E71" s="2718" t="s">
        <v>928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975</v>
      </c>
      <c r="B72" s="2704" t="s">
        <v>999</v>
      </c>
      <c r="C72" s="2707">
        <f ca="1">ROUND(D45/(1+'数据-取费表'!C42),0)</f>
        <v>2428</v>
      </c>
      <c r="D72" s="1996" t="s">
        <v>124</v>
      </c>
      <c r="E72" s="1435"/>
      <c r="F72" s="1436"/>
      <c r="G72" s="1436"/>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986</v>
      </c>
      <c r="B73" s="2618" t="s">
        <v>1000</v>
      </c>
      <c r="C73" s="2707">
        <f ca="1">C74+C78</f>
        <v>15</v>
      </c>
      <c r="D73" s="1996" t="s">
        <v>124</v>
      </c>
      <c r="E73" s="1435"/>
      <c r="F73" s="1436"/>
      <c r="G73" s="1436"/>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979</v>
      </c>
      <c r="B74" s="1996" t="s">
        <v>1001</v>
      </c>
      <c r="C74" s="1996">
        <f>ROUND(IF(G77="2016年5月1日后购买",C75/(1+'数据-取费表'!C42)+C76+C77,C75+C76+C77),0)</f>
        <v>0</v>
      </c>
      <c r="D74" s="1996" t="s">
        <v>124</v>
      </c>
      <c r="E74" s="1435"/>
      <c r="F74" s="1436"/>
      <c r="G74" s="1436"/>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1002</v>
      </c>
      <c r="B75" s="1996" t="s">
        <v>1003</v>
      </c>
      <c r="C75" s="2722"/>
      <c r="D75" s="1996" t="s">
        <v>124</v>
      </c>
      <c r="E75" s="2723" t="s">
        <v>1004</v>
      </c>
      <c r="F75" s="2724"/>
      <c r="G75" s="2723" t="s">
        <v>1005</v>
      </c>
      <c r="H75" s="2725"/>
      <c r="I75" s="2282"/>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1006</v>
      </c>
      <c r="B76" s="2726" t="s">
        <v>1007</v>
      </c>
      <c r="C76" s="1996">
        <f>IF(F75="购房发票",ROUND(C75*H75*D76,0),0)</f>
        <v>0</v>
      </c>
      <c r="D76" s="2727">
        <v>0.05</v>
      </c>
      <c r="E76" s="1435" t="s">
        <v>1008</v>
      </c>
      <c r="F76" s="1436"/>
      <c r="G76" s="1436"/>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1009</v>
      </c>
      <c r="B77" s="1996" t="s">
        <v>1010</v>
      </c>
      <c r="C77" s="1996">
        <f>ROUND(IF(G77="个人住宅",0,IF(G77="2016年5月1日前购买",C75*D77,C75*D77/(1+'数据-取费表'!C42))),0)</f>
        <v>0</v>
      </c>
      <c r="D77" s="2729">
        <f>'数据-取费表'!B48+'数据-取费表'!B49</f>
        <v>0.0305</v>
      </c>
      <c r="E77" s="1559" t="s">
        <v>1011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983</v>
      </c>
      <c r="B78" s="1996" t="s">
        <v>1012</v>
      </c>
      <c r="C78" s="2732">
        <f ca="1">ROUND(D45*D78/(1+'数据-取费表'!C42),0)</f>
        <v>15</v>
      </c>
      <c r="D78" s="2733">
        <f>'数据-取费表'!B43</f>
        <v>0.006</v>
      </c>
      <c r="E78" s="2734" t="s">
        <v>1013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991</v>
      </c>
      <c r="B79" s="2704" t="s">
        <v>1014</v>
      </c>
      <c r="C79" s="2707">
        <f ca="1">C72-C73</f>
        <v>2413</v>
      </c>
      <c r="D79" s="1996" t="s">
        <v>124</v>
      </c>
      <c r="E79" s="1435"/>
      <c r="F79" s="1436"/>
      <c r="G79" s="1436"/>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994</v>
      </c>
      <c r="B80" s="2704" t="s">
        <v>1015</v>
      </c>
      <c r="C80" s="2737">
        <f ca="1">IF(C79&lt;=0,0,C79/C73)</f>
        <v>160.866666666667</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1016</v>
      </c>
      <c r="B81" s="2709" t="s">
        <v>1017</v>
      </c>
      <c r="C81" s="2738">
        <f ca="1">ROUND(IF(C79&lt;=0,0,IF(C80&gt;=200%,C79*60%-C73*35%,IF(C80&gt;=100%,C79*50%-C73*15%,IF(C80&gt;=50%,C79*40%-C73*5%,IF(C80&lt;50%,C79*30%,0))))),0)</f>
        <v>1443</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5"/>
      <c r="D82" s="216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1018</v>
      </c>
      <c r="B83" s="2717"/>
      <c r="C83" s="2717"/>
      <c r="D83" s="2717"/>
      <c r="E83" s="2717"/>
      <c r="F83" s="2717"/>
      <c r="G83" s="2717"/>
      <c r="H83" s="2717"/>
      <c r="I83" s="2282"/>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973</v>
      </c>
      <c r="B84" s="2013"/>
      <c r="C84" s="2013"/>
      <c r="D84" s="2013" t="s">
        <v>974</v>
      </c>
      <c r="E84" s="2718" t="s">
        <v>928</v>
      </c>
      <c r="F84" s="2719"/>
      <c r="G84" s="2719"/>
      <c r="H84" s="2746"/>
      <c r="I84" s="2282"/>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975</v>
      </c>
      <c r="B85" s="2704" t="s">
        <v>999</v>
      </c>
      <c r="C85" s="2707">
        <f ca="1">ROUND(D45/(1+'数据-取费表'!C42),0)</f>
        <v>2428</v>
      </c>
      <c r="D85" s="1996" t="s">
        <v>124</v>
      </c>
      <c r="E85" s="1435"/>
      <c r="F85" s="1436"/>
      <c r="G85" s="1436"/>
      <c r="H85" s="2747"/>
      <c r="I85" s="2282"/>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986</v>
      </c>
      <c r="B86" s="2618" t="s">
        <v>1000</v>
      </c>
      <c r="C86" s="2707">
        <f ca="1">IF(H88="仅含出让金",C87+C90+C91+C92+C93+C94,C87+C91+C92+C93+C94)</f>
        <v>15</v>
      </c>
      <c r="D86" s="2748"/>
      <c r="E86" s="1435"/>
      <c r="F86" s="1436"/>
      <c r="G86" s="1436"/>
      <c r="H86" s="2747"/>
      <c r="I86" s="2282"/>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979</v>
      </c>
      <c r="B87" s="1996" t="s">
        <v>1019</v>
      </c>
      <c r="C87" s="2732">
        <f>C88+C89</f>
        <v>0</v>
      </c>
      <c r="D87" s="2733"/>
      <c r="E87" s="2734"/>
      <c r="F87" s="2735"/>
      <c r="G87" s="2735"/>
      <c r="H87" s="2736"/>
      <c r="I87" s="2282"/>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1002</v>
      </c>
      <c r="B88" s="1996" t="s">
        <v>1020</v>
      </c>
      <c r="C88" s="2749"/>
      <c r="D88" s="2733"/>
      <c r="E88" s="2750" t="s">
        <v>1021</v>
      </c>
      <c r="F88" s="2735"/>
      <c r="G88" s="2751" t="s">
        <v>1022</v>
      </c>
      <c r="H88" s="2752"/>
      <c r="I88" s="2282"/>
      <c r="J88" s="2819" t="s">
        <v>1023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1006</v>
      </c>
      <c r="B89" s="1996" t="s">
        <v>1010</v>
      </c>
      <c r="C89" s="2732">
        <f>ROUND(C88*D89,0)</f>
        <v>0</v>
      </c>
      <c r="D89" s="2733">
        <f>'数据-取费表'!B48+'数据-取费表'!B49</f>
        <v>0.0305</v>
      </c>
      <c r="E89" s="2750" t="s">
        <v>1024</v>
      </c>
      <c r="F89" s="2735"/>
      <c r="G89" s="2735"/>
      <c r="H89" s="2736"/>
      <c r="I89" s="2282"/>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983</v>
      </c>
      <c r="B90" s="1996" t="s">
        <v>1025</v>
      </c>
      <c r="C90" s="2749"/>
      <c r="D90" s="2733"/>
      <c r="E90" s="2750" t="str">
        <f>IF(H88="-","土地取得成本中已包含该笔费用"," ")</f>
        <v> </v>
      </c>
      <c r="F90" s="2735"/>
      <c r="G90" s="2753" t="s">
        <v>1026</v>
      </c>
      <c r="H90" s="2754"/>
      <c r="I90" s="2282"/>
      <c r="J90" s="2819" t="s">
        <v>1027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1028</v>
      </c>
      <c r="B91" s="1996" t="s">
        <v>1029</v>
      </c>
      <c r="C91" s="2732">
        <f ca="1">IF(H91="——",成本法!C33,I91)</f>
        <v>0</v>
      </c>
      <c r="D91" s="2733"/>
      <c r="E91" s="2734" t="s">
        <v>1030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1031</v>
      </c>
      <c r="B92" s="1996" t="s">
        <v>1032</v>
      </c>
      <c r="C92" s="2732">
        <f ca="1">ROUND((C87+C90+C91)*D92,0)</f>
        <v>0</v>
      </c>
      <c r="D92" s="2756"/>
      <c r="E92" s="2734" t="s">
        <v>1033</v>
      </c>
      <c r="F92" s="2735"/>
      <c r="G92" s="2735"/>
      <c r="H92" s="2736"/>
      <c r="I92" s="2282"/>
      <c r="J92" s="2821" t="s">
        <v>1034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1035</v>
      </c>
      <c r="B93" s="1996" t="s">
        <v>1012</v>
      </c>
      <c r="C93" s="2732">
        <f ca="1">ROUND(D45*D93/(1+'数据-取费表'!C42),0)</f>
        <v>15</v>
      </c>
      <c r="D93" s="2733">
        <f>'数据-取费表'!B43</f>
        <v>0.006</v>
      </c>
      <c r="E93" s="2734" t="s">
        <v>1013</v>
      </c>
      <c r="F93" s="2735"/>
      <c r="G93" s="2735"/>
      <c r="H93" s="2736"/>
      <c r="I93" s="2282"/>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1036</v>
      </c>
      <c r="B94" s="1996" t="s">
        <v>1037</v>
      </c>
      <c r="C94" s="2749">
        <f ca="1">ROUND((C87+C90+C91)*D94,0)</f>
        <v>0</v>
      </c>
      <c r="D94" s="2733">
        <v>0.2</v>
      </c>
      <c r="E94" s="2757" t="s">
        <v>1038</v>
      </c>
      <c r="F94" s="2758"/>
      <c r="G94" s="2758"/>
      <c r="H94" s="2759"/>
      <c r="I94" s="2282"/>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991</v>
      </c>
      <c r="B95" s="2704" t="s">
        <v>1014</v>
      </c>
      <c r="C95" s="2707">
        <f ca="1">ROUND(C85-C86,0)</f>
        <v>2413</v>
      </c>
      <c r="D95" s="1996" t="s">
        <v>124</v>
      </c>
      <c r="E95" s="1435"/>
      <c r="F95" s="1436"/>
      <c r="G95" s="1436"/>
      <c r="H95" s="2747"/>
      <c r="I95" s="2282"/>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994</v>
      </c>
      <c r="B96" s="2704" t="s">
        <v>1015</v>
      </c>
      <c r="C96" s="2737">
        <f ca="1">IF(C95&lt;=0,0,C95/C86)</f>
        <v>160.866666666667</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7"/>
      <c r="I96" s="2282"/>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1016</v>
      </c>
      <c r="B97" s="2709" t="s">
        <v>1017</v>
      </c>
      <c r="C97" s="2738">
        <f ca="1">ROUND(IF(C95&lt;=0,0,IF(C96&gt;=200%,C95*60%-C86*35%,IF(C96&gt;=100%,C95*50%-C86*15%,IF(C96&gt;=50%,C95*40%-C86*5%,IF(C96&lt;50%,C95*30%,0))))),0)</f>
        <v>1443</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2"/>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1039</v>
      </c>
      <c r="B99" s="2499"/>
      <c r="C99" s="2499"/>
      <c r="D99" s="2499"/>
      <c r="E99" s="2651"/>
      <c r="F99" s="2651"/>
      <c r="G99" s="2651"/>
      <c r="H99" s="2599"/>
      <c r="I99" s="632"/>
    </row>
    <row r="100" ht="18.75" customHeight="1" spans="1:9">
      <c r="A100" s="2761" t="s">
        <v>1040</v>
      </c>
      <c r="B100" s="2762"/>
      <c r="C100" s="2762"/>
      <c r="D100" s="2763"/>
      <c r="E100" s="2762" t="s">
        <v>1041</v>
      </c>
      <c r="F100" s="2762"/>
      <c r="G100" s="2762"/>
      <c r="H100" s="2763"/>
      <c r="I100" s="632"/>
    </row>
    <row r="101" ht="18.75" customHeight="1" spans="1:9">
      <c r="A101" s="2764" t="s">
        <v>1042</v>
      </c>
      <c r="B101" s="2765"/>
      <c r="C101" s="2766" t="str">
        <f>C4</f>
        <v>成本法3号楼</v>
      </c>
      <c r="D101" s="2767" t="str">
        <f>D4</f>
        <v>收益法（汇总）</v>
      </c>
      <c r="E101" s="2768" t="s">
        <v>1043</v>
      </c>
      <c r="F101" s="2769"/>
      <c r="G101" s="2770" t="s">
        <v>1044</v>
      </c>
      <c r="H101" s="2771">
        <f ca="1">H118</f>
        <v>2549</v>
      </c>
      <c r="I101" s="632"/>
    </row>
    <row r="102" ht="18.75" customHeight="1" spans="1:9">
      <c r="A102" s="2772" t="s">
        <v>1045</v>
      </c>
      <c r="B102" s="2773" t="s">
        <v>1044</v>
      </c>
      <c r="C102" s="2766">
        <f ca="1">IF(D32="楼面单价",ROUND(C19,0),C19)</f>
        <v>3208</v>
      </c>
      <c r="D102" s="2767">
        <f ca="1">IF(D32="楼面单价",ROUND(D19,0),D19)</f>
        <v>3075</v>
      </c>
      <c r="E102" s="2768"/>
      <c r="F102" s="2769"/>
      <c r="G102" s="2770" t="s">
        <v>99</v>
      </c>
      <c r="H102" s="2637">
        <f ca="1">I118</f>
        <v>36650</v>
      </c>
      <c r="I102" s="632"/>
    </row>
    <row r="103" ht="42.75" customHeight="1" spans="1:9">
      <c r="A103" s="2772"/>
      <c r="B103" s="2773" t="s">
        <v>99</v>
      </c>
      <c r="C103" s="2774">
        <f ca="1">C20</f>
        <v>46142</v>
      </c>
      <c r="D103" s="2775">
        <f ca="1">D20</f>
        <v>44211</v>
      </c>
      <c r="E103" s="2776" t="s">
        <v>1046</v>
      </c>
      <c r="F103" s="2777"/>
      <c r="G103" s="2778" t="s">
        <v>102</v>
      </c>
      <c r="H103" s="2771">
        <f>IF(D36="正常操作",H104+H105+H106,H105+H106)</f>
        <v>0</v>
      </c>
      <c r="I103" s="632"/>
    </row>
    <row r="104" ht="18.75" customHeight="1" spans="1:9">
      <c r="A104" s="2772" t="s">
        <v>1047</v>
      </c>
      <c r="B104" s="2779" t="s">
        <v>1044</v>
      </c>
      <c r="C104" s="2780">
        <f ca="1">H118</f>
        <v>2549</v>
      </c>
      <c r="D104" s="2781"/>
      <c r="E104" s="2583" t="s">
        <v>1048</v>
      </c>
      <c r="F104" s="2782"/>
      <c r="G104" s="2778" t="s">
        <v>102</v>
      </c>
      <c r="H104" s="2783">
        <f>IF(D36="同一抵押权人同一抵押物续贷",C36&amp;"（续贷，未扣减，详见特别提示）",C36)</f>
        <v>0</v>
      </c>
      <c r="I104" s="632"/>
    </row>
    <row r="105" ht="18.75" customHeight="1" spans="1:9">
      <c r="A105" s="2784"/>
      <c r="B105" s="2785" t="s">
        <v>99</v>
      </c>
      <c r="C105" s="2786">
        <f ca="1">I118</f>
        <v>36650</v>
      </c>
      <c r="D105" s="2787"/>
      <c r="E105" s="2583" t="s">
        <v>1049</v>
      </c>
      <c r="F105" s="2782"/>
      <c r="G105" s="2778" t="s">
        <v>102</v>
      </c>
      <c r="H105" s="2788">
        <f>C37</f>
        <v>0</v>
      </c>
      <c r="I105" s="632"/>
    </row>
    <row r="106" ht="18.75" customHeight="1" spans="1:9">
      <c r="A106" s="2499" t="s">
        <v>1050</v>
      </c>
      <c r="B106" s="2499"/>
      <c r="C106" s="2499"/>
      <c r="D106" s="2499"/>
      <c r="E106" s="2789" t="s">
        <v>1051</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1044</v>
      </c>
      <c r="H107" s="2771">
        <f ca="1">IF(E107="——","——",H101-H103)</f>
        <v>2549</v>
      </c>
      <c r="I107" s="632"/>
    </row>
    <row r="108" ht="18.75" customHeight="1" spans="1:9">
      <c r="A108" s="632"/>
      <c r="B108" s="632"/>
      <c r="C108" s="632"/>
      <c r="D108" s="632"/>
      <c r="E108" s="2790"/>
      <c r="F108" s="2769"/>
      <c r="G108" s="2770" t="s">
        <v>99</v>
      </c>
      <c r="H108" s="2637">
        <f ca="1">IF(H107=H101,H102,ROUND(H107*10000/'数据-汇总表'!E3,0))</f>
        <v>36650</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1044</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1044</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1050</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1052</v>
      </c>
      <c r="B115" s="2800"/>
      <c r="C115" s="2800"/>
      <c r="D115" s="2800"/>
      <c r="E115" s="2800"/>
      <c r="F115" s="2800"/>
      <c r="G115" s="2800"/>
      <c r="H115" s="2800"/>
      <c r="I115" s="2822"/>
    </row>
    <row r="116" ht="27" customHeight="1" spans="1:9">
      <c r="A116" s="2512" t="s">
        <v>1053</v>
      </c>
      <c r="B116" s="2801" t="s">
        <v>1054</v>
      </c>
      <c r="C116" s="2801" t="s">
        <v>1055</v>
      </c>
      <c r="D116" s="2802" t="s">
        <v>1056</v>
      </c>
      <c r="E116" s="2803"/>
      <c r="F116" s="2804" t="s">
        <v>1057</v>
      </c>
      <c r="G116" s="2804"/>
      <c r="H116" s="2512" t="s">
        <v>1058</v>
      </c>
      <c r="I116" s="2512"/>
    </row>
    <row r="117" ht="18.75" customHeight="1" spans="1:9">
      <c r="A117" s="2512"/>
      <c r="B117" s="2805"/>
      <c r="C117" s="2805"/>
      <c r="D117" s="2512" t="s">
        <v>1059</v>
      </c>
      <c r="E117" s="2512" t="s">
        <v>886</v>
      </c>
      <c r="F117" s="2512" t="s">
        <v>1059</v>
      </c>
      <c r="G117" s="2512" t="s">
        <v>886</v>
      </c>
      <c r="H117" s="2512" t="s">
        <v>1059</v>
      </c>
      <c r="I117" s="2512" t="s">
        <v>886</v>
      </c>
    </row>
    <row r="118" ht="24.75" customHeight="1" spans="1:9">
      <c r="A118" s="2806" t="str">
        <f>项目基本情况!S2</f>
        <v>北京市东城区（原崇文区）光明西街3号、甲3号3号楼房地产</v>
      </c>
      <c r="B118" s="2512">
        <f>M18</f>
        <v>695.5</v>
      </c>
      <c r="C118" s="2512">
        <f>M19</f>
        <v>0</v>
      </c>
      <c r="D118" s="2512">
        <f ca="1">ROUND(IF(D32="总价",C34,E118*B118/10000),0)</f>
        <v>2419</v>
      </c>
      <c r="E118" s="2512">
        <f ca="1">ROUND(IF(C33="自定义",IF(D32="楼面单价",C34,D118*10000/B118),I118-G118),0)</f>
        <v>34781</v>
      </c>
      <c r="F118" s="2512">
        <f ca="1">ROUND(IF(D32="总价",C35,G118*B118/10000),0)</f>
        <v>130</v>
      </c>
      <c r="G118" s="2512">
        <f ca="1">ROUND(IF(D32="楼面单价",C35,F118*10000/B118),0)</f>
        <v>1869</v>
      </c>
      <c r="H118" s="2512">
        <f ca="1">ROUND(IF(D32="总价",C32,I118*B118/10000),0)</f>
        <v>2549</v>
      </c>
      <c r="I118" s="2512">
        <f ca="1">ROUND(IF(D32="楼面单价",C32,H118*10000/B118),0)</f>
        <v>36650</v>
      </c>
    </row>
    <row r="119" ht="18.75" customHeight="1" spans="1:9">
      <c r="A119" s="2512" t="s">
        <v>1060</v>
      </c>
      <c r="B119" s="2512"/>
      <c r="C119" s="2512"/>
      <c r="D119" s="2807" t="str">
        <f ca="1">NUMBERSTRING(INT(D118*10000),2)&amp;"元整"</f>
        <v>贰仟肆佰壹拾玖万元整</v>
      </c>
      <c r="E119" s="2808"/>
      <c r="F119" s="2807" t="str">
        <f ca="1">NUMBERSTRING(INT(F118*10000),2)&amp;"元整"</f>
        <v>壹佰叁拾万元整</v>
      </c>
      <c r="G119" s="2808"/>
      <c r="H119" s="2807" t="str">
        <f ca="1">NUMBERSTRING(INT(H118*10000),2)&amp;"元整"</f>
        <v>贰仟伍佰肆拾玖万元整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1060</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2549</v>
      </c>
      <c r="E122" s="2810"/>
      <c r="F122" s="2810"/>
      <c r="G122" s="2810"/>
      <c r="H122" s="2810"/>
      <c r="I122" s="2811"/>
      <c r="AA122" s="587"/>
    </row>
    <row r="123" ht="18.75" customHeight="1" spans="1:27">
      <c r="A123" s="2512" t="s">
        <v>1060</v>
      </c>
      <c r="B123" s="2512"/>
      <c r="C123" s="2512"/>
      <c r="D123" s="2807" t="str">
        <f ca="1">NUMBERSTRING(INT(D122*10000),2)&amp;"元整"</f>
        <v>贰仟伍佰肆拾玖万元整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1060</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1060</v>
      </c>
      <c r="B127" s="2512"/>
      <c r="C127" s="2512"/>
      <c r="D127" s="2807" t="e">
        <f ca="1">NUMBERSTRING(INT(D126*10000),2)&amp;"元整"</f>
        <v>#VALUE!</v>
      </c>
      <c r="E127" s="2812"/>
      <c r="F127" s="2812"/>
      <c r="G127" s="2812"/>
      <c r="H127" s="2812"/>
      <c r="I127" s="2808"/>
      <c r="AA127" s="587"/>
    </row>
    <row r="128" customHeight="1" spans="1:27">
      <c r="A128" s="1523" t="s">
        <v>113</v>
      </c>
      <c r="B128" s="1523"/>
      <c r="C128" s="1523"/>
      <c r="D128" s="1523"/>
      <c r="E128" s="1523"/>
      <c r="F128" s="1523"/>
      <c r="G128" s="1523"/>
      <c r="H128" s="1523"/>
      <c r="I128" s="1523"/>
      <c r="AA128" s="587"/>
    </row>
    <row r="129" customHeight="1" spans="1:27">
      <c r="A129" s="2824" t="s">
        <v>1061</v>
      </c>
      <c r="B129" s="2825"/>
      <c r="C129" s="2826" t="s">
        <v>1062</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1063</v>
      </c>
      <c r="G135" s="2838"/>
      <c r="H135" s="2838"/>
      <c r="I135" s="2846" t="s">
        <v>1064</v>
      </c>
    </row>
    <row r="136" customHeight="1" spans="1:9">
      <c r="A136" s="587"/>
      <c r="B136" s="2839"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1066</v>
      </c>
    </row>
    <row r="139" customHeight="1" spans="1:9">
      <c r="A139" s="587"/>
      <c r="B139" s="2839" t="s">
        <v>1067</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1066</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90"/>
      <c r="H9" s="2491"/>
      <c r="I9" s="2492"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1" sqref="F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3156.5715</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46142</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2386">
        <f>'数据-取费表'!N6</f>
        <v>0.6</v>
      </c>
      <c r="G50" s="448"/>
    </row>
    <row r="51" ht="16.5" customHeight="1" spans="1:7">
      <c r="A51" s="401" t="s">
        <v>1158</v>
      </c>
      <c r="B51" s="402" t="s">
        <v>1172</v>
      </c>
      <c r="C51" s="429">
        <f ca="1">ROUND(C49*F50,0)</f>
        <v>1288322</v>
      </c>
      <c r="D51" s="429"/>
      <c r="E51" s="429"/>
      <c r="F51" s="467"/>
      <c r="G51" s="434" t="s">
        <v>1160</v>
      </c>
    </row>
    <row r="52" s="382" customFormat="1" ht="16.5" spans="1:7">
      <c r="A52" s="468" t="s">
        <v>1161</v>
      </c>
      <c r="B52" s="469"/>
      <c r="C52" s="470">
        <f ca="1">C31+C51</f>
        <v>31565715</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1173</v>
      </c>
      <c r="B1" s="1481"/>
      <c r="C1" s="2406"/>
      <c r="D1" s="2407"/>
      <c r="E1" s="2408"/>
      <c r="F1" s="2408"/>
      <c r="G1" s="2409"/>
      <c r="H1" s="2408"/>
      <c r="I1" s="2408"/>
      <c r="J1" s="2408"/>
      <c r="K1" s="2477">
        <f>MATCH(C1,'数据-取费表'!A6:A16,0)+5</f>
        <v>8</v>
      </c>
    </row>
    <row r="2" ht="18" customHeight="1" spans="1:11">
      <c r="A2" s="393" t="s">
        <v>1069</v>
      </c>
      <c r="B2" s="397">
        <f ca="1">C32</f>
        <v>-15</v>
      </c>
      <c r="C2" s="2410" t="s">
        <v>1174</v>
      </c>
      <c r="D2" s="2410"/>
      <c r="E2" s="2408"/>
      <c r="F2" s="2408"/>
      <c r="G2" s="2408"/>
      <c r="H2" s="2408"/>
      <c r="I2" s="2408"/>
      <c r="J2" s="2408"/>
      <c r="K2" s="2408"/>
    </row>
    <row r="3" ht="18" customHeight="1" spans="1:11">
      <c r="A3" s="396" t="s">
        <v>1071</v>
      </c>
      <c r="B3" s="397">
        <f ca="1">ROUND(B2*10000/IF(C1="",'数据-汇总表'!E3,INDIRECT("'数据-取费表'!K"&amp;$K$1)),0)</f>
        <v>-216</v>
      </c>
      <c r="C3" s="2410" t="s">
        <v>1175</v>
      </c>
      <c r="D3" s="2410"/>
      <c r="E3" s="2408"/>
      <c r="F3" s="2408"/>
      <c r="G3" s="2408"/>
      <c r="H3" s="2408"/>
      <c r="I3" s="2408"/>
      <c r="J3" s="2408"/>
      <c r="K3" s="2408"/>
    </row>
    <row r="4" s="2395" customFormat="1" ht="16.5" customHeight="1" spans="1:11">
      <c r="A4" s="2411" t="s">
        <v>1176</v>
      </c>
      <c r="B4" s="2412"/>
      <c r="C4" s="2413">
        <f>SUM(C8:K8)</f>
        <v>0</v>
      </c>
      <c r="D4" s="2412"/>
      <c r="E4" s="2412"/>
      <c r="F4" s="2412"/>
      <c r="G4" s="2412"/>
      <c r="H4" s="2412"/>
      <c r="I4" s="2412"/>
      <c r="J4" s="2412"/>
      <c r="K4" s="2478"/>
    </row>
    <row r="5" s="2396" customFormat="1" ht="15" spans="1:33">
      <c r="A5" s="2414" t="s">
        <v>1177</v>
      </c>
      <c r="B5" s="2415" t="s">
        <v>1178</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444" t="s">
        <v>1179</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444"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1180</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1181</v>
      </c>
      <c r="B9" s="2412"/>
      <c r="C9" s="2412"/>
      <c r="D9" s="2412"/>
      <c r="E9" s="2412"/>
      <c r="F9" s="2412"/>
      <c r="G9" s="2412"/>
      <c r="H9" s="2412"/>
      <c r="I9" s="2412"/>
      <c r="J9" s="2412"/>
      <c r="K9" s="2478"/>
    </row>
    <row r="10" s="2398" customFormat="1" ht="13.5" customHeight="1" spans="1:11">
      <c r="A10" s="2414" t="s">
        <v>1177</v>
      </c>
      <c r="B10" s="2424" t="s">
        <v>1178</v>
      </c>
      <c r="C10" s="2425" t="s">
        <v>1182</v>
      </c>
      <c r="D10" s="2426" t="s">
        <v>1183</v>
      </c>
      <c r="E10" s="2426" t="s">
        <v>1184</v>
      </c>
      <c r="F10" s="2426" t="s">
        <v>1185</v>
      </c>
      <c r="G10" s="2424"/>
      <c r="H10" s="2427"/>
      <c r="I10" s="2427"/>
      <c r="J10" s="2427"/>
      <c r="K10" s="2484"/>
    </row>
    <row r="11" s="2399" customFormat="1" ht="13.5" customHeight="1" spans="1:11">
      <c r="A11" s="2428" t="s">
        <v>1084</v>
      </c>
      <c r="B11" s="2429" t="s">
        <v>1186</v>
      </c>
      <c r="C11" s="2430">
        <f ca="1">IF(C1="",'数据-取费表'!P16,INDIRECT("'数据-取费表'!p"&amp;$K$1)+INDIRECT("'数据-取费表'!ar"&amp;$K$1))</f>
        <v>0</v>
      </c>
      <c r="D11" s="2431"/>
      <c r="E11" s="1447"/>
      <c r="F11" s="2432">
        <f ca="1">1-IF('数据-取费表'!B24=0,1,IF(C1="",'数据-取费表'!N16,INDIRECT("'数据-取费表'!n"&amp;$K$1)))</f>
        <v>0</v>
      </c>
      <c r="G11" s="2424"/>
      <c r="H11" s="2427"/>
      <c r="I11" s="2427"/>
      <c r="J11" s="2427"/>
      <c r="K11" s="2484"/>
    </row>
    <row r="12" s="2399" customFormat="1" ht="13.5" customHeight="1" spans="1:11">
      <c r="A12" s="2428" t="s">
        <v>1087</v>
      </c>
      <c r="B12" s="2429" t="s">
        <v>1187</v>
      </c>
      <c r="C12" s="643">
        <f ca="1">ROUND(C11*F12,0)</f>
        <v>0</v>
      </c>
      <c r="D12" s="2431"/>
      <c r="E12" s="1447"/>
      <c r="F12" s="2432">
        <f>'数据-取费表'!B33</f>
        <v>0.03</v>
      </c>
      <c r="G12" s="2424" t="s">
        <v>1188</v>
      </c>
      <c r="H12" s="2427"/>
      <c r="I12" s="2427"/>
      <c r="J12" s="2427"/>
      <c r="K12" s="2484"/>
    </row>
    <row r="13" s="2399" customFormat="1" ht="13.5" customHeight="1" spans="1:11">
      <c r="A13" s="2428" t="s">
        <v>1189</v>
      </c>
      <c r="B13" s="2429" t="s">
        <v>1190</v>
      </c>
      <c r="C13" s="643">
        <f ca="1">ROUND(IF(C1="",SUMIF('数据-取费表'!C:C,"住宅",'数据-取费表'!P:P)*F13,IF(INDIRECT("'数据-取费表'!c"&amp;$K$1)="住宅",INDIRECT("'数据-取费表'!P"&amp;$K$1)*F13,0)),0)</f>
        <v>0</v>
      </c>
      <c r="D13" s="2433"/>
      <c r="E13" s="1447"/>
      <c r="F13" s="2432">
        <f>'数据-取费表'!B34</f>
        <v>0</v>
      </c>
      <c r="G13" s="2424" t="s">
        <v>1191</v>
      </c>
      <c r="H13" s="2427"/>
      <c r="I13" s="2427"/>
      <c r="J13" s="2427"/>
      <c r="K13" s="2484"/>
    </row>
    <row r="14" s="2400" customFormat="1" ht="13.5" customHeight="1" spans="1:33">
      <c r="A14" s="2428" t="s">
        <v>1192</v>
      </c>
      <c r="B14" s="2429" t="s">
        <v>1193</v>
      </c>
      <c r="C14" s="643">
        <f ca="1">ROUND(D14*E14*F11/10000,0)</f>
        <v>0</v>
      </c>
      <c r="D14" s="2433">
        <f ca="1">IF(C1="",'数据-汇总表'!E3,INDIRECT("'数据-取费表'!K"&amp;$K$1)+INDIRECT("'数据-取费表'!S"&amp;$K$1))</f>
        <v>695.5</v>
      </c>
      <c r="E14" s="643">
        <f>'数据-取费表'!B35</f>
        <v>200</v>
      </c>
      <c r="F14" s="2434"/>
      <c r="G14" s="2424" t="s">
        <v>1194</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1195</v>
      </c>
      <c r="B15" s="2429" t="s">
        <v>1196</v>
      </c>
      <c r="C15" s="2435">
        <f ca="1">ROUND(C11*F15,0)</f>
        <v>0</v>
      </c>
      <c r="D15" s="2436"/>
      <c r="E15" s="2435"/>
      <c r="F15" s="2432">
        <f>'数据-取费表'!B36</f>
        <v>0.015</v>
      </c>
      <c r="G15" s="1444" t="s">
        <v>1197</v>
      </c>
      <c r="H15" s="1560"/>
      <c r="I15" s="1560"/>
      <c r="J15" s="1560"/>
      <c r="K15" s="1561"/>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1198</v>
      </c>
      <c r="C16" s="2435">
        <f ca="1">SUM(C11:C15)</f>
        <v>0</v>
      </c>
      <c r="D16" s="2436"/>
      <c r="E16" s="2435"/>
      <c r="F16" s="2432"/>
      <c r="G16" s="1444"/>
      <c r="H16" s="2437"/>
      <c r="I16" s="1560"/>
      <c r="J16" s="1560"/>
      <c r="K16" s="1561"/>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1199</v>
      </c>
      <c r="C17" s="643">
        <f ca="1">ROUND(D17*E17/10000,0)</f>
        <v>0</v>
      </c>
      <c r="D17" s="2433">
        <f ca="1">D14</f>
        <v>695.5</v>
      </c>
      <c r="E17" s="643">
        <f>'数据-取费表'!B32</f>
        <v>0</v>
      </c>
      <c r="F17" s="2436"/>
      <c r="G17" s="1444" t="s">
        <v>1200</v>
      </c>
      <c r="H17" s="2437"/>
      <c r="I17" s="1560"/>
      <c r="J17" s="1560"/>
      <c r="K17" s="1561"/>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1201</v>
      </c>
      <c r="B18" s="2429" t="s">
        <v>1202</v>
      </c>
      <c r="C18" s="643">
        <f ca="1">C19+C20-IF(C1="",'数据-取费表'!B29,IF(G18="已全部缴纳",C19+C20,H18))</f>
        <v>14</v>
      </c>
      <c r="D18" s="2433"/>
      <c r="E18" s="643"/>
      <c r="F18" s="2434"/>
      <c r="G18" s="2438"/>
      <c r="H18" s="2439"/>
      <c r="I18" s="2485" t="s">
        <v>1203</v>
      </c>
      <c r="J18" s="1560"/>
      <c r="K18" s="1561"/>
    </row>
    <row r="19" s="2399" customFormat="1" ht="13.5" customHeight="1" spans="1:11">
      <c r="A19" s="2428" t="s">
        <v>1084</v>
      </c>
      <c r="B19" s="2429" t="s">
        <v>448</v>
      </c>
      <c r="C19" s="643">
        <f ca="1">ROUND(D19*E19/10000,0)</f>
        <v>0</v>
      </c>
      <c r="D19" s="2433">
        <f ca="1">IF(C1="",'数据-汇总表'!E5,IF(INDIRECT("'数据-取费表'!c"&amp;$K$1)="住宅",INDIRECT("'数据-取费表'!k"&amp;$K$1),0))</f>
        <v>0</v>
      </c>
      <c r="E19" s="643">
        <f>'数据-取费表'!B27</f>
        <v>0</v>
      </c>
      <c r="F19" s="2434"/>
      <c r="G19" s="1559"/>
      <c r="H19" s="2440"/>
      <c r="I19" s="2441"/>
      <c r="J19" s="2441"/>
      <c r="K19" s="2486"/>
    </row>
    <row r="20" s="2399" customFormat="1" ht="13.5" customHeight="1" spans="1:11">
      <c r="A20" s="2428" t="s">
        <v>1087</v>
      </c>
      <c r="B20" s="2429" t="s">
        <v>1204</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59"/>
      <c r="H20" s="2441"/>
      <c r="I20" s="2441"/>
      <c r="J20" s="2441"/>
      <c r="K20" s="2486"/>
    </row>
    <row r="21" s="2399" customFormat="1" ht="13.5" customHeight="1" spans="1:11">
      <c r="A21" s="2417" t="s">
        <v>979</v>
      </c>
      <c r="B21" s="2442" t="s">
        <v>1205</v>
      </c>
      <c r="C21" s="2443">
        <f ca="1">C16+C17+C18</f>
        <v>14</v>
      </c>
      <c r="D21" s="2444"/>
      <c r="E21" s="2445"/>
      <c r="F21" s="2445"/>
      <c r="G21" s="1444" t="s">
        <v>1206</v>
      </c>
      <c r="H21" s="1560"/>
      <c r="I21" s="1560"/>
      <c r="J21" s="1560"/>
      <c r="K21" s="1561"/>
    </row>
    <row r="22" s="2399" customFormat="1" ht="13.5" customHeight="1" spans="1:11">
      <c r="A22" s="2417" t="s">
        <v>983</v>
      </c>
      <c r="B22" s="2442" t="s">
        <v>1207</v>
      </c>
      <c r="C22" s="2443">
        <f ca="1">ROUND(C21*F22,0)</f>
        <v>0</v>
      </c>
      <c r="D22" s="2445"/>
      <c r="E22" s="2445"/>
      <c r="F22" s="2446">
        <f>'数据-取费表'!B37</f>
        <v>0.02</v>
      </c>
      <c r="G22" s="2424" t="s">
        <v>1208</v>
      </c>
      <c r="H22" s="2427"/>
      <c r="I22" s="2427"/>
      <c r="J22" s="2427"/>
      <c r="K22" s="2484"/>
    </row>
    <row r="23" s="2399" customFormat="1" ht="13.5" customHeight="1" spans="1:11">
      <c r="A23" s="2417" t="s">
        <v>1028</v>
      </c>
      <c r="B23" s="2442" t="s">
        <v>1209</v>
      </c>
      <c r="C23" s="2443">
        <f ca="1">ROUND(C4*F23*F11,0)</f>
        <v>0</v>
      </c>
      <c r="D23" s="2445"/>
      <c r="E23" s="2445"/>
      <c r="F23" s="2446">
        <f>'数据-取费表'!B38</f>
        <v>0.02</v>
      </c>
      <c r="G23" s="2424" t="s">
        <v>1210</v>
      </c>
      <c r="H23" s="2427"/>
      <c r="I23" s="2427"/>
      <c r="J23" s="2427"/>
      <c r="K23" s="2484"/>
    </row>
    <row r="24" s="2399" customFormat="1" ht="13.5" customHeight="1" spans="1:11">
      <c r="A24" s="2417" t="s">
        <v>1031</v>
      </c>
      <c r="B24" s="2442" t="s">
        <v>1211</v>
      </c>
      <c r="C24" s="2447">
        <f>ROUND(F24/(1+'数据-取费表'!C42),4)</f>
        <v>0.029</v>
      </c>
      <c r="D24" s="2445" t="s">
        <v>1212</v>
      </c>
      <c r="E24" s="2445"/>
      <c r="F24" s="2446">
        <f>IF(项目基本情况!B8="出让",0,'数据-取费表'!B48+'数据-取费表'!B49)</f>
        <v>0.0305</v>
      </c>
      <c r="G24" s="2424" t="s">
        <v>1213</v>
      </c>
      <c r="H24" s="2448"/>
      <c r="I24" s="2448"/>
      <c r="J24" s="2448"/>
      <c r="K24" s="2487"/>
    </row>
    <row r="25" s="2399" customFormat="1" ht="13.5" customHeight="1" spans="1:11">
      <c r="A25" s="2417" t="s">
        <v>1035</v>
      </c>
      <c r="B25" s="2444" t="s">
        <v>1214</v>
      </c>
      <c r="C25" s="2449">
        <f ca="1">C27</f>
        <v>0</v>
      </c>
      <c r="D25" s="2447">
        <f ca="1">C26</f>
        <v>0</v>
      </c>
      <c r="E25" s="2450" t="s">
        <v>1212</v>
      </c>
      <c r="F25" s="2451">
        <f ca="1">'数据-取费表'!B40</f>
        <v>0.0345</v>
      </c>
      <c r="G25" s="144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1215</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0"/>
      <c r="I26" s="1560"/>
      <c r="J26" s="1560"/>
      <c r="K26" s="1561"/>
    </row>
    <row r="27" s="2401" customFormat="1" ht="13.5" customHeight="1" spans="1:11">
      <c r="A27" s="2428" t="s">
        <v>1006</v>
      </c>
      <c r="B27" s="2452" t="s">
        <v>1216</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0"/>
      <c r="I27" s="1560"/>
      <c r="J27" s="1560"/>
      <c r="K27" s="1561"/>
    </row>
    <row r="28" s="2402" customFormat="1" ht="13.5" customHeight="1" spans="1:11">
      <c r="A28" s="2417" t="s">
        <v>1036</v>
      </c>
      <c r="B28" s="2459" t="s">
        <v>1217</v>
      </c>
      <c r="C28" s="2460">
        <f ca="1">C30</f>
        <v>1</v>
      </c>
      <c r="D28" s="2447">
        <f ca="1">C29</f>
        <v>0</v>
      </c>
      <c r="E28" s="2450" t="s">
        <v>1212</v>
      </c>
      <c r="F28" s="987">
        <f ca="1">IF(C1="",'数据-取费表'!Q16,INDIRECT("'数据-取费表'!q"&amp;$K$1))</f>
        <v>0.1</v>
      </c>
      <c r="G28" s="2461"/>
      <c r="H28" s="2448"/>
      <c r="I28" s="2448"/>
      <c r="J28" s="2448"/>
      <c r="K28" s="2487"/>
    </row>
    <row r="29" s="2403" customFormat="1" ht="13.5" customHeight="1" spans="1:11">
      <c r="A29" s="2428" t="s">
        <v>1002</v>
      </c>
      <c r="B29" s="2462" t="s">
        <v>1218</v>
      </c>
      <c r="C29" s="2454">
        <f ca="1">ROUND((1+C24)*F28*'数据-取费表'!B24/'数据-取费表'!B20,4)</f>
        <v>0</v>
      </c>
      <c r="D29" s="2454"/>
      <c r="E29" s="2455"/>
      <c r="F29" s="2463"/>
      <c r="G29" s="1444" t="s">
        <v>1219</v>
      </c>
      <c r="H29" s="1560"/>
      <c r="I29" s="1560"/>
      <c r="J29" s="1560"/>
      <c r="K29" s="1561"/>
    </row>
    <row r="30" s="2403" customFormat="1" ht="13.5" customHeight="1" spans="1:11">
      <c r="A30" s="2428" t="s">
        <v>1006</v>
      </c>
      <c r="B30" s="2462" t="s">
        <v>1220</v>
      </c>
      <c r="C30" s="2464">
        <f ca="1">ROUND((C21+C22+C23)*F28,0)</f>
        <v>1</v>
      </c>
      <c r="D30" s="2454"/>
      <c r="E30" s="2455"/>
      <c r="F30" s="2463"/>
      <c r="G30" s="1444"/>
      <c r="H30" s="1560"/>
      <c r="I30" s="1560"/>
      <c r="J30" s="1560"/>
      <c r="K30" s="1561"/>
    </row>
    <row r="31" s="2399" customFormat="1" ht="13.5" customHeight="1" spans="1:11">
      <c r="A31" s="2465" t="s">
        <v>1221</v>
      </c>
      <c r="B31" s="2466" t="s">
        <v>1222</v>
      </c>
      <c r="C31" s="2467">
        <f>ROUND(C4*F31/(1+'数据-取费表'!C42),0)</f>
        <v>0</v>
      </c>
      <c r="D31" s="2468"/>
      <c r="E31" s="2469"/>
      <c r="F31" s="2470">
        <f>'数据-取费表'!B41</f>
        <v>0.056</v>
      </c>
      <c r="G31" s="2471" t="s">
        <v>1223</v>
      </c>
      <c r="H31" s="2472"/>
      <c r="I31" s="2472"/>
      <c r="J31" s="2472"/>
      <c r="K31" s="2488"/>
    </row>
    <row r="32" s="2398" customFormat="1" ht="13.5" customHeight="1" spans="1:11">
      <c r="A32" s="2473" t="s">
        <v>1224</v>
      </c>
      <c r="B32" s="2474"/>
      <c r="C32" s="2475">
        <f ca="1">ROUND((C4-C21-C22-C23-C25-C28-C31)/(1+C24+D25+D28),0)</f>
        <v>-15</v>
      </c>
      <c r="D32" s="2474"/>
      <c r="E32" s="2474"/>
      <c r="F32" s="2474"/>
      <c r="G32" s="2476" t="s">
        <v>1225</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7"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8"/>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4"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9"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90"/>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1" t="s">
        <v>1362</v>
      </c>
      <c r="B53" s="2392"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3"/>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51.4778</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45156</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2386">
        <f>'数据-取费表'!N7</f>
        <v>0.4</v>
      </c>
      <c r="G50" s="448"/>
    </row>
    <row r="51" ht="16.5" customHeight="1" spans="1:7">
      <c r="A51" s="401" t="s">
        <v>1158</v>
      </c>
      <c r="B51" s="402" t="s">
        <v>1172</v>
      </c>
      <c r="C51" s="429">
        <f ca="1">ROUND(C49*F50,0)</f>
        <v>10230</v>
      </c>
      <c r="D51" s="429"/>
      <c r="E51" s="429"/>
      <c r="F51" s="467"/>
      <c r="G51" s="434" t="s">
        <v>1160</v>
      </c>
    </row>
    <row r="52" s="382" customFormat="1" ht="16.5" spans="1:7">
      <c r="A52" s="468" t="s">
        <v>1161</v>
      </c>
      <c r="B52" s="469"/>
      <c r="C52" s="470">
        <f ca="1">C31+C51</f>
        <v>514778</v>
      </c>
      <c r="D52" s="469"/>
      <c r="E52" s="469"/>
      <c r="F52" s="469"/>
      <c r="G52" s="471"/>
    </row>
    <row r="55" ht="15" spans="2:3">
      <c r="B55" s="472" t="s">
        <v>1162</v>
      </c>
      <c r="C55" s="473"/>
    </row>
    <row r="56" spans="2:3">
      <c r="B56" s="474" t="s">
        <v>1163</v>
      </c>
      <c r="C56" s="476">
        <f ca="1">1-C57</f>
        <v>0.98</v>
      </c>
    </row>
    <row r="57" spans="2:3">
      <c r="B57" s="474" t="s">
        <v>1164</v>
      </c>
      <c r="C57" s="475">
        <f ca="1">ROUND(C51/C52,3)</f>
        <v>0.02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37.5" spans="1:1">
      <c r="A4" s="3703" t="str">
        <f>"受贵公司委托，我公司对"&amp;项目基本情况!S1&amp;"进行了预评估。"</f>
        <v>受贵公司委托，我公司对北京市东城区（原崇文区）光明西街3号、甲3号3号楼房地产抵押价值进行了预评估。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2024年4月12日（评估专业人员实地查勘之日）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0.380645161290322</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22"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2549</v>
      </c>
      <c r="E5" s="3672"/>
    </row>
    <row r="6" spans="1:5">
      <c r="A6" s="3672"/>
      <c r="B6" s="3676"/>
      <c r="C6" s="3677" t="s">
        <v>98</v>
      </c>
      <c r="D6" s="3678" t="str">
        <f ca="1">NUMBERSTRING(INT(D5*10000),2)&amp;"元整"</f>
        <v>贰仟伍佰肆拾玖万元整</v>
      </c>
      <c r="E6" s="3672"/>
    </row>
    <row r="7" ht="15.75" spans="1:5">
      <c r="A7" s="3672"/>
      <c r="B7" s="3679"/>
      <c r="C7" s="3680" t="s">
        <v>99</v>
      </c>
      <c r="D7" s="3681">
        <f ca="1">结果表!H102</f>
        <v>36650</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2549</v>
      </c>
      <c r="E13" s="3672"/>
    </row>
    <row r="14" spans="1:5">
      <c r="A14" s="3672"/>
      <c r="B14" s="3676"/>
      <c r="C14" s="3677" t="s">
        <v>98</v>
      </c>
      <c r="D14" s="3678" t="str">
        <f ca="1">NUMBERSTRING(INT(D13*10000),2)&amp;"元整"</f>
        <v>贰仟伍佰肆拾玖万元整</v>
      </c>
      <c r="E14" s="3672"/>
    </row>
    <row r="15" ht="15" spans="1:5">
      <c r="A15" s="3672"/>
      <c r="B15" s="3679"/>
      <c r="C15" s="3680" t="s">
        <v>99</v>
      </c>
      <c r="D15" s="3691">
        <f ca="1">结果表!H108</f>
        <v>36650</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43.5" spans="1:9">
      <c r="A4" s="3662" t="str">
        <f>项目基本情况!S2</f>
        <v>北京市东城区（原崇文区）光明西街3号、甲3号3号楼房地产</v>
      </c>
      <c r="B4" s="3661">
        <f>项目基本情况!C17</f>
        <v>695.5</v>
      </c>
      <c r="C4" s="3661">
        <f>项目基本情况!C18</f>
        <v>0</v>
      </c>
      <c r="D4" s="3661">
        <f ca="1">结果表!D118</f>
        <v>2419</v>
      </c>
      <c r="E4" s="3661">
        <f ca="1">结果表!E118</f>
        <v>34781</v>
      </c>
      <c r="F4" s="3661">
        <f ca="1">结果表!F118</f>
        <v>130</v>
      </c>
      <c r="G4" s="3661">
        <f ca="1">结果表!G118</f>
        <v>1869</v>
      </c>
      <c r="H4" s="3661">
        <f ca="1">结果表!H118</f>
        <v>2549</v>
      </c>
      <c r="I4" s="3661">
        <f ca="1">结果表!I118</f>
        <v>36650</v>
      </c>
    </row>
    <row r="5" ht="30" customHeight="1" spans="1:9">
      <c r="A5" s="3661" t="s">
        <v>112</v>
      </c>
      <c r="B5" s="3661"/>
      <c r="C5" s="3661"/>
      <c r="D5" s="3661" t="str">
        <f ca="1">结果表!D119</f>
        <v>贰仟肆佰壹拾玖万元整</v>
      </c>
      <c r="E5" s="3661"/>
      <c r="F5" s="3661" t="str">
        <f ca="1">结果表!F119</f>
        <v>壹佰叁拾万元整</v>
      </c>
      <c r="G5" s="3661"/>
      <c r="H5" s="3661" t="str">
        <f ca="1">结果表!H119</f>
        <v>贰仟伍佰肆拾玖万元整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2549</v>
      </c>
      <c r="E8" s="3663"/>
      <c r="F8" s="3663"/>
      <c r="G8" s="3663"/>
      <c r="H8" s="3663"/>
      <c r="I8" s="3663"/>
    </row>
    <row r="9" ht="15" spans="1:9">
      <c r="A9" s="3661" t="s">
        <v>112</v>
      </c>
      <c r="B9" s="3661"/>
      <c r="C9" s="3661"/>
      <c r="D9" s="3661" t="str">
        <f ca="1">结果表!D123</f>
        <v>贰仟伍佰肆拾玖万元整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郑燚</v>
      </c>
      <c r="B4" s="3643">
        <f ca="1">项目基本情况!C4</f>
        <v>1120070131</v>
      </c>
      <c r="C4" s="3644"/>
      <c r="D4" s="3645" t="s">
        <v>120</v>
      </c>
    </row>
    <row r="5" ht="56.25" customHeight="1" spans="1:4">
      <c r="A5" s="3642" t="str">
        <f>项目基本情况!D4</f>
        <v>崔锴</v>
      </c>
      <c r="B5" s="3643">
        <f ca="1">项目基本情况!E4</f>
        <v>1120100036</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958"/>
      <c r="C23" s="1958"/>
      <c r="D23" s="1958"/>
    </row>
    <row r="24" spans="1:4">
      <c r="A24" s="3655"/>
      <c r="B24" s="1958"/>
      <c r="C24" s="1958"/>
      <c r="D24" s="195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45405</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2024-04-23T07:22:22Z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